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606351\ARPA-E\SI\"/>
    </mc:Choice>
  </mc:AlternateContent>
  <xr:revisionPtr revIDLastSave="0" documentId="8_{371125D3-E2E0-4A4D-A226-E0AEF52BEA9C}" xr6:coauthVersionLast="41" xr6:coauthVersionMax="41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Email Lookups" sheetId="16" state="hidden" r:id="rId1"/>
    <sheet name="Query Export w PatSnap Data" sheetId="8" r:id="rId2"/>
    <sheet name="Detailed Drop Downs" sheetId="7" state="hidden" r:id="rId3"/>
    <sheet name="Query Export" sheetId="1" r:id="rId4"/>
    <sheet name="Pivot Summary" sheetId="21" r:id="rId5"/>
  </sheets>
  <definedNames>
    <definedName name="_xlnm._FilterDatabase" localSheetId="3" hidden="1">'Query Export'!$A$1:$J$2320</definedName>
    <definedName name="_xlnm._FilterDatabase" localSheetId="1" hidden="1">'Query Export w PatSnap Data'!$A$1:$N$2320</definedName>
  </definedName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20" i="1" l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A2267" i="8"/>
  <c r="A2266" i="8"/>
  <c r="A2265" i="8"/>
  <c r="A2264" i="8"/>
  <c r="A2263" i="8"/>
  <c r="A2262" i="8"/>
  <c r="A2261" i="8"/>
  <c r="A2260" i="8"/>
  <c r="A2259" i="8"/>
  <c r="A2258" i="8"/>
  <c r="A2257" i="8"/>
  <c r="A2256" i="8"/>
  <c r="A2255" i="8"/>
  <c r="A2254" i="8"/>
  <c r="A2253" i="8"/>
  <c r="A2252" i="8"/>
  <c r="A2251" i="8"/>
  <c r="A2250" i="8"/>
  <c r="A2249" i="8"/>
  <c r="A2248" i="8"/>
  <c r="A2247" i="8"/>
  <c r="A2246" i="8"/>
  <c r="A2245" i="8"/>
  <c r="A2244" i="8"/>
  <c r="A2243" i="8"/>
  <c r="A2242" i="8"/>
  <c r="A2241" i="8"/>
  <c r="A2240" i="8"/>
  <c r="A2239" i="8"/>
  <c r="A2238" i="8"/>
  <c r="A2237" i="8"/>
  <c r="A2236" i="8"/>
  <c r="A2235" i="8"/>
  <c r="A2234" i="8"/>
  <c r="A2233" i="8"/>
  <c r="A2232" i="8"/>
  <c r="A2231" i="8"/>
  <c r="A2230" i="8"/>
  <c r="A2229" i="8"/>
  <c r="A2228" i="8"/>
  <c r="A2227" i="8"/>
  <c r="A2226" i="8"/>
  <c r="A2225" i="8"/>
  <c r="A2224" i="8"/>
  <c r="A2223" i="8"/>
  <c r="A2222" i="8"/>
  <c r="A2221" i="8"/>
  <c r="A2220" i="8"/>
  <c r="A2219" i="8"/>
  <c r="A2218" i="8"/>
  <c r="A2217" i="8"/>
  <c r="A2216" i="8"/>
  <c r="A2215" i="8"/>
  <c r="A2214" i="8"/>
  <c r="A2213" i="8"/>
  <c r="A2212" i="8"/>
  <c r="A2211" i="8"/>
  <c r="A2210" i="8"/>
  <c r="A2209" i="8"/>
  <c r="A2208" i="8"/>
  <c r="A2207" i="8"/>
  <c r="A2206" i="8"/>
  <c r="A2205" i="8"/>
  <c r="A2204" i="8"/>
  <c r="A2203" i="8"/>
  <c r="A2202" i="8"/>
  <c r="A2201" i="8"/>
  <c r="A2200" i="8"/>
  <c r="A2199" i="8"/>
  <c r="A2198" i="8"/>
  <c r="A2197" i="8"/>
  <c r="A2196" i="8"/>
  <c r="A2195" i="8"/>
  <c r="A2194" i="8"/>
  <c r="A2193" i="8"/>
  <c r="A2192" i="8"/>
  <c r="A2191" i="8"/>
  <c r="A2190" i="8"/>
  <c r="A2189" i="8"/>
  <c r="A2188" i="8"/>
  <c r="A2187" i="8"/>
  <c r="A2186" i="8"/>
  <c r="A2185" i="8"/>
  <c r="A2184" i="8"/>
  <c r="A2183" i="8"/>
  <c r="A2182" i="8"/>
  <c r="A2181" i="8"/>
  <c r="A2180" i="8"/>
  <c r="A2179" i="8"/>
  <c r="A2178" i="8"/>
  <c r="A2177" i="8"/>
  <c r="A2176" i="8"/>
  <c r="A2175" i="8"/>
  <c r="A2174" i="8"/>
  <c r="A2173" i="8"/>
  <c r="A2172" i="8"/>
  <c r="A2171" i="8"/>
  <c r="A2170" i="8"/>
  <c r="A2169" i="8"/>
  <c r="A2168" i="8"/>
  <c r="A2167" i="8"/>
  <c r="A2166" i="8"/>
  <c r="A2165" i="8"/>
  <c r="A2164" i="8"/>
  <c r="A2163" i="8"/>
  <c r="A2162" i="8"/>
  <c r="A2161" i="8"/>
  <c r="A2160" i="8"/>
  <c r="A2159" i="8"/>
  <c r="A2158" i="8"/>
  <c r="A2157" i="8"/>
  <c r="A2156" i="8"/>
  <c r="A2155" i="8"/>
  <c r="A2154" i="8"/>
  <c r="A2153" i="8"/>
  <c r="A2152" i="8"/>
  <c r="A2151" i="8"/>
  <c r="A2150" i="8"/>
  <c r="A2149" i="8"/>
  <c r="A2148" i="8"/>
  <c r="A2147" i="8"/>
  <c r="A2146" i="8"/>
  <c r="A2145" i="8"/>
  <c r="A2144" i="8"/>
  <c r="A2143" i="8"/>
  <c r="A2142" i="8"/>
  <c r="A2141" i="8"/>
  <c r="A2140" i="8"/>
  <c r="A2139" i="8"/>
  <c r="A2138" i="8"/>
  <c r="A2137" i="8"/>
  <c r="A2136" i="8"/>
  <c r="A2135" i="8"/>
  <c r="A2134" i="8"/>
  <c r="A2133" i="8"/>
  <c r="A2132" i="8"/>
  <c r="A2131" i="8"/>
  <c r="A2130" i="8"/>
  <c r="A2129" i="8"/>
  <c r="A2128" i="8"/>
  <c r="A2127" i="8"/>
  <c r="A2126" i="8"/>
  <c r="A2125" i="8"/>
  <c r="A2124" i="8"/>
  <c r="A2123" i="8"/>
  <c r="A2122" i="8"/>
  <c r="A2121" i="8"/>
  <c r="A2120" i="8"/>
  <c r="A2119" i="8"/>
  <c r="A2118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A1999" i="8"/>
  <c r="A1998" i="8"/>
  <c r="A1997" i="8"/>
  <c r="A1996" i="8"/>
  <c r="A1995" i="8"/>
  <c r="A1994" i="8"/>
  <c r="A1993" i="8"/>
  <c r="A1992" i="8"/>
  <c r="A1991" i="8"/>
  <c r="A1990" i="8"/>
  <c r="A1989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A1910" i="8"/>
  <c r="A1909" i="8"/>
  <c r="A1908" i="8"/>
  <c r="A1907" i="8"/>
  <c r="A1906" i="8"/>
  <c r="A1905" i="8"/>
  <c r="A1904" i="8"/>
  <c r="A1903" i="8"/>
  <c r="A1902" i="8"/>
  <c r="A1901" i="8"/>
  <c r="A1900" i="8"/>
  <c r="A1899" i="8"/>
  <c r="A1898" i="8"/>
  <c r="A1897" i="8"/>
  <c r="A1896" i="8"/>
  <c r="A1895" i="8"/>
  <c r="A1894" i="8"/>
  <c r="A1893" i="8"/>
  <c r="A1892" i="8"/>
  <c r="A1891" i="8"/>
  <c r="A1890" i="8"/>
  <c r="A1889" i="8"/>
  <c r="A1888" i="8"/>
  <c r="A1887" i="8"/>
  <c r="A1886" i="8"/>
  <c r="A1885" i="8"/>
  <c r="A1884" i="8"/>
  <c r="A1883" i="8"/>
  <c r="A1882" i="8"/>
  <c r="A1881" i="8"/>
  <c r="A1880" i="8"/>
  <c r="A1879" i="8"/>
  <c r="A1878" i="8"/>
  <c r="A1877" i="8"/>
  <c r="A1876" i="8"/>
  <c r="A1875" i="8"/>
  <c r="A1874" i="8"/>
  <c r="A1873" i="8"/>
  <c r="A1872" i="8"/>
  <c r="A1871" i="8"/>
  <c r="A1870" i="8"/>
  <c r="A1869" i="8"/>
  <c r="A1868" i="8"/>
  <c r="A1867" i="8"/>
  <c r="A1866" i="8"/>
  <c r="A1865" i="8"/>
  <c r="A1864" i="8"/>
  <c r="A1863" i="8"/>
  <c r="A1862" i="8"/>
  <c r="A1861" i="8"/>
  <c r="A1860" i="8"/>
  <c r="A1859" i="8"/>
  <c r="A1858" i="8"/>
  <c r="A1857" i="8"/>
  <c r="A1856" i="8"/>
  <c r="A1855" i="8"/>
  <c r="A1854" i="8"/>
  <c r="A1853" i="8"/>
  <c r="A1852" i="8"/>
  <c r="A1851" i="8"/>
  <c r="A1850" i="8"/>
  <c r="A1849" i="8"/>
  <c r="A1848" i="8"/>
  <c r="A1847" i="8"/>
  <c r="A1846" i="8"/>
  <c r="A1845" i="8"/>
  <c r="A1844" i="8"/>
  <c r="A1843" i="8"/>
  <c r="A1842" i="8"/>
  <c r="A1841" i="8"/>
  <c r="A1840" i="8"/>
  <c r="A1839" i="8"/>
  <c r="A1838" i="8"/>
  <c r="A1837" i="8"/>
  <c r="A1836" i="8"/>
  <c r="A1835" i="8"/>
  <c r="A1834" i="8"/>
  <c r="A1833" i="8"/>
  <c r="A1832" i="8"/>
  <c r="A1831" i="8"/>
  <c r="A1830" i="8"/>
  <c r="A1829" i="8"/>
  <c r="A1828" i="8"/>
  <c r="A1827" i="8"/>
  <c r="A1826" i="8"/>
  <c r="A1825" i="8"/>
  <c r="A1824" i="8"/>
  <c r="A1823" i="8"/>
  <c r="A1822" i="8"/>
  <c r="A1821" i="8"/>
  <c r="A1820" i="8"/>
  <c r="A1819" i="8"/>
  <c r="A1818" i="8"/>
  <c r="A1817" i="8"/>
  <c r="A1816" i="8"/>
  <c r="A1815" i="8"/>
  <c r="A1814" i="8"/>
  <c r="A1813" i="8"/>
  <c r="A1812" i="8"/>
  <c r="A1811" i="8"/>
  <c r="A1810" i="8"/>
  <c r="A1809" i="8"/>
  <c r="A1808" i="8"/>
  <c r="A1807" i="8"/>
  <c r="A1806" i="8"/>
  <c r="A1805" i="8"/>
  <c r="A1804" i="8"/>
  <c r="A1803" i="8"/>
  <c r="A1802" i="8"/>
  <c r="A1801" i="8"/>
  <c r="A1800" i="8"/>
  <c r="A1799" i="8"/>
  <c r="A1798" i="8"/>
  <c r="A1797" i="8"/>
  <c r="A1796" i="8"/>
  <c r="A1795" i="8"/>
  <c r="A1794" i="8"/>
  <c r="A1793" i="8"/>
  <c r="A1792" i="8"/>
  <c r="A1791" i="8"/>
  <c r="A1790" i="8"/>
  <c r="A1789" i="8"/>
  <c r="A1788" i="8"/>
  <c r="A1787" i="8"/>
  <c r="A1786" i="8"/>
  <c r="A1785" i="8"/>
  <c r="A1784" i="8"/>
  <c r="A1783" i="8"/>
  <c r="A1782" i="8"/>
  <c r="A1781" i="8"/>
  <c r="A1780" i="8"/>
  <c r="A1779" i="8"/>
  <c r="A1778" i="8"/>
  <c r="A1777" i="8"/>
  <c r="A1776" i="8"/>
  <c r="A1775" i="8"/>
  <c r="A1774" i="8"/>
  <c r="A1773" i="8"/>
  <c r="A1772" i="8"/>
  <c r="A1771" i="8"/>
  <c r="A1770" i="8"/>
  <c r="A1769" i="8"/>
  <c r="A1768" i="8"/>
  <c r="A1767" i="8"/>
  <c r="A1766" i="8"/>
  <c r="A1765" i="8"/>
  <c r="A1764" i="8"/>
  <c r="A1763" i="8"/>
  <c r="A176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4" i="8"/>
  <c r="A1733" i="8"/>
  <c r="A1732" i="8"/>
  <c r="A1731" i="8"/>
  <c r="A1730" i="8"/>
  <c r="A1729" i="8"/>
  <c r="A1728" i="8"/>
  <c r="A1727" i="8"/>
  <c r="A1726" i="8"/>
  <c r="A1725" i="8"/>
  <c r="A1724" i="8"/>
  <c r="A1723" i="8"/>
  <c r="A1722" i="8"/>
  <c r="A1721" i="8"/>
  <c r="A1720" i="8"/>
  <c r="A1719" i="8"/>
  <c r="A1718" i="8"/>
  <c r="A1717" i="8"/>
  <c r="A1716" i="8"/>
  <c r="A1715" i="8"/>
  <c r="A1714" i="8"/>
  <c r="A1713" i="8"/>
  <c r="A1712" i="8"/>
  <c r="A1711" i="8"/>
  <c r="A1710" i="8"/>
  <c r="A1709" i="8"/>
  <c r="A1708" i="8"/>
  <c r="A1707" i="8"/>
  <c r="A1706" i="8"/>
  <c r="A1705" i="8"/>
  <c r="A1704" i="8"/>
  <c r="A1703" i="8"/>
  <c r="A1702" i="8"/>
  <c r="A1701" i="8"/>
  <c r="A1700" i="8"/>
  <c r="A1699" i="8"/>
  <c r="A1698" i="8"/>
  <c r="A1697" i="8"/>
  <c r="A1696" i="8"/>
  <c r="A1695" i="8"/>
  <c r="A1694" i="8"/>
  <c r="A1693" i="8"/>
  <c r="A1692" i="8"/>
  <c r="A1691" i="8"/>
  <c r="A1690" i="8"/>
  <c r="A1689" i="8"/>
  <c r="A1688" i="8"/>
  <c r="A1687" i="8"/>
  <c r="A1686" i="8"/>
  <c r="A1685" i="8"/>
  <c r="A1684" i="8"/>
  <c r="A1683" i="8"/>
  <c r="A1682" i="8"/>
  <c r="A1681" i="8"/>
  <c r="A1680" i="8"/>
  <c r="A1679" i="8"/>
  <c r="A1678" i="8"/>
  <c r="A1677" i="8"/>
  <c r="A1676" i="8"/>
  <c r="A1675" i="8"/>
  <c r="A1674" i="8"/>
  <c r="A1673" i="8"/>
  <c r="A1672" i="8"/>
  <c r="A1671" i="8"/>
  <c r="A1670" i="8"/>
  <c r="A1669" i="8"/>
  <c r="A1668" i="8"/>
  <c r="A1667" i="8"/>
  <c r="A1666" i="8"/>
  <c r="A1665" i="8"/>
  <c r="A1664" i="8"/>
  <c r="A1663" i="8"/>
  <c r="A1662" i="8"/>
  <c r="A1661" i="8"/>
  <c r="A1660" i="8"/>
  <c r="A1659" i="8"/>
  <c r="A1658" i="8"/>
  <c r="A1657" i="8"/>
  <c r="A1656" i="8"/>
  <c r="A1655" i="8"/>
  <c r="A1654" i="8"/>
  <c r="A1653" i="8"/>
  <c r="A1652" i="8"/>
  <c r="A1651" i="8"/>
  <c r="A1650" i="8"/>
  <c r="A1649" i="8"/>
  <c r="A1648" i="8"/>
  <c r="A1647" i="8"/>
  <c r="A1646" i="8"/>
  <c r="A1645" i="8"/>
  <c r="A1644" i="8"/>
  <c r="A1643" i="8"/>
  <c r="A1642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A1516" i="8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</calcChain>
</file>

<file path=xl/sharedStrings.xml><?xml version="1.0" encoding="utf-8"?>
<sst xmlns="http://schemas.openxmlformats.org/spreadsheetml/2006/main" count="39299" uniqueCount="8855">
  <si>
    <t>S-Number</t>
  </si>
  <si>
    <t>Contract No.</t>
  </si>
  <si>
    <t>Contractor Name</t>
  </si>
  <si>
    <t>Title</t>
  </si>
  <si>
    <t>Application Number</t>
  </si>
  <si>
    <t>Application Date</t>
  </si>
  <si>
    <t>Patent Number</t>
  </si>
  <si>
    <t>Grant Date</t>
  </si>
  <si>
    <t>ADVANCED RESEARCH PROJECTS - (ADVANCED RESEARCH)</t>
  </si>
  <si>
    <t/>
  </si>
  <si>
    <t>125452</t>
  </si>
  <si>
    <t>DE-AR0000004</t>
  </si>
  <si>
    <t>MICHIGAN STATE UNIVERSITY - (MICHIGAN S)</t>
  </si>
  <si>
    <t>WAVE DISC ENGINE APPARATUS</t>
  </si>
  <si>
    <t>13/969900</t>
  </si>
  <si>
    <t>08/19/2013</t>
  </si>
  <si>
    <t>125749</t>
  </si>
  <si>
    <t>RADIAL WAVE ROTOR (WAVE DISC)</t>
  </si>
  <si>
    <t>125826</t>
  </si>
  <si>
    <t>DE-AR0000005</t>
  </si>
  <si>
    <t>EXELUS, INC. - (EXELUS)</t>
  </si>
  <si>
    <t>PRODUCTION OF A HIGH OCTANE ALKYLATE FROM ETHYLENE AND ISOBUTENE</t>
  </si>
  <si>
    <t>13/200723</t>
  </si>
  <si>
    <t>09/29/2011</t>
  </si>
  <si>
    <t>07/14/2015</t>
  </si>
  <si>
    <t>125827</t>
  </si>
  <si>
    <t>DE-AR0000006</t>
  </si>
  <si>
    <t>E. I. DU PONT - (E. I. DU PONT)</t>
  </si>
  <si>
    <t>BUTANOL TOLERANCE IN MICROORGANISMS</t>
  </si>
  <si>
    <t>14/045506</t>
  </si>
  <si>
    <t>10/03/2013</t>
  </si>
  <si>
    <t>03/01/2016</t>
  </si>
  <si>
    <t>125828</t>
  </si>
  <si>
    <t>HOST CELLS AND METHODS FOR PRODUCTION OF ISOBUTANOL</t>
  </si>
  <si>
    <t>14/840676</t>
  </si>
  <si>
    <t>03/15/2013</t>
  </si>
  <si>
    <t>08/23/2016</t>
  </si>
  <si>
    <t>13/428585</t>
  </si>
  <si>
    <t>125829</t>
  </si>
  <si>
    <t>14/840649</t>
  </si>
  <si>
    <t>125830</t>
  </si>
  <si>
    <t>03/23/2012</t>
  </si>
  <si>
    <t>125831</t>
  </si>
  <si>
    <t>DHAD VARIANTS AND METHODS OF SCREENING</t>
  </si>
  <si>
    <t>14/207823</t>
  </si>
  <si>
    <t>03/13/2014</t>
  </si>
  <si>
    <t>125832</t>
  </si>
  <si>
    <t>KETOL-ACID REDUCTOISOMERASE ENZYMES AND METHODS OF USE</t>
  </si>
  <si>
    <t>13/891963</t>
  </si>
  <si>
    <t>05/10/2013</t>
  </si>
  <si>
    <t>10/27/2015</t>
  </si>
  <si>
    <t>125085PCT</t>
  </si>
  <si>
    <t>KETO-ISOVALERATE DECARBOXYLASE ENZYMES AND METHODS OF USE THEREOF</t>
  </si>
  <si>
    <t>PCT/US12/48737</t>
  </si>
  <si>
    <t>07/27/2012</t>
  </si>
  <si>
    <t xml:space="preserve">13/560147 </t>
  </si>
  <si>
    <t>125089</t>
  </si>
  <si>
    <t>DU PONT - (DU PONT)</t>
  </si>
  <si>
    <t>REDUCTION OF ALDEHYDE DEHYDROGENASE AND/0R ALDEHYDE OXIDASE ACTIVITY FORBUTANOL PRODUCTION</t>
  </si>
  <si>
    <t>61/467261</t>
  </si>
  <si>
    <t>03/24/2011</t>
  </si>
  <si>
    <t>125088</t>
  </si>
  <si>
    <t>IMPROVED HOST CELLS FOR PRODUCTION OF ISOBUTANOL</t>
  </si>
  <si>
    <t>61/472474</t>
  </si>
  <si>
    <t>04/06/2011</t>
  </si>
  <si>
    <t>125090</t>
  </si>
  <si>
    <t>IMPROVING ACTIVITY OF FE-S CLUSTER REQUIRING PROTEINS</t>
  </si>
  <si>
    <t>61/305333</t>
  </si>
  <si>
    <t>02/17/2010</t>
  </si>
  <si>
    <t>125085</t>
  </si>
  <si>
    <t>01/19/2016</t>
  </si>
  <si>
    <t>07/28/2011</t>
  </si>
  <si>
    <t>125086</t>
  </si>
  <si>
    <t>REDUCTION OF 2,3-DIHYDROXY-2-METHYL BUTYRATE(DHMB) IN BUTANOL PRODUCTION</t>
  </si>
  <si>
    <t>13/153866</t>
  </si>
  <si>
    <t>07/06/2016</t>
  </si>
  <si>
    <t>125087</t>
  </si>
  <si>
    <t>POLYPEPTIDES WITH KETOL-ACID REDUCTOISOMERASE ACTIVITY FOR ISOBUTANOL PRODUCTION IN RECOMBINANT HOST CELLS</t>
  </si>
  <si>
    <t>61/467249</t>
  </si>
  <si>
    <t>125091</t>
  </si>
  <si>
    <t>MUTATIONS IN CYR1 THAT IMPROVES ISOBUTANOL TOLERANCE IN SACCHAROMYCES CEREVISIAE</t>
  </si>
  <si>
    <t>02/17/2012</t>
  </si>
  <si>
    <t>125092</t>
  </si>
  <si>
    <t>IMPROVED KARI FOR ISOBUTANOL PRODUCTION</t>
  </si>
  <si>
    <t>125154</t>
  </si>
  <si>
    <t>DE-AR0000007</t>
  </si>
  <si>
    <t>BIOCEE, INC. - (BIOCEE)</t>
  </si>
  <si>
    <t>MULTIPHASE POROUS FLOW REACTORS AND METHODS OF USING SAME</t>
  </si>
  <si>
    <t>125192</t>
  </si>
  <si>
    <t>14/357767</t>
  </si>
  <si>
    <t>05/12/2014</t>
  </si>
  <si>
    <t>125129</t>
  </si>
  <si>
    <t>08/07/2012</t>
  </si>
  <si>
    <t>125833</t>
  </si>
  <si>
    <t>DE-AR0000009</t>
  </si>
  <si>
    <t>UNIVERSITY OF DELAWARE - (UNIV. OF D)</t>
  </si>
  <si>
    <t>MEMBRANES AND CATALYSTS FOR FUEL CELLS, GAS SEPARATION CELLS, ELECTROLYZERS AND SOLAR HYDROGEN APPLICATIONS</t>
  </si>
  <si>
    <t>14/351116</t>
  </si>
  <si>
    <t>04/10/2014</t>
  </si>
  <si>
    <t xml:space="preserve"> 125336</t>
  </si>
  <si>
    <t>UNIVERSITY OF SOUTHERN CALIFORNIA - (U OF CA SC)</t>
  </si>
  <si>
    <t>HIGH BASED IONOMERS AND MEMBRANES AND ANION/HYDROXIDE EXCHANGE FUEL CELLS COMPRISING THE IONOMERS AND MEMBRANES</t>
  </si>
  <si>
    <t>125314-UTIL2</t>
  </si>
  <si>
    <t>DOUBLE-MEMBRANE TRIPLE-ELECTROLYTE DESIGN FOR HIGH-VOLTAGE AND LOW-CROSSOVER REDOX FLOW BATTERIES</t>
  </si>
  <si>
    <t>13/918452</t>
  </si>
  <si>
    <t>06/14/2013</t>
  </si>
  <si>
    <t>125314-UITL2</t>
  </si>
  <si>
    <t>13/918444</t>
  </si>
  <si>
    <t>125314</t>
  </si>
  <si>
    <t>03/13/2018</t>
  </si>
  <si>
    <t>125379</t>
  </si>
  <si>
    <t>NICKEL PHOSPHIDES BASED ELECTROCHEMICAL CATALYSTS FOR HYDROGEN OXIDATION REACTION AND HYDROGEN EVOLUTION REACTION</t>
  </si>
  <si>
    <t>61/736632</t>
  </si>
  <si>
    <t>12/13/2012</t>
  </si>
  <si>
    <t>125314-1</t>
  </si>
  <si>
    <t>125323</t>
  </si>
  <si>
    <t>DE-AR0000010</t>
  </si>
  <si>
    <t>IOWA STATE UNIVERSITY  - (IOWA STATE)</t>
  </si>
  <si>
    <t>ENHANCING PHOTOSYNTHESIS AND PRODUCTIVITY IN MICROALGAE AND PLANTS BY OVEREXPRESSION OF THE LCIA AND LCIB GENES FROM MICROALGAE</t>
  </si>
  <si>
    <t>61/527393</t>
  </si>
  <si>
    <t>08/25/2011</t>
  </si>
  <si>
    <t>S-107943</t>
  </si>
  <si>
    <t>A METHOD TO GENERATE DNA BINDING DOMAINS BASED ON TAL EFFECTOR COMPOSITION</t>
  </si>
  <si>
    <t>125254</t>
  </si>
  <si>
    <t>ACTIVATION OF GENES IN ALGAE USING SYNTHETIC TRANSCRIPTION-ACTIVATOR-LIKE(TAL)</t>
  </si>
  <si>
    <t>11/14/2016</t>
  </si>
  <si>
    <t>125450</t>
  </si>
  <si>
    <t>USE OF VITAMIN B12 PRODUCING BACTERIA OR EXOGENOUS VITAMIN B12 SUPPLEMENT TO ENHANCE THE THERMOTOLERANCE OF CHLAMYDOMONAS REINHARDTII AND OTHER MICROALGAE</t>
  </si>
  <si>
    <t>125246</t>
  </si>
  <si>
    <t>OVER EXPRESSION OF GENES IN ALGAE USING A 2A RIBOSOMAL STUTTER SEQUENCE TO JOIN THE GENE OF INTEREST AND A MARKER GENE</t>
  </si>
  <si>
    <t>125324</t>
  </si>
  <si>
    <t>DE-AR0000011</t>
  </si>
  <si>
    <t>ARIZONA STATE UNIVERSITY - (ARIZONA ST)</t>
  </si>
  <si>
    <t>CONTINUOUS CATALYTIC REACTIVE DISTILLATION OF FATTY ACIDS TO ALKANES</t>
  </si>
  <si>
    <t>125411</t>
  </si>
  <si>
    <t>ARIZONA STATE UNIVERSITY-TEMPE CAMPUS - (ARIZONASTATEUTEMPE)</t>
  </si>
  <si>
    <t>SELECTIVE GROWTH OF CYANOBACTERIAL STRAINS TO THE COMPETITIVE DETRIMENT OF OTHER MICROORGANISMS THAT MIGHT CONTAMINATE PRODUCTIVE CYANOBACTERIAL CULTURES</t>
  </si>
  <si>
    <t>125309</t>
  </si>
  <si>
    <t>SCYANOBACTERIAL STRAINS THAT INHIBIT FATTY ACID CONUMPTION BY MICROORGANISMS CONTAINATING CYANOBACTERIAL CULTURES</t>
  </si>
  <si>
    <t>125406</t>
  </si>
  <si>
    <t>ARIZONA TECHNOLOGY ENTERPRISES - (AZTE)</t>
  </si>
  <si>
    <t>REGULATED AUTOAGGLUTINATION OF BIOFUEL-PRODUCING PHOTOTROPHS FOR BIOMASS RECOVERY</t>
  </si>
  <si>
    <t>125451</t>
  </si>
  <si>
    <t>USING BIOLUMINESCENCE/FLUORESCENCE TO ENABLE/ENHANCE PHOTOSYNTHESIS</t>
  </si>
  <si>
    <t>125286</t>
  </si>
  <si>
    <t>AUTOCLAVABLE PHOTOBIOREACTOR</t>
  </si>
  <si>
    <t>08/29/2012</t>
  </si>
  <si>
    <t>125362</t>
  </si>
  <si>
    <t>MEMBRANE-CARBONATION PHOTOBIOREACTER</t>
  </si>
  <si>
    <t>107941</t>
  </si>
  <si>
    <t>GREN RECOVERY OF CYANOBACTERIAL PRODUCED BIOFUELS AT ELEVATED TEMPERATURES</t>
  </si>
  <si>
    <t>125327</t>
  </si>
  <si>
    <t>GENETIC MODIFICATION TO OPTIMIZE THE ADHESIVE PROPERTIES OF PHOTOTROPHIC MICROBES FOR ENVIRONMENTAL BIOTECHNOLOGY APPLICATIONS</t>
  </si>
  <si>
    <t>125305</t>
  </si>
  <si>
    <t>NORTH CAROLINA STATE UNIVERSITY - (NCSTU)</t>
  </si>
  <si>
    <t>05/21/2013</t>
  </si>
  <si>
    <t>125834</t>
  </si>
  <si>
    <t>PHOTOSYNTHETIC MICROORGANISMS EXPRESSING THERMOSTABLE LIPASE</t>
  </si>
  <si>
    <t>13/898241</t>
  </si>
  <si>
    <t>05/20/2013</t>
  </si>
  <si>
    <t>04/05/2016</t>
  </si>
  <si>
    <t>125514</t>
  </si>
  <si>
    <t>CYANOBACTERIA DESIGNED FOR SOLAR-POWERED HIGHLY EFFICIENT PRODUCTION OF BIOFUELS</t>
  </si>
  <si>
    <t>142727</t>
  </si>
  <si>
    <t>COMPOSITIONS AND METHODS FOR BACTERIAL LYSIS AND NEUTRAL LIPID</t>
  </si>
  <si>
    <t>13/805733</t>
  </si>
  <si>
    <t>07/01/2011</t>
  </si>
  <si>
    <t>02/09/2016</t>
  </si>
  <si>
    <t>142727 PCT</t>
  </si>
  <si>
    <t>PCT/US2011/042821</t>
  </si>
  <si>
    <t>125150</t>
  </si>
  <si>
    <t>DE-AR0000015</t>
  </si>
  <si>
    <t>FLODESIGN WIND TURBINE CORP. - (FLODESIGNW)</t>
  </si>
  <si>
    <t>FLUID TURBINE WITH ELECTRONIC BRAKING</t>
  </si>
  <si>
    <t>125147</t>
  </si>
  <si>
    <t>WIND TURBINE WITH REDUCED RADAR SIGNATURE</t>
  </si>
  <si>
    <t>12/574208</t>
  </si>
  <si>
    <t>10/06/2009</t>
  </si>
  <si>
    <t>125148</t>
  </si>
  <si>
    <t>12/845827</t>
  </si>
  <si>
    <t>07/29/2010</t>
  </si>
  <si>
    <t>125149</t>
  </si>
  <si>
    <t>RIM GENERATOR FOR A WIND TURBINE UTILIZING NEW MAGNETIC MATERIAL</t>
  </si>
  <si>
    <t>61/392798</t>
  </si>
  <si>
    <t>10/13/2010</t>
  </si>
  <si>
    <t>125835</t>
  </si>
  <si>
    <t>DE-AR0000016</t>
  </si>
  <si>
    <t>INTERNATIONAL RECTIFIER CORP. - (INTERNATIONALRECTIFIER)</t>
  </si>
  <si>
    <t>GROUP III-V DEVICE STRUCTURE HAVING A SELECTIVELY REDUCED IMPURITY CONCENTRATION</t>
  </si>
  <si>
    <t>13/604517</t>
  </si>
  <si>
    <t>09/05/2012</t>
  </si>
  <si>
    <t>08/05/2014</t>
  </si>
  <si>
    <t>125836</t>
  </si>
  <si>
    <t>III-NITRIDE HETEROJUNCTION DEVICES HAVING A MULTILAYER SPACER</t>
  </si>
  <si>
    <t>13/397190</t>
  </si>
  <si>
    <t>02/15/2012</t>
  </si>
  <si>
    <t>02/25/2014</t>
  </si>
  <si>
    <t>125837</t>
  </si>
  <si>
    <t>POWER TRANSISTOR HAVING SEGMENTED GATE</t>
  </si>
  <si>
    <t>13/750986</t>
  </si>
  <si>
    <t>01/25/2013</t>
  </si>
  <si>
    <t>03/03/2015</t>
  </si>
  <si>
    <t>125838</t>
  </si>
  <si>
    <t>III-NITRIDE SEMICONDUCTOR STRUCTURES WITH STRAIN ABSORBING INTERLAYER TRANSITION MODULES</t>
  </si>
  <si>
    <t>13/405180</t>
  </si>
  <si>
    <t>02/24/2012</t>
  </si>
  <si>
    <t>02/17/2015</t>
  </si>
  <si>
    <t>125839</t>
  </si>
  <si>
    <t>TRANSISTOR HAVING ELEVATED DRAIN FINGER TERMINATION</t>
  </si>
  <si>
    <t>13/941335</t>
  </si>
  <si>
    <t>07/12/2013</t>
  </si>
  <si>
    <t>06/30/2015</t>
  </si>
  <si>
    <t>143109</t>
  </si>
  <si>
    <t>TRANSISTOR WITH ELEVATED DRAIN TERMINATION</t>
  </si>
  <si>
    <t>14/750262</t>
  </si>
  <si>
    <t>06/25/2015</t>
  </si>
  <si>
    <t>02/07/2017</t>
  </si>
  <si>
    <t>125840</t>
  </si>
  <si>
    <t>TRANSISTOR HAVING INCREASED BREAKDOWN VOLTAGE</t>
  </si>
  <si>
    <t>13/749477</t>
  </si>
  <si>
    <t>01/24/2013</t>
  </si>
  <si>
    <t>06/28/2016</t>
  </si>
  <si>
    <t>125301</t>
  </si>
  <si>
    <t>DE-AR0000017</t>
  </si>
  <si>
    <t>CIRCULATING FLUIDIZED BED WITH MOVING BED DOWNCOMERS AND GAS SEALING BETWEEN REACTORS</t>
  </si>
  <si>
    <t>11/08/2011</t>
  </si>
  <si>
    <t>125306</t>
  </si>
  <si>
    <t>CONTINUOUS REDUCTION AND OXIDATION OF COMPOSITE METAL OXIDES</t>
  </si>
  <si>
    <t xml:space="preserve"> 14/116627  </t>
  </si>
  <si>
    <t>05/11/2012</t>
  </si>
  <si>
    <t>05/10/2011</t>
  </si>
  <si>
    <t>125570</t>
  </si>
  <si>
    <t>DE-AR0000018</t>
  </si>
  <si>
    <t>BERKELEY NATIONAL LABORATORY - (STANFORD U)</t>
  </si>
  <si>
    <t>THERMAL PROFILING OF RESIDENTIAL ENERGY USE</t>
  </si>
  <si>
    <t>125310</t>
  </si>
  <si>
    <t>DATA-DRIVEN TARGETING OF ENERGY PROGRAMS</t>
  </si>
  <si>
    <t>14/567615</t>
  </si>
  <si>
    <t>12/11/2014</t>
  </si>
  <si>
    <t>11/22/2011</t>
  </si>
  <si>
    <t>125318</t>
  </si>
  <si>
    <t>ENERGY AND BEHAVIOR DATA PLATFORM</t>
  </si>
  <si>
    <t>07/02/2013</t>
  </si>
  <si>
    <t>125816</t>
  </si>
  <si>
    <t>DE-AR0000019</t>
  </si>
  <si>
    <t>ITN ENERGY SYSTEMS, INC. - (ITNENERGY)</t>
  </si>
  <si>
    <t>INSERTION OF LITHIUM INTO ELECTROCHROMIC DEVICES AFTER COMPLETION</t>
  </si>
  <si>
    <t>13/544391</t>
  </si>
  <si>
    <t>07/09/2012</t>
  </si>
  <si>
    <t>12/22/2015</t>
  </si>
  <si>
    <t>125118</t>
  </si>
  <si>
    <t>INTEGRATED DEVICE ARCHITECTURES FOR ELECTROCROMIC DEVICES</t>
  </si>
  <si>
    <t xml:space="preserve">13/758468 </t>
  </si>
  <si>
    <t>02/04/2013</t>
  </si>
  <si>
    <t>04/21/2015</t>
  </si>
  <si>
    <t>125814</t>
  </si>
  <si>
    <t>PERFORATION PATTERNED ELECTRICAL INTERCONNECTS</t>
  </si>
  <si>
    <t>13/717364</t>
  </si>
  <si>
    <t>12/17/2012</t>
  </si>
  <si>
    <t>01/28/2014</t>
  </si>
  <si>
    <t>125815</t>
  </si>
  <si>
    <t>AUTONOMOUS ELECTROCHROMIC ASSEMBLY</t>
  </si>
  <si>
    <t>13/758387</t>
  </si>
  <si>
    <t>03/10/2015</t>
  </si>
  <si>
    <t>142784</t>
  </si>
  <si>
    <t>DE-AR0000020</t>
  </si>
  <si>
    <t>SORAA, INC. - (SORAA)</t>
  </si>
  <si>
    <t>HIGH QUALITY GROUP III METAL NITRIDE CYSTALS, METHODS OF MAKING, AND METHODS OF USE</t>
  </si>
  <si>
    <t>14/089281</t>
  </si>
  <si>
    <t>11/25/2013</t>
  </si>
  <si>
    <t>03/07/2017</t>
  </si>
  <si>
    <t>142785</t>
  </si>
  <si>
    <t>TRANSPARENT GROUP III METAL NITRIDE AND METHOD OF MANUFACTURE</t>
  </si>
  <si>
    <t>14/485516</t>
  </si>
  <si>
    <t>09/12/2014</t>
  </si>
  <si>
    <t>01/10/2017</t>
  </si>
  <si>
    <t>09/13/2013</t>
  </si>
  <si>
    <t>142697</t>
  </si>
  <si>
    <t>METHOD AND SYSTEM FOR PREPARING POLYCRYSTALLINE GROUP III METAL NITRIDE</t>
  </si>
  <si>
    <t>15/011266</t>
  </si>
  <si>
    <t>01/29/2016</t>
  </si>
  <si>
    <t>143174</t>
  </si>
  <si>
    <t>APPARATUS FOR PROCESSING MATERIALS AT HIGH TEMPATURES AND PRESSURES</t>
  </si>
  <si>
    <t>13/812757</t>
  </si>
  <si>
    <t>01/23/2015</t>
  </si>
  <si>
    <t>12/04/2018</t>
  </si>
  <si>
    <t>142697C</t>
  </si>
  <si>
    <t>16/023137</t>
  </si>
  <si>
    <t>06/29/2018</t>
  </si>
  <si>
    <t>143174-PCT</t>
  </si>
  <si>
    <t>PCT/US2011/045708</t>
  </si>
  <si>
    <t>125381</t>
  </si>
  <si>
    <t>DE-AR0000021</t>
  </si>
  <si>
    <t>RESEARCH TRIANGLE INSTITUTE - (RESEARCH T)</t>
  </si>
  <si>
    <t xml:space="preserve">CATALYST COMPOSITIONS AND USE THEREOF IN CATALYTIC BIOMASS PYROLYSIS </t>
  </si>
  <si>
    <t xml:space="preserve"> 14/649540</t>
  </si>
  <si>
    <t>12/04/2013</t>
  </si>
  <si>
    <t>125292</t>
  </si>
  <si>
    <t>CATALYTIC BIOMASS PYROLYSIS PROCESS BASED ON A SHORT-CONTACT TIME TRANSPORT REACTOR CONTAINING A NOVEL DEOXYGENAGTION CATALYST</t>
  </si>
  <si>
    <t>09/04/2014</t>
  </si>
  <si>
    <t>03/07/2012</t>
  </si>
  <si>
    <t>142894</t>
  </si>
  <si>
    <t>DE-AR0000022</t>
  </si>
  <si>
    <t>KOHANA TECHNOLOGIES INC. - (KOH)</t>
  </si>
  <si>
    <t>TURBINE BLADES AND SYSTEMS WITH FORWARD BLOWING SLOTS</t>
  </si>
  <si>
    <t>13/400014</t>
  </si>
  <si>
    <t>09/15/2015</t>
  </si>
  <si>
    <t>125281</t>
  </si>
  <si>
    <t>GEORGIA INSTITUTE OF TECHNOLOGY - (GEORGIA IN)</t>
  </si>
  <si>
    <t>ADAPTIVE PNEUMATIC WIND TURBINE BLADES</t>
  </si>
  <si>
    <t>07/18/2011</t>
  </si>
  <si>
    <t>11/30/2015</t>
  </si>
  <si>
    <t>125123</t>
  </si>
  <si>
    <t>DE-AR0000024</t>
  </si>
  <si>
    <t>NALCO CHEMICAL CORPORATIO - (CN0179)</t>
  </si>
  <si>
    <t>LAYERED BASIC  ZINC ACETATE AS A CATALYST FOR CO2 CAPTURE</t>
  </si>
  <si>
    <t>125046</t>
  </si>
  <si>
    <t>04/23/2013</t>
  </si>
  <si>
    <t>125079</t>
  </si>
  <si>
    <t>LAYERED BASIC ZINC ACETATE AS A CATALYST FOR CO2 CAPTURE</t>
  </si>
  <si>
    <t>125076</t>
  </si>
  <si>
    <t>ENERGY EFFICIENT CAPTURE OF CO2 FROM COAL FLUE GAS</t>
  </si>
  <si>
    <t>125053</t>
  </si>
  <si>
    <t>125132</t>
  </si>
  <si>
    <t>LA(OH)3 AS A CATALYST IN CO2 CAPTURE</t>
  </si>
  <si>
    <t>125078</t>
  </si>
  <si>
    <t>125141</t>
  </si>
  <si>
    <t>10/22/2012</t>
  </si>
  <si>
    <t>125142</t>
  </si>
  <si>
    <t>CO2 CAPTURE MODULE</t>
  </si>
  <si>
    <t>125397</t>
  </si>
  <si>
    <t>DE-AR0000025</t>
  </si>
  <si>
    <t>PORIFERA, INC. - (PORIFERA)</t>
  </si>
  <si>
    <t>PREPARATION OF ALIGNED NANOTUBE MEMBRANES FOR WATER AND GAS SEPARATION APPLICATIONS</t>
  </si>
  <si>
    <t>13/654057</t>
  </si>
  <si>
    <t>10/17/2012</t>
  </si>
  <si>
    <t>01/05/2016</t>
  </si>
  <si>
    <t>125947</t>
  </si>
  <si>
    <t>MEMBRANES HAVING ALIGNED 1-D NANOPARTICLES IN A MATRIX LAYER FOR IMPROVED FLUID SEPARATION</t>
  </si>
  <si>
    <t>13/428843</t>
  </si>
  <si>
    <t>125424</t>
  </si>
  <si>
    <t>DE-AR0000026</t>
  </si>
  <si>
    <t>LEHIGH UNIVERSITY - (LEHIGH UNI)</t>
  </si>
  <si>
    <t>SUPERCAPACITIVE SWING ADSORPTION</t>
  </si>
  <si>
    <t>14/112666</t>
  </si>
  <si>
    <t>02/03/2014</t>
  </si>
  <si>
    <t>125409</t>
  </si>
  <si>
    <t>DE-AR0000033</t>
  </si>
  <si>
    <t>CALIFORNIA INSTITUTE OF TECHNOLOGY - (CALIFINSTI)</t>
  </si>
  <si>
    <t>SCANNING METHOD FOR MEASUREMENT OF SEEBECK COEFFICIENT ON BULK AND THIN FILM MATERIALS</t>
  </si>
  <si>
    <t>13/547006</t>
  </si>
  <si>
    <t>07/11/2012</t>
  </si>
  <si>
    <t>04/19/2016</t>
  </si>
  <si>
    <t>125841</t>
  </si>
  <si>
    <t>PHONONIC DEVICES, INC. - (PHONONIC)</t>
  </si>
  <si>
    <t>THIN-FILM HETEROSTRUCTURE THERMOELECTRICS IN A GROUP IIA AND IV-VI MATERIALS SYSTEM</t>
  </si>
  <si>
    <t>13/404548</t>
  </si>
  <si>
    <t>10/22/2013</t>
  </si>
  <si>
    <t>125842</t>
  </si>
  <si>
    <t>13/416246</t>
  </si>
  <si>
    <t>03/09/2012</t>
  </si>
  <si>
    <t>148644</t>
  </si>
  <si>
    <t>DE-AR0000034</t>
  </si>
  <si>
    <t>ENVIA SYSTEMS, INC. - (ENVIA)</t>
  </si>
  <si>
    <t>HIGH CAPACITY ANODE MATERIALS FOR LITHIUM ION BATTERIES</t>
  </si>
  <si>
    <t>12/938951</t>
  </si>
  <si>
    <t>11/03/2010</t>
  </si>
  <si>
    <t>11/17/2015</t>
  </si>
  <si>
    <t>148628</t>
  </si>
  <si>
    <t>POROUS SILICON BASED ANODE MATERIAL FORMED USING METAL REDUCTION</t>
  </si>
  <si>
    <t>13/354096</t>
  </si>
  <si>
    <t>01/19/2012</t>
  </si>
  <si>
    <t>09/22/2015</t>
  </si>
  <si>
    <t>143113</t>
  </si>
  <si>
    <t>SILICON OXIDE BASED HIGH CAPACITY ANODE MATERIALS FOR LITHIUM ION BATTERIES</t>
  </si>
  <si>
    <t>13/108708</t>
  </si>
  <si>
    <t>05/16/2011</t>
  </si>
  <si>
    <t>03/21/2017</t>
  </si>
  <si>
    <t>DE-AR0000035</t>
  </si>
  <si>
    <t>FASTCAP SYSTEMS, CORP. - (FASTCAP)</t>
  </si>
  <si>
    <t>05/02/2013</t>
  </si>
  <si>
    <t>03/29/2016</t>
  </si>
  <si>
    <t>142764</t>
  </si>
  <si>
    <t>POWER SUPPLY FOR DOWNHOLE RETRIEVAL</t>
  </si>
  <si>
    <t>13/553716</t>
  </si>
  <si>
    <t>07/19/2012</t>
  </si>
  <si>
    <t>07/26/2016</t>
  </si>
  <si>
    <t>142769P2</t>
  </si>
  <si>
    <t>ULTRACAPACITORS WITH HIGH FREQUENCY RESPONSE</t>
  </si>
  <si>
    <t>61/739663</t>
  </si>
  <si>
    <t>11/02/2012</t>
  </si>
  <si>
    <t>61/602775</t>
  </si>
  <si>
    <t>11/09/2012</t>
  </si>
  <si>
    <t>142769P3</t>
  </si>
  <si>
    <t>61/919692</t>
  </si>
  <si>
    <t>142767</t>
  </si>
  <si>
    <t>ENHANCED CARBON BASED ELECTRODE FOR USE IN ENERGY STORAGE DEVICES</t>
  </si>
  <si>
    <t>13/886177</t>
  </si>
  <si>
    <t>125125</t>
  </si>
  <si>
    <t>ENERGY STORAGE MEDIA FOR ULTRACAPACITORS</t>
  </si>
  <si>
    <t>13/491593</t>
  </si>
  <si>
    <t>06/07/2012</t>
  </si>
  <si>
    <t>125094</t>
  </si>
  <si>
    <t>LOW-COST HIGH ENERGY AND POWER DENSITY NANOTUBE-ENHANCED ULTRACAPACITOR</t>
  </si>
  <si>
    <t>ELECTROLYTES FOR ULTACAPACITORS</t>
  </si>
  <si>
    <t>02/25/2013</t>
  </si>
  <si>
    <t>01/31/2017</t>
  </si>
  <si>
    <t>142764P2</t>
  </si>
  <si>
    <t>61/557005</t>
  </si>
  <si>
    <t>142768</t>
  </si>
  <si>
    <t>142769P1</t>
  </si>
  <si>
    <t>61/692790</t>
  </si>
  <si>
    <t>142770</t>
  </si>
  <si>
    <t>NOVEL SUPER ELECTROLYTIC CAPACITOR</t>
  </si>
  <si>
    <t>61/808153</t>
  </si>
  <si>
    <t>142766</t>
  </si>
  <si>
    <t>IN-LINE MANUFACTURE OF CARBON NANOTUBES</t>
  </si>
  <si>
    <t>13/588452</t>
  </si>
  <si>
    <t>08/17/2012</t>
  </si>
  <si>
    <t>04/28/2015</t>
  </si>
  <si>
    <t>142771</t>
  </si>
  <si>
    <t>HIGH ENERGY AND POWER ULTRACAPACITOR</t>
  </si>
  <si>
    <t>61/925740</t>
  </si>
  <si>
    <t>142772</t>
  </si>
  <si>
    <t>ELECTRODES FOR ENERGY STORAGE DEVICES BASED ON CARBON NANOTUBES AND METAL CARBIDE NANOWHISKERS</t>
  </si>
  <si>
    <t>142773</t>
  </si>
  <si>
    <t>ELECTRODES FOR ENERGY STORAGE DEVICES BASED ON ANODIZED ALUMINUM</t>
  </si>
  <si>
    <t>142763</t>
  </si>
  <si>
    <t>HIGH TEMPERATURE ENERGY STORAGE DEVICE</t>
  </si>
  <si>
    <t>14/131666</t>
  </si>
  <si>
    <t>142764C1</t>
  </si>
  <si>
    <t>ADVANCED ELECTROLYTE SYSTEMS AND THEIR USE IN ENERGY STORAGE DEVICES</t>
  </si>
  <si>
    <t>13/776603</t>
  </si>
  <si>
    <t>142765</t>
  </si>
  <si>
    <t>HIGH POWER AND HIGH ENERGY ELECTRODES USING CARBON NANOTUBES</t>
  </si>
  <si>
    <t>13/587037</t>
  </si>
  <si>
    <t>08/16/2012</t>
  </si>
  <si>
    <t>04/07/2015</t>
  </si>
  <si>
    <t>142765C1</t>
  </si>
  <si>
    <t>14/679393</t>
  </si>
  <si>
    <t>04/06/2015</t>
  </si>
  <si>
    <t>125867</t>
  </si>
  <si>
    <t>DE-AR0000036</t>
  </si>
  <si>
    <t>SUN CATALYTIX CORPORATION - (SUN CATALYTIX)</t>
  </si>
  <si>
    <t>NANOSTRUCTURES, SYSTEMS, AND METHODS FOR PHOTOCATALYSIS</t>
  </si>
  <si>
    <t>13/452258</t>
  </si>
  <si>
    <t>04/20/2012</t>
  </si>
  <si>
    <t>12/08/2015</t>
  </si>
  <si>
    <t>125012</t>
  </si>
  <si>
    <t>AFFORDABLE ENERGY FROM WATER AND SUNLIGHT</t>
  </si>
  <si>
    <t>125006</t>
  </si>
  <si>
    <t>142655</t>
  </si>
  <si>
    <t>HARVARD UNIVERSITY - (HARVARD UN)</t>
  </si>
  <si>
    <t>PHOTOACTIVE NANOSTRUCTURES FOR PARTICLE-STLE PHOTOELECTROCHEMICAL SYSTEMS</t>
  </si>
  <si>
    <t>14/951339</t>
  </si>
  <si>
    <t>11/24/2015</t>
  </si>
  <si>
    <t>125070</t>
  </si>
  <si>
    <t>DE-AR0000037</t>
  </si>
  <si>
    <t>ALGEVENTURE SYSTEMS - (ALGAEVEN)</t>
  </si>
  <si>
    <t>IMPROVED METHOD FOR COLLECTING MATTER WITH A MATTER COLLECTION UNIT</t>
  </si>
  <si>
    <t>10/07/2011</t>
  </si>
  <si>
    <t>11/04/2014</t>
  </si>
  <si>
    <t>125126</t>
  </si>
  <si>
    <t>DE-AR0000038</t>
  </si>
  <si>
    <t>FLUIDIC, INC. - (FLUIDIC)</t>
  </si>
  <si>
    <t>ELECTROCHEMICAL DEVICES COMPRISING QUINONES</t>
  </si>
  <si>
    <t>125131</t>
  </si>
  <si>
    <t>METAL-AIR CELL WITH ION EXCHANGE MATERIAL</t>
  </si>
  <si>
    <t>13/526342</t>
  </si>
  <si>
    <t>06/18/2012</t>
  </si>
  <si>
    <t>08/25/2015</t>
  </si>
  <si>
    <t>125031</t>
  </si>
  <si>
    <t>TUNED HYDROPHOBICITY</t>
  </si>
  <si>
    <t>13/085714</t>
  </si>
  <si>
    <t>04/13/2011</t>
  </si>
  <si>
    <t>04/06/1999</t>
  </si>
  <si>
    <t>125017</t>
  </si>
  <si>
    <t>METAL-AIR CELL WITH HYDROPHOBIC AND HYGROSCOPIC IONICALLY CONDUCTIVE MEDIUMS</t>
  </si>
  <si>
    <t>13/229444</t>
  </si>
  <si>
    <t>09/09/2011</t>
  </si>
  <si>
    <t>125348</t>
  </si>
  <si>
    <t>IONIC LIQUID METAL-AIR BATTERY</t>
  </si>
  <si>
    <t>12/776962</t>
  </si>
  <si>
    <t>05/10/2010</t>
  </si>
  <si>
    <t>11/25/2014</t>
  </si>
  <si>
    <t>10/15/2012</t>
  </si>
  <si>
    <t>125283</t>
  </si>
  <si>
    <t>ALUMINUM-BASED METAL-AIR BATTERIES</t>
  </si>
  <si>
    <t>13653830</t>
  </si>
  <si>
    <t>01/12/2016</t>
  </si>
  <si>
    <t>125380</t>
  </si>
  <si>
    <t>METAL-AIR CELL WITH METAL CONTAINING ADDITIVE</t>
  </si>
  <si>
    <t>13/105794</t>
  </si>
  <si>
    <t>05/11/2011</t>
  </si>
  <si>
    <t>11/10/2015</t>
  </si>
  <si>
    <t>125130</t>
  </si>
  <si>
    <t>SYNTHESIS OF HETERO IONIC COMPOUNDS USING DIALKYLCARBONATE QUATERNIZATION</t>
  </si>
  <si>
    <t>13/526432</t>
  </si>
  <si>
    <t>125052</t>
  </si>
  <si>
    <t>IONIC LIQUID CONTAINING SULFONATE IONS</t>
  </si>
  <si>
    <t>13/448923</t>
  </si>
  <si>
    <t>04/17/2012</t>
  </si>
  <si>
    <t>06/03/2014</t>
  </si>
  <si>
    <t>125127</t>
  </si>
  <si>
    <t>DEGENERATELY DOPED METALLIC ANODES</t>
  </si>
  <si>
    <t>14/044813</t>
  </si>
  <si>
    <t>10/02/2013</t>
  </si>
  <si>
    <t>05/12/2015</t>
  </si>
  <si>
    <t>125711</t>
  </si>
  <si>
    <t>METHODS OF PRODUCING SULFATE SALTS OF CATIONS FROM HETEROATOMIC COMPOUNDS AND DIALKYL SULFATES AND USES THEREOF</t>
  </si>
  <si>
    <t>13/526058</t>
  </si>
  <si>
    <t>09/29/2015</t>
  </si>
  <si>
    <t>125712</t>
  </si>
  <si>
    <t>METHODS FOR THE PRODUCTION OF ANION EXCHANGING POLYMERS AND THE USE THEREOF IN BATTERIES</t>
  </si>
  <si>
    <t>125380-DIV1</t>
  </si>
  <si>
    <t>16/455185</t>
  </si>
  <si>
    <t>125380-PCT</t>
  </si>
  <si>
    <t>PCT/US2011/036151</t>
  </si>
  <si>
    <t>125380-DIV2</t>
  </si>
  <si>
    <t>14/862376</t>
  </si>
  <si>
    <t>10374236</t>
  </si>
  <si>
    <t>08/06/2019</t>
  </si>
  <si>
    <t>142886</t>
  </si>
  <si>
    <t>DE-AR0000040</t>
  </si>
  <si>
    <t>GM GLOBAL TECHNOLOGY OPERATIONS, LLC - (GMGLO)</t>
  </si>
  <si>
    <t>NUMERICAL MODELING OF A SHAPE-MEMORY ALLOY HEAT ENGINE</t>
  </si>
  <si>
    <t>61/447321</t>
  </si>
  <si>
    <t>02/28/2011</t>
  </si>
  <si>
    <t>142887</t>
  </si>
  <si>
    <t>SHAPE-MEMORY ALLOY HEAT ENGINE</t>
  </si>
  <si>
    <t>61/447317</t>
  </si>
  <si>
    <t>142888</t>
  </si>
  <si>
    <t xml:space="preserve">SHAPE MEMORY ALLOY WORKING ELEMENTS FOR SHAPE MEMORY ALLOY HEAT ENGINES </t>
  </si>
  <si>
    <t>61/447315</t>
  </si>
  <si>
    <t>142889</t>
  </si>
  <si>
    <t>LARGE SCALE WORKING ELEMENTS FOR SHAPE MEMORY ALLOY HEAT ENGINES</t>
  </si>
  <si>
    <t>61/447306</t>
  </si>
  <si>
    <t>142890</t>
  </si>
  <si>
    <t xml:space="preserve">ENERGY HARVESTING SYSTEM FOR A VEHICLE </t>
  </si>
  <si>
    <t>13/340886</t>
  </si>
  <si>
    <t>12/30/2011</t>
  </si>
  <si>
    <t>04/14/2015</t>
  </si>
  <si>
    <t>142891</t>
  </si>
  <si>
    <t>61/447328</t>
  </si>
  <si>
    <t>142892</t>
  </si>
  <si>
    <t>APPARATUS AND METHOD FOR RESISTIVE HEATING-BASED, IN-SITU., POST-WELDING HEAT TREATMENT OF WELDED SMA WIRES</t>
  </si>
  <si>
    <t>142893</t>
  </si>
  <si>
    <t>APPARATUS AND METHOD FOR JOINING SMA WIRES USING MICRO PULSE ARC WELDING</t>
  </si>
  <si>
    <t>125742</t>
  </si>
  <si>
    <t xml:space="preserve"> SHAPE MEMORY ALLOY HEAT ENGINES AND ENERGY HARVESTING SYSTEMS  </t>
  </si>
  <si>
    <t>13/340955</t>
  </si>
  <si>
    <t>12/17/2013</t>
  </si>
  <si>
    <t>107943</t>
  </si>
  <si>
    <t xml:space="preserve">SHAPE MEMORY ALLOY HEAT ENGINES AND ENERGY HARVESTING SYSTEMS </t>
  </si>
  <si>
    <t>13/340964</t>
  </si>
  <si>
    <t>09/30/2014</t>
  </si>
  <si>
    <t>125799</t>
  </si>
  <si>
    <t xml:space="preserve">METHOD OF STARTING AND OPERATING A SHAPE MEMORY ALLOY HEAT ENGINE </t>
  </si>
  <si>
    <t>13/340897</t>
  </si>
  <si>
    <t>08/30/2012</t>
  </si>
  <si>
    <t>125656</t>
  </si>
  <si>
    <t>DE-AR0000041</t>
  </si>
  <si>
    <t>UNIVERSITY OF ILLINOIS URBANA-CHAMPAIGN - (UNVILLURB)</t>
  </si>
  <si>
    <t>TAPERED - AND SURFACE-ROUGHNESS CONTROLLED SILICON NANOWIRE LARGE-SCALE PRODUCTION METHOD</t>
  </si>
  <si>
    <t>142634</t>
  </si>
  <si>
    <t>DE-AR0000042</t>
  </si>
  <si>
    <t>AGRIVIDA, INC. - (AGRIVIDA)</t>
  </si>
  <si>
    <t>PLANTS WITH ENGINEERED ENDOGENOUS GENES</t>
  </si>
  <si>
    <t>09/24/2014</t>
  </si>
  <si>
    <t>142730</t>
  </si>
  <si>
    <t>INTEIN-MODIFIED ENZYMES, THEIR PRODUCTION AND INDUSTRIAL APPLICATIONS</t>
  </si>
  <si>
    <t>09/20/2012</t>
  </si>
  <si>
    <t>10/11/2016</t>
  </si>
  <si>
    <t>142638</t>
  </si>
  <si>
    <t>142635</t>
  </si>
  <si>
    <t>CONSOLIDATED PRETREATMENT AND HYDROLYSIS OF PLANT BIOMASS EXPRESSING CELL WALL DEGRADING ENZYMES</t>
  </si>
  <si>
    <t>13/414627</t>
  </si>
  <si>
    <t>02/02/2016</t>
  </si>
  <si>
    <t>143083</t>
  </si>
  <si>
    <t>DE-AR0000044</t>
  </si>
  <si>
    <t>FORO ENERGY, INC. - (FOROENERGY)</t>
  </si>
  <si>
    <t>SYSTEMS AND ASSEMBLIES FOR TRANSFERRING HIGH POWER LASET ENERGY THROUGH A ROTATING JUNCTION</t>
  </si>
  <si>
    <t>13/782942</t>
  </si>
  <si>
    <t>03/01/2013</t>
  </si>
  <si>
    <t>01/26/2016</t>
  </si>
  <si>
    <t>125495</t>
  </si>
  <si>
    <t>CONTROL SYSTEM FOR HIGH POWER LASER DRILLING WORKOVER AND COMPLETION UNIT</t>
  </si>
  <si>
    <t>13/403692</t>
  </si>
  <si>
    <t>02/23/2012</t>
  </si>
  <si>
    <t>125098</t>
  </si>
  <si>
    <t>RUGED HIGH POWER LASER FIBER OPTIC CONNECTORS AND METHODS OF USE</t>
  </si>
  <si>
    <t>61/605413</t>
  </si>
  <si>
    <t>03/01/2012</t>
  </si>
  <si>
    <t>125120</t>
  </si>
  <si>
    <t>RUGGED PASSIVELY COOLED HIGH POWER LASER FIBER OPTIC CONNECTORS AND METHODS OF USE_x000D_</t>
  </si>
  <si>
    <t>13/486795</t>
  </si>
  <si>
    <t>06/01/2012</t>
  </si>
  <si>
    <t>06/07/2016</t>
  </si>
  <si>
    <t>125121</t>
  </si>
  <si>
    <t>HIGH POWER FIBER LASER TECHNOLOGY DEVELOPED FOR USE IN HIGH g, REMOTE ENVIRONMENTS</t>
  </si>
  <si>
    <t>61/639960</t>
  </si>
  <si>
    <t>04/29/2012</t>
  </si>
  <si>
    <t>125732</t>
  </si>
  <si>
    <t xml:space="preserve">OPTICAL FIBER CONFIGURATIONS FOR TRANSMISSION OF LASER ENERGY OVER GREAT DISTANCES </t>
  </si>
  <si>
    <t>12/840978</t>
  </si>
  <si>
    <t>07/21/2010</t>
  </si>
  <si>
    <t>10/29/2013</t>
  </si>
  <si>
    <t>125104</t>
  </si>
  <si>
    <t>HIGH POWER OPTICAL SLIP RING ASSEMBLIES</t>
  </si>
  <si>
    <t>61/605401</t>
  </si>
  <si>
    <t>125105</t>
  </si>
  <si>
    <t>OPTICS ASSEMBLY FOR HIGH POWER LASER TOOLS</t>
  </si>
  <si>
    <t>13/403509</t>
  </si>
  <si>
    <t>125106</t>
  </si>
  <si>
    <t>HIGH POWER LASER-MECHANICAL DRILLING BIT AND METHODS OF USE</t>
  </si>
  <si>
    <t>13/403615</t>
  </si>
  <si>
    <t>125107</t>
  </si>
  <si>
    <t>LONG DISTANCE HIGH POWER OPTICAL LASER FIBER BREAK DETECTION AND CONTINUITY MONITORING SYSTEMS AND METHODS</t>
  </si>
  <si>
    <t>13/403723</t>
  </si>
  <si>
    <t>125108</t>
  </si>
  <si>
    <t>METHOD OF HIGH POWER LASER-MECHANICAL DRILLING</t>
  </si>
  <si>
    <t>13/403132</t>
  </si>
  <si>
    <t>125099</t>
  </si>
  <si>
    <t>ELECTRIC MOTOR FOR LASER-MECHANICAL DRILLING</t>
  </si>
  <si>
    <t>13/403287</t>
  </si>
  <si>
    <t>07/07/2015</t>
  </si>
  <si>
    <t>61/446042</t>
  </si>
  <si>
    <t>125100</t>
  </si>
  <si>
    <t xml:space="preserve"> HIGH POWER LASER CUTTING TOOL AND SYSTEM</t>
  </si>
  <si>
    <t>61/605429</t>
  </si>
  <si>
    <t>125101</t>
  </si>
  <si>
    <t>02/23/2016</t>
  </si>
  <si>
    <t>125102</t>
  </si>
  <si>
    <t>HIGH POWER LASER TOOLS</t>
  </si>
  <si>
    <t>61/605434</t>
  </si>
  <si>
    <t>125103</t>
  </si>
  <si>
    <t>A METHOD OF PROTECTING HIGH POWER LASER DRILLING WORKOVER AND COMPLETION SYSTEMS FROM CARBON GETTERING DEPOSITS</t>
  </si>
  <si>
    <t>13/403741</t>
  </si>
  <si>
    <t>125024</t>
  </si>
  <si>
    <t>TOOLS AND METHODS OF USE WITH A HIGH POWER LASER TRANSMISSION SYSTEM</t>
  </si>
  <si>
    <t>61/446312</t>
  </si>
  <si>
    <t>02/24/2011</t>
  </si>
  <si>
    <t>125026</t>
  </si>
  <si>
    <t>125025</t>
  </si>
  <si>
    <t>61/446407</t>
  </si>
  <si>
    <t>125030</t>
  </si>
  <si>
    <t>61/446041</t>
  </si>
  <si>
    <t>125027</t>
  </si>
  <si>
    <t>HIGH POWER LASER-MECHANICAL  DRILLING BIT AND METHODS OF USE</t>
  </si>
  <si>
    <t>61/446043</t>
  </si>
  <si>
    <t>125010</t>
  </si>
  <si>
    <t>WAVEGUIDE LASER JET AND METHODS OF USE UPDATE</t>
  </si>
  <si>
    <t>09/03/2010</t>
  </si>
  <si>
    <t>125009</t>
  </si>
  <si>
    <t>TWO-PHASE ISOLATION METHODS AND SYSTEMS FOR CONTROLLED DRILLING</t>
  </si>
  <si>
    <t>61/374594</t>
  </si>
  <si>
    <t>08/17/2010</t>
  </si>
  <si>
    <t>125004</t>
  </si>
  <si>
    <t>METHOD OF COMMUNICATING POWER AND/OR DATA THROUGH A MUD MOTOR</t>
  </si>
  <si>
    <t>61/247796</t>
  </si>
  <si>
    <t>10/01/2009</t>
  </si>
  <si>
    <t>125003</t>
  </si>
  <si>
    <t>OPTICAL FIBER CABLE FOR TRANSMISSION OF HIGH POWER LASER ENERGY OVER GREAT DISTANCES</t>
  </si>
  <si>
    <t>12/706576</t>
  </si>
  <si>
    <t>02/16/2010</t>
  </si>
  <si>
    <t>05/24/2016</t>
  </si>
  <si>
    <t>125180</t>
  </si>
  <si>
    <t>DOWNHOLE HIGHPOWER LASER, LASER WAVELENGTH CONVERTER, SYSTEMS AND METHOD OF USE</t>
  </si>
  <si>
    <t>61/786763</t>
  </si>
  <si>
    <t>125028</t>
  </si>
  <si>
    <t>ELECTRIC MOTOR FOR LASER - MECHANICAL DRILLING</t>
  </si>
  <si>
    <t>125048</t>
  </si>
  <si>
    <t>RUGGED PASSIVELY COOLED HIGH POWER LASER FIBER OPTIC CONNECTIONS AND METHOD OF USE</t>
  </si>
  <si>
    <t>61/493174</t>
  </si>
  <si>
    <t>06/03/2011</t>
  </si>
  <si>
    <t>06/30/2011</t>
  </si>
  <si>
    <t>125069</t>
  </si>
  <si>
    <t>FLUID LASER JETS, CUTTING HEADS, TOOLS AND METHODS OF USE</t>
  </si>
  <si>
    <t>13/222931</t>
  </si>
  <si>
    <t>08/16/2011</t>
  </si>
  <si>
    <t>125073</t>
  </si>
  <si>
    <t>13/211729</t>
  </si>
  <si>
    <t>08/17/2011</t>
  </si>
  <si>
    <t>125029</t>
  </si>
  <si>
    <t>61/446040</t>
  </si>
  <si>
    <t>143085</t>
  </si>
  <si>
    <t>HIGH POWER LASER ENERGY DISTRIBUTION PATTERNS, APPARATUS AND METHODS FOR CREATING WELLS</t>
  </si>
  <si>
    <t>13/852719</t>
  </si>
  <si>
    <t>03/28/2013</t>
  </si>
  <si>
    <t>03/15/2016</t>
  </si>
  <si>
    <t>125179</t>
  </si>
  <si>
    <t>TOTAL INTERNAL REFLECTION LASER TOOLS AND METHODS</t>
  </si>
  <si>
    <t>13/768149</t>
  </si>
  <si>
    <t>02/15/2013</t>
  </si>
  <si>
    <t>125178</t>
  </si>
  <si>
    <t>61/734809</t>
  </si>
  <si>
    <t>12/07/2012</t>
  </si>
  <si>
    <t>125497</t>
  </si>
  <si>
    <t xml:space="preserve">METHOD AND APPARATUS FOR DELIVERING HIGH POWER LASER ENERGY OVER LONG DISTANCES _x000D_
</t>
  </si>
  <si>
    <t>13/777650</t>
  </si>
  <si>
    <t>02/26/2013</t>
  </si>
  <si>
    <t>12/544136</t>
  </si>
  <si>
    <t>08/20/2013</t>
  </si>
  <si>
    <t>12/544094</t>
  </si>
  <si>
    <t>08/19/2009</t>
  </si>
  <si>
    <t>125072</t>
  </si>
  <si>
    <t>SYSTEMS AND CONVEYANCE STRUCTURES FOR HIGH POWER LONG DISTANCE LASER TRANSMISSION</t>
  </si>
  <si>
    <t>13/210581</t>
  </si>
  <si>
    <t>03/04/2014</t>
  </si>
  <si>
    <t>125011</t>
  </si>
  <si>
    <t>LASER BOTTOM HOLE ASSEMBLY</t>
  </si>
  <si>
    <t>12/896021</t>
  </si>
  <si>
    <t>10/01/2010</t>
  </si>
  <si>
    <t>01/14/2014</t>
  </si>
  <si>
    <t>125007</t>
  </si>
  <si>
    <t>OPTICAL FIBER CONFIGURATIONS FOR TRANSMISSION OF LASER ENERGY OVER GREAT DISTANCES</t>
  </si>
  <si>
    <t>14/057567</t>
  </si>
  <si>
    <t>10/18/2013</t>
  </si>
  <si>
    <t>125005</t>
  </si>
  <si>
    <t>METHODS AND APPARATUS FOR REMOVAL AND CONTROL OF MATERIAL IN LASER DRILLING OF A BOREHOLE</t>
  </si>
  <si>
    <t>12/543968</t>
  </si>
  <si>
    <t>125002</t>
  </si>
  <si>
    <t>METHOD AND SYSTEM FOR ADVANCEMENT OF A BOREHOLE USING A HIGH POWER LASER</t>
  </si>
  <si>
    <t>12/543986</t>
  </si>
  <si>
    <t>09/09/2014</t>
  </si>
  <si>
    <t>125001</t>
  </si>
  <si>
    <t>APPARATUS FOR ADVANCING A WELLBORE USING HIGH POWER LASER ENERGY</t>
  </si>
  <si>
    <t>12/544038</t>
  </si>
  <si>
    <t>09/02/2014</t>
  </si>
  <si>
    <t>125000</t>
  </si>
  <si>
    <t>08/12/2009</t>
  </si>
  <si>
    <t>143105</t>
  </si>
  <si>
    <t>14/104395</t>
  </si>
  <si>
    <t>12/12/2013</t>
  </si>
  <si>
    <t>12/06/2016</t>
  </si>
  <si>
    <t>143107</t>
  </si>
  <si>
    <t>APPARATUS FOR PERFORMING OIL FIELD LASER OPERATIONS</t>
  </si>
  <si>
    <t>14/335627</t>
  </si>
  <si>
    <t>07/18/2014</t>
  </si>
  <si>
    <t>9534447</t>
  </si>
  <si>
    <t>01/03/2017</t>
  </si>
  <si>
    <t>125928</t>
  </si>
  <si>
    <t>METHOD AND APPARATUS FOR DELIVERING HIGH POWER LASER ENERGY TO A SURFACE</t>
  </si>
  <si>
    <t>125504</t>
  </si>
  <si>
    <t xml:space="preserve">HIGH POWER LASER PERFORATING TOOLS AND SYSTEMS _x000D_
</t>
  </si>
  <si>
    <t>13/800559</t>
  </si>
  <si>
    <t>03/13/2013</t>
  </si>
  <si>
    <t>04/22/2014</t>
  </si>
  <si>
    <t>125505</t>
  </si>
  <si>
    <t xml:space="preserve">HIGH POWER LASER WORKOVER AND COMPLETION TOOLS AND SYSTEMS _x000D_
</t>
  </si>
  <si>
    <t>13/800820</t>
  </si>
  <si>
    <t>10/28/2014</t>
  </si>
  <si>
    <t>125506</t>
  </si>
  <si>
    <t xml:space="preserve">HIGH POWER DOWNHOLE LASER CUTTING TOOLS AND SYSTEMS_x000D_
</t>
  </si>
  <si>
    <t>13/800879</t>
  </si>
  <si>
    <t>01/20/2015</t>
  </si>
  <si>
    <t>125927</t>
  </si>
  <si>
    <t xml:space="preserve">METHOD FOR ENHANCING THE EFFICIENCY OF CREATING A BOREHOLE USING HIGH POWER LASER SYSTEMS_x000D_
</t>
  </si>
  <si>
    <t>13/800933</t>
  </si>
  <si>
    <t>06/24/2014</t>
  </si>
  <si>
    <t>125930</t>
  </si>
  <si>
    <t>143339</t>
  </si>
  <si>
    <t>DE-AR0000045</t>
  </si>
  <si>
    <t>EAGLE-PICHER INDUSTRIE - (CN0241)</t>
  </si>
  <si>
    <t>ALKAI HALIDE CELLS</t>
  </si>
  <si>
    <t>12/696669</t>
  </si>
  <si>
    <t>03/12/2015</t>
  </si>
  <si>
    <t>08/13/2013</t>
  </si>
  <si>
    <t>125282</t>
  </si>
  <si>
    <t>DE-AR0000047</t>
  </si>
  <si>
    <t>MASSACHUSETTS INSTITUTE OF TECHNOLOGY (MIT) - (MASS. INST)</t>
  </si>
  <si>
    <t>ALKALI-ION BATTERY WITH BI-METALLIC CATHODE</t>
  </si>
  <si>
    <t>13/237215</t>
  </si>
  <si>
    <t>09/20/2011</t>
  </si>
  <si>
    <t>125312</t>
  </si>
  <si>
    <t>DISPLACEMENT SALT ELECTRODES</t>
  </si>
  <si>
    <t>14/208218</t>
  </si>
  <si>
    <t>125244</t>
  </si>
  <si>
    <t>MASSACHUSETTS INST. OF TECH - (CN0268)</t>
  </si>
  <si>
    <t>LIQUID ANTIMONY-LEAD ALLOY AS CATHODE MATERIAL IN A LIQUID METAL BATTERY</t>
  </si>
  <si>
    <t>125259</t>
  </si>
  <si>
    <t>Autoclavable Photobioreactor</t>
  </si>
  <si>
    <t>125412</t>
  </si>
  <si>
    <t>SEQUESTRATION OF CARBON DIOXIDE WITH HYDROGEN TO USEFUL PRODUCTS</t>
  </si>
  <si>
    <t>14/526897</t>
  </si>
  <si>
    <t>10/19/2014</t>
  </si>
  <si>
    <t>125354</t>
  </si>
  <si>
    <t>LOW COST SEPARATOR FOR LIQUID METAL BATTERIES</t>
  </si>
  <si>
    <t>11/29/2012</t>
  </si>
  <si>
    <t>125334</t>
  </si>
  <si>
    <t>HIGH TEMPERATURE SEALED ELECTROCHEMICAL CELL</t>
  </si>
  <si>
    <t>13/548347</t>
  </si>
  <si>
    <t>07/13/2012</t>
  </si>
  <si>
    <t>9153803</t>
  </si>
  <si>
    <t>10/06/2015</t>
  </si>
  <si>
    <t>125258</t>
  </si>
  <si>
    <t>ASSEMBLY METHOD FOR LIQUID METAL BATTERIES</t>
  </si>
  <si>
    <t>14/202396</t>
  </si>
  <si>
    <t>03/10/2014</t>
  </si>
  <si>
    <t>125357</t>
  </si>
  <si>
    <t>LOW-TEMPERATURE LIQUID METAL BATTERIES FOR GRID-SCALED STORAGE</t>
  </si>
  <si>
    <t>14/045967</t>
  </si>
  <si>
    <t>10/04/2013</t>
  </si>
  <si>
    <t>03/12/2012</t>
  </si>
  <si>
    <t>125532</t>
  </si>
  <si>
    <t>CALCIUM-BASED LIQUID METAL BATTERY</t>
  </si>
  <si>
    <t>16/193405</t>
  </si>
  <si>
    <t>11/16/2018</t>
  </si>
  <si>
    <t>06/29/2015</t>
  </si>
  <si>
    <t>125282-PCT</t>
  </si>
  <si>
    <t>PCT/US2011/052316</t>
  </si>
  <si>
    <t>125798</t>
  </si>
  <si>
    <t>ALKALI METAL ION BATTERY WITH BIMETALLIC ELECTRODE</t>
  </si>
  <si>
    <t>14/678602</t>
  </si>
  <si>
    <t>04/03/2015</t>
  </si>
  <si>
    <t>PCT/US2013/063472</t>
  </si>
  <si>
    <t>125532-2</t>
  </si>
  <si>
    <t>14/968381</t>
  </si>
  <si>
    <t>12/14/2015</t>
  </si>
  <si>
    <t>125404</t>
  </si>
  <si>
    <t>DE-AR0000056</t>
  </si>
  <si>
    <t>CATALYTIC BIOREACTORS AND METHODS OF USING SAME</t>
  </si>
  <si>
    <t>14/199714</t>
  </si>
  <si>
    <t>03/06/2014</t>
  </si>
  <si>
    <t>125403</t>
  </si>
  <si>
    <t>REACTOR FOR INCOMPATIBLE GASEOUS REACTANTS</t>
  </si>
  <si>
    <t>125905</t>
  </si>
  <si>
    <t>USING GAPN (TADD) ENZYME FROM RHODOCOCCUS OPACUS PD630 TO MODULATE INTRACELLULAR REDUCED COFACTOR POOL SIZE</t>
  </si>
  <si>
    <t>125904</t>
  </si>
  <si>
    <t>BIOREACTOR FOR INCOMPATIBLE GASES</t>
  </si>
  <si>
    <t>125606</t>
  </si>
  <si>
    <t>DE-AR0000059</t>
  </si>
  <si>
    <t>METHOD FOR PRODUCTION OF AROMATIC AND AROMATIC-DERIVED COMPOUNDS USING CO-CULTURE OF TWO E-COIL STRAINS</t>
  </si>
  <si>
    <t>125371</t>
  </si>
  <si>
    <t>METHODS FOR MICROBIAL OIL OVERPRODUCTION VIA AMPLIFICATION OF THE BIOSYNTHETIC AND SEQUESTRATION PATHWAYS INDIVIDUALLY OR IN COMBINATION</t>
  </si>
  <si>
    <t>13/656086</t>
  </si>
  <si>
    <t>10/19/2012</t>
  </si>
  <si>
    <t>02/10/2015</t>
  </si>
  <si>
    <t>125319</t>
  </si>
  <si>
    <t xml:space="preserve">ENGINEERING MICROBES AND METABOLIC PATHWAYS FOR THE PRODUCTION OF ETHYLENE GLYCOL </t>
  </si>
  <si>
    <t>13/774212</t>
  </si>
  <si>
    <t>02/22/2013</t>
  </si>
  <si>
    <t>125370-2CON</t>
  </si>
  <si>
    <t>ENGINEERED MICROBES AND METHODS FOR MICROBIAL OIL OVERPRODUCTION FROM CELLULOSIC MATERIALS</t>
  </si>
  <si>
    <t>15/837807</t>
  </si>
  <si>
    <t>12/11/2017</t>
  </si>
  <si>
    <t>14/817489</t>
  </si>
  <si>
    <t>06/21/2013</t>
  </si>
  <si>
    <t>125319-CON</t>
  </si>
  <si>
    <t>14/864493</t>
  </si>
  <si>
    <t>09/24/2015</t>
  </si>
  <si>
    <t>06/12/2018</t>
  </si>
  <si>
    <t>125370</t>
  </si>
  <si>
    <t>METHODS FOR MICROBIAL OIL OVERPRODUCTION FROM CELLULOSIC MATERIALS</t>
  </si>
  <si>
    <t>13/923607</t>
  </si>
  <si>
    <t>08/04/2015</t>
  </si>
  <si>
    <t>125900</t>
  </si>
  <si>
    <t>14/547304</t>
  </si>
  <si>
    <t>11/19/2014</t>
  </si>
  <si>
    <t>125319-PCT</t>
  </si>
  <si>
    <t>ENGINEERING MICROBES AND METABOLIC PATHWAYS FOR THE PRODUCTION OF ETHYLENE GLYCOL FROM XYLOSE, GLUCOSE, CARBOHYDRATES AND RENEWABLE RESOURCES</t>
  </si>
  <si>
    <t>PCT/US2013/027351</t>
  </si>
  <si>
    <t>125370-PCT</t>
  </si>
  <si>
    <t>PCT/US2013/047042</t>
  </si>
  <si>
    <t>125371-PCT</t>
  </si>
  <si>
    <t>PCT/US2012/061101</t>
  </si>
  <si>
    <t>125370-2</t>
  </si>
  <si>
    <t>01/30/2018</t>
  </si>
  <si>
    <t>125319-2</t>
  </si>
  <si>
    <t>16/004670</t>
  </si>
  <si>
    <t>06/11/2018</t>
  </si>
  <si>
    <t>125550</t>
  </si>
  <si>
    <t>INTEGRATED BIOLOGICAL CONVERSION OF GASEOUS SUBSTRATE INTO LIPIDS</t>
  </si>
  <si>
    <t>PCT/US2016/050369</t>
  </si>
  <si>
    <t>09/06/2016</t>
  </si>
  <si>
    <t>04/07/2014</t>
  </si>
  <si>
    <t>125750-CIP</t>
  </si>
  <si>
    <t>DE-AR0000060</t>
  </si>
  <si>
    <t>COLUMBIA TECHNOLOGY VENTURES - (COLUMBIA TECH)</t>
  </si>
  <si>
    <t>METHODS AND SYSTEMS FOR PRODUCING PRODUCTS USING ENGINEERED IRON OIDIZING BACTERIA AND COPPER METGAL</t>
  </si>
  <si>
    <t>15/248426</t>
  </si>
  <si>
    <t>08/26/2016</t>
  </si>
  <si>
    <t>13/823419</t>
  </si>
  <si>
    <t>09/21/2015</t>
  </si>
  <si>
    <t>125750</t>
  </si>
  <si>
    <t>ENHANCED COPPER LEACH RATES WITH ENGINEERED ORGANISM</t>
  </si>
  <si>
    <t>09/20/2013</t>
  </si>
  <si>
    <t>125298</t>
  </si>
  <si>
    <t>CHEMICAL PRODUCTION USING AMMONIA OXIDIZING BACTERIA</t>
  </si>
  <si>
    <t>PCT/US2011/032317</t>
  </si>
  <si>
    <t>125295</t>
  </si>
  <si>
    <t>CHEMICAL AND BIOFUEL PRODUCTION USING SULFUR OXIDIZING BACTERIA</t>
  </si>
  <si>
    <t>PCT/US2013/026339</t>
  </si>
  <si>
    <t>14/377223</t>
  </si>
  <si>
    <t>08/07/2014</t>
  </si>
  <si>
    <t>13/650824</t>
  </si>
  <si>
    <t>10/12/2012</t>
  </si>
  <si>
    <t>03/14/2013</t>
  </si>
  <si>
    <t>125359</t>
  </si>
  <si>
    <t>MEDIA FORMULATIONS FOR CHEMICAL AND FUEL PRODUCTION FROM ELECTRICITY USING IRON-OXIDIZING BACTERIA</t>
  </si>
  <si>
    <t>62/028043</t>
  </si>
  <si>
    <t>07/23/2014</t>
  </si>
  <si>
    <t>125534</t>
  </si>
  <si>
    <t>COLUMBIA UNIVERSITY OF NEW YORK AT MORNINGSIDE - (COLUMBIAUNIV)</t>
  </si>
  <si>
    <t>CHEMICALS AND FUELS FROM DILUTE CO2 ENABLE BY COPPER AS A REDOX MEDIATOR</t>
  </si>
  <si>
    <t>62/015890</t>
  </si>
  <si>
    <t>06/23/2014</t>
  </si>
  <si>
    <t>143379</t>
  </si>
  <si>
    <t>DE-AR0000061</t>
  </si>
  <si>
    <t>POLYPLUS BATTERY COMPANY - (POLY)</t>
  </si>
  <si>
    <t>OXYGEN-CARRYING COMPOUNDS IN LI/AIR BATTERIES</t>
  </si>
  <si>
    <t>13/289889</t>
  </si>
  <si>
    <t>11/04/2011</t>
  </si>
  <si>
    <t>143367-2</t>
  </si>
  <si>
    <t>AQUEOUS LITHIUM AIR BATTERIES</t>
  </si>
  <si>
    <t>15/956221</t>
  </si>
  <si>
    <t>04/27/2017</t>
  </si>
  <si>
    <t>143378-01</t>
  </si>
  <si>
    <t>AQUEOUS ELECTROLYTE LITHIUM SULFUR BATTERY</t>
  </si>
  <si>
    <t>13/475324</t>
  </si>
  <si>
    <t>05/18/2012</t>
  </si>
  <si>
    <t>08/20/2014</t>
  </si>
  <si>
    <t>143367-CON</t>
  </si>
  <si>
    <t>15/499790</t>
  </si>
  <si>
    <t>13/588911</t>
  </si>
  <si>
    <t>143378-2</t>
  </si>
  <si>
    <t>13/676487</t>
  </si>
  <si>
    <t>11/14/2012</t>
  </si>
  <si>
    <t>143378-2PCT</t>
  </si>
  <si>
    <t>PCT/US2012/065251</t>
  </si>
  <si>
    <t>143378-3</t>
  </si>
  <si>
    <t>ELECTRODE STRUCTURES FOR AQUEOUS ELECTROLYTE LITHIUM SULFUR BATTERIES</t>
  </si>
  <si>
    <t>13/440847</t>
  </si>
  <si>
    <t>04/05/2012</t>
  </si>
  <si>
    <t>143377</t>
  </si>
  <si>
    <t>CATHODE ARCHITECTURES FOR ALKALI METAL/OXYGEN BATTERIES</t>
  </si>
  <si>
    <t>13/525128</t>
  </si>
  <si>
    <t>06/15/2012</t>
  </si>
  <si>
    <t>01/13/2015</t>
  </si>
  <si>
    <t>143367</t>
  </si>
  <si>
    <t>05/23/2017</t>
  </si>
  <si>
    <t>143378</t>
  </si>
  <si>
    <t>125170</t>
  </si>
  <si>
    <t>DE-AR0000062</t>
  </si>
  <si>
    <t>PELLION TECHONOLOGIES - (PELLION)</t>
  </si>
  <si>
    <t>LAYER MATERIALS WITH IMPROVED MAGNESIUM INTERCALATION FOR RECHARGEABLE MAGNESIUM CELLS</t>
  </si>
  <si>
    <t>13/794440</t>
  </si>
  <si>
    <t>03/11/2013</t>
  </si>
  <si>
    <t>125171</t>
  </si>
  <si>
    <t>LAYER MATERIALS WITH IMPROVED MAGNESIUM INTERCALATION FOR RECHARGEABLE MAGNESIUM ION CELLS</t>
  </si>
  <si>
    <t>13/794508</t>
  </si>
  <si>
    <t>125172</t>
  </si>
  <si>
    <t>NON-AQUEOUS ELECTROLYTE FOR HIGH VOLTAGE RECHARGEABLE MAGNESIUM BATTERIES</t>
  </si>
  <si>
    <t>13/803456</t>
  </si>
  <si>
    <t>125173</t>
  </si>
  <si>
    <t>NON-AQUEOUS ELECTROLYTIC FOR HIGH VOLTAGE RECHARAGEBLE MAGNESIUM BATTERIES</t>
  </si>
  <si>
    <t>PCT/US13/31140</t>
  </si>
  <si>
    <t>125174</t>
  </si>
  <si>
    <t>NON-AQUEOUS ELECTROLYTIC FOR HIGH VOLTAGE RECHARAGEBLE MAGNESIUM ION CELL</t>
  </si>
  <si>
    <t>14/143898</t>
  </si>
  <si>
    <t>12/30/2013</t>
  </si>
  <si>
    <t>125175</t>
  </si>
  <si>
    <t>13/803382</t>
  </si>
  <si>
    <t>125176</t>
  </si>
  <si>
    <t>LAYERED MATERIALS WITH IMPROVED MAGNESIUM INTERCALATION FOR RECHARGEABLE MAGNESIUM ION CELLS</t>
  </si>
  <si>
    <t>13/794551</t>
  </si>
  <si>
    <t>125177</t>
  </si>
  <si>
    <t>13/803321</t>
  </si>
  <si>
    <t>03/22/2016</t>
  </si>
  <si>
    <t>125160</t>
  </si>
  <si>
    <t>DE-AR0000063</t>
  </si>
  <si>
    <t>Applied Materials, Inc. - (APPLIEDMAT)</t>
  </si>
  <si>
    <t>ELECTRODE SURFACE ROUGHNESS CONTROL FOR SPRAY COATING PROCESS FOR LITHIUM-ION BATTERY</t>
  </si>
  <si>
    <t>13/402724</t>
  </si>
  <si>
    <t>02/22/2012</t>
  </si>
  <si>
    <t>125212</t>
  </si>
  <si>
    <t>COMPLEX SHOWERHEAD COATING APPARATUS WITH ELECTROSPRAY FOR LITHIUM ION BATTERY</t>
  </si>
  <si>
    <t>61/788134</t>
  </si>
  <si>
    <t>08/05/2013</t>
  </si>
  <si>
    <t>125159</t>
  </si>
  <si>
    <t>BATTERY ELECTRODE SPRAY COATING EDGE CONTROL METHOD AND APPARATUS</t>
  </si>
  <si>
    <t>125056</t>
  </si>
  <si>
    <t>METHOD TO FABRICATE VARIATIONS IN POROSITY USING TEXTURING OF THE CURRENT COLLECTOR AND SPRAY DEPOSITION PROCESS TO FABRICATE LITHIUM ION BATERY ELECTRODE FILMS</t>
  </si>
  <si>
    <t>13/532616</t>
  </si>
  <si>
    <t>08/12/2011</t>
  </si>
  <si>
    <t>01/06/2015</t>
  </si>
  <si>
    <t>125067</t>
  </si>
  <si>
    <t>GRADED ELECTRODE TECHNOLOGIES FOR HIGH ENERGY LITHIUM BATTERIES</t>
  </si>
  <si>
    <t>12/953143</t>
  </si>
  <si>
    <t>11/23/2010</t>
  </si>
  <si>
    <t>125019</t>
  </si>
  <si>
    <t>125044</t>
  </si>
  <si>
    <t>A HOT ROLLER SPRAY PROCESS TO FABRICATE LITHIUM ION BATTERY ELECTRODE FILMS</t>
  </si>
  <si>
    <t>125058</t>
  </si>
  <si>
    <t>METHOD TO FABRICATE VARIATIONS IN POROSITY USING  HOT ROLER SPRAY PROCESS TO FABRICATE LITHIUM ION BATERY ELECTRODE FILMS</t>
  </si>
  <si>
    <t>125064</t>
  </si>
  <si>
    <t>LITHIUM ION ELECTRODE POROSITY CONTROL THROUGH SOLVENT WEIGHT PERCENT</t>
  </si>
  <si>
    <t>125845</t>
  </si>
  <si>
    <t>METHOD FOR ENCAPSULATION ELECTRODE EDGES VIA THE DIRECT DEPOSITION OF SEPARATORS</t>
  </si>
  <si>
    <t>125846</t>
  </si>
  <si>
    <t>NOVEL 3D ELECTRODE STRUCTURE FOR HIGH ENERGY LI-ION BATTERIES</t>
  </si>
  <si>
    <t>125021</t>
  </si>
  <si>
    <t xml:space="preserve">GRADED ELECTRODE TECHNOLOGIES FOR HIGH ENERGY LITHIUM-ION BATTERIES_x000D_
</t>
  </si>
  <si>
    <t>PCT/US10/58215</t>
  </si>
  <si>
    <t>11/29/2010</t>
  </si>
  <si>
    <t>125018</t>
  </si>
  <si>
    <t>125062</t>
  </si>
  <si>
    <t xml:space="preserve">METHOD TO FABRICATE VARIATIONS IN POROSITY USING TWO STEP DEPOSITION PROCESS TO FABRICATE LITHIUM ION BATTERY ELECTRODE FILMS  			 </t>
  </si>
  <si>
    <t>06/25/2012</t>
  </si>
  <si>
    <t>125059</t>
  </si>
  <si>
    <t>FLAME SPRAY FOR INTEGRATED SEPARATOR APPLICATIONS</t>
  </si>
  <si>
    <t>125060</t>
  </si>
  <si>
    <t>AN INTEGRATED GREEN SEPARATOR FOR LI ION BATTERIES</t>
  </si>
  <si>
    <t>125061</t>
  </si>
  <si>
    <t>MULTIFUNCTIONAL PAN-b-PEO-INORGANIC HYBRID SEPARATOR</t>
  </si>
  <si>
    <t>125063</t>
  </si>
  <si>
    <t>LITHIUM ION CELL DESIGN METHOD AND APPARATUS</t>
  </si>
  <si>
    <t>125065</t>
  </si>
  <si>
    <t>SIMULTANEOUS MULTIFUNCTION ELECTRODE COATING OF LITHIUM- ION BATERIES</t>
  </si>
  <si>
    <t>13/717076</t>
  </si>
  <si>
    <t>125843</t>
  </si>
  <si>
    <t>ELECTROSPINNING FOR INTEGRATED SEPARATOR FOR LITHIUM-ION BATTERIES</t>
  </si>
  <si>
    <t>13/224709</t>
  </si>
  <si>
    <t>09/02/2011</t>
  </si>
  <si>
    <t>06/23/2015</t>
  </si>
  <si>
    <t>125844</t>
  </si>
  <si>
    <t>METHODS TO FABRICATE VARIATIONS IN POROSITY OF LITHIUM ION BATTERY ELECTRODE FILMS</t>
  </si>
  <si>
    <t>125022</t>
  </si>
  <si>
    <t>MULTIFUNCTIONAL PAN-B-PEO-INORGANIC HYBRID SEPARATOR FOR LITHIUM BATTERIES</t>
  </si>
  <si>
    <t>61/562101</t>
  </si>
  <si>
    <t>11/21/2011</t>
  </si>
  <si>
    <t>11/21/2012</t>
  </si>
  <si>
    <t>125066</t>
  </si>
  <si>
    <t>INTEGRATED COMPOSITE SEPARATOR FOR LITHIUM ION BATTERIES</t>
  </si>
  <si>
    <t>12/895483</t>
  </si>
  <si>
    <t>09/30/2010</t>
  </si>
  <si>
    <t>142830</t>
  </si>
  <si>
    <t>DE-AR0000065</t>
  </si>
  <si>
    <t>LOW COST ELECTROCHEMICAL STORAGE DEVICE AND MANUFACTURING METHOD</t>
  </si>
  <si>
    <t>13/212607</t>
  </si>
  <si>
    <t>08/18/2011</t>
  </si>
  <si>
    <t>125573</t>
  </si>
  <si>
    <t>ENGINEERING STABILITY INTO SEMI-SOLID ELECTRODES FOR ELECTROCHEMICAL STORAGE DEVICES WITH A YIELD STRESS FLUID</t>
  </si>
  <si>
    <t>125330</t>
  </si>
  <si>
    <t>125331</t>
  </si>
  <si>
    <t>HIGH ENERGY DENSITY FLOW BATTERY</t>
  </si>
  <si>
    <t>12/19/2012</t>
  </si>
  <si>
    <t>125542</t>
  </si>
  <si>
    <t>GRAVITY INDUCED FLOW CELL USING SUSPENSION-BASED FLOW ELECTRODES</t>
  </si>
  <si>
    <t>14/556330</t>
  </si>
  <si>
    <t>12/01/2014</t>
  </si>
  <si>
    <t>125332</t>
  </si>
  <si>
    <t>HIGH ENERGY DENSITY SEMI-SOLID STORAGE ELECTRODES AND BATTERIES THEREOF</t>
  </si>
  <si>
    <t>PCT/US2014/014681</t>
  </si>
  <si>
    <t>02/04/2014</t>
  </si>
  <si>
    <t>125388</t>
  </si>
  <si>
    <t>OPTIMAL FLOW CONDITIONS FOR INTERMITTENT FLOW CELLS</t>
  </si>
  <si>
    <t>125355</t>
  </si>
  <si>
    <t>14/172648</t>
  </si>
  <si>
    <t>125332CON-1</t>
  </si>
  <si>
    <t>15/387225</t>
  </si>
  <si>
    <t>12/21/2016</t>
  </si>
  <si>
    <t>125293</t>
  </si>
  <si>
    <t>DE-AR0000066</t>
  </si>
  <si>
    <t>UNIVERSITY OF MISSOURI-COLUMBIA - (UNIVMIS-CO)</t>
  </si>
  <si>
    <t>CATHODES FOR LITHIUM-AIR BATERY CELLS WITH ACID ELECTROLYTES</t>
  </si>
  <si>
    <t>07/24/2013</t>
  </si>
  <si>
    <t>07/19/2016</t>
  </si>
  <si>
    <t>125226</t>
  </si>
  <si>
    <t>DE-AR0000067</t>
  </si>
  <si>
    <t>SION POWER CORPORATION - (SIONPOWE)</t>
  </si>
  <si>
    <t>GEL ELECTROLYTE FOR LI-S CELL/NEW GEL ELECTROLYTES AND ELECTRODES</t>
  </si>
  <si>
    <t>14/668102</t>
  </si>
  <si>
    <t>03/25/2015</t>
  </si>
  <si>
    <t>125163</t>
  </si>
  <si>
    <t>GE ELECTROLYTE FOR LI-S CELL</t>
  </si>
  <si>
    <t>125167</t>
  </si>
  <si>
    <t>POLYMERS FOR USE AS PROTECTIVE LAYERS AND OTHER COMPONENTS IN ELECTROCHEMICAL CELLS</t>
  </si>
  <si>
    <t>14/068333</t>
  </si>
  <si>
    <t>10/31/2013</t>
  </si>
  <si>
    <t>125168</t>
  </si>
  <si>
    <t xml:space="preserve">COMPOSITIONS FOR USE AS PROTECTIVE LAYERS AND OTHER COMPONENTS IN ELECTROCHEMICAL CELLS </t>
  </si>
  <si>
    <t>14/203802</t>
  </si>
  <si>
    <t>03/11/2014</t>
  </si>
  <si>
    <t>125054</t>
  </si>
  <si>
    <t>INTEGRATED THERMAL MANAGEMENT AND PRESSURE APPLICATION SYSTEM FOR BATTERY PACK</t>
  </si>
  <si>
    <t>125055</t>
  </si>
  <si>
    <t>METHOD AND APPARATUS FOR APPLYING UNIFORM PRESSURE TO AND PERFORMING THERMAL MANAGEMENT OF AN ELECTROCHEMICAL CELL OR BATTERY SYSTEM/PRESSURE AND/OR TEMPERATURE MANAGEMENT IN ELCTROCHEMICAL SYSTEMS</t>
  </si>
  <si>
    <t>01/16/2014</t>
  </si>
  <si>
    <t>125042</t>
  </si>
  <si>
    <t>125470</t>
  </si>
  <si>
    <t xml:space="preserve">Quantum dot ultracapacitor and electron battery </t>
  </si>
  <si>
    <t>12/657198</t>
  </si>
  <si>
    <t>01/15/2010</t>
  </si>
  <si>
    <t>08/12/2014</t>
  </si>
  <si>
    <t>125145</t>
  </si>
  <si>
    <t>REDUCTION OF INTERFACIAL IMPEDANCE IN LITHIUM METAL BATTERIES/PROTECTIVE STRUCTURES FOR ELECTRODES</t>
  </si>
  <si>
    <t>125074</t>
  </si>
  <si>
    <t>ELECTRODE STRUCTURE AND METHOD FOR MAKING THE SAME</t>
  </si>
  <si>
    <t>10/04/2012</t>
  </si>
  <si>
    <t>125719</t>
  </si>
  <si>
    <t>CERAMIC/POLYMER MATRIX FOR ELECTRODE PROTECTION IN ELECTROCHEMICAL CELLS, INCLUDING RECHARGEABLE LITHIUM BATTERIES</t>
  </si>
  <si>
    <t>14/552608</t>
  </si>
  <si>
    <t>14/323269</t>
  </si>
  <si>
    <t>125720</t>
  </si>
  <si>
    <t>07/03/2014</t>
  </si>
  <si>
    <t>125722</t>
  </si>
  <si>
    <t>HIGH ENERGY STORAGE CAPACITOR BY EMBEDDING TUNNELING NANO-STURCTURES</t>
  </si>
  <si>
    <t>12/928346</t>
  </si>
  <si>
    <t>12/09/2010</t>
  </si>
  <si>
    <t>125716</t>
  </si>
  <si>
    <t>PROTECTIVE STRUCTURES FOR ELECTRODES</t>
  </si>
  <si>
    <t>13/833377</t>
  </si>
  <si>
    <t>125717</t>
  </si>
  <si>
    <t>125714</t>
  </si>
  <si>
    <t>SELF-HEALING ELECTRODE PROTECTION IN ELECTROCHEMICAL CELLS</t>
  </si>
  <si>
    <t>14/455230</t>
  </si>
  <si>
    <t>08/08/2014</t>
  </si>
  <si>
    <t>125715</t>
  </si>
  <si>
    <t>PROTECTED ELECTRODE STRUCTURES AND METHODS</t>
  </si>
  <si>
    <t>14/209274</t>
  </si>
  <si>
    <t>125721</t>
  </si>
  <si>
    <t>14/068372</t>
  </si>
  <si>
    <t>125144</t>
  </si>
  <si>
    <t>13/850437</t>
  </si>
  <si>
    <t>03/26/2013</t>
  </si>
  <si>
    <t>05/06/2015</t>
  </si>
  <si>
    <t>125166</t>
  </si>
  <si>
    <t>THIO-VINYL POLYMERS FOR BATTERY ELECTROLYTES/ POLYMER FOR USE AS PROTECTIVE LAYERS AND OTHER COMPONENTS IN ELECTROCHEMICAL CELLS</t>
  </si>
  <si>
    <t>62/005667</t>
  </si>
  <si>
    <t>05/30/2014</t>
  </si>
  <si>
    <t>125322</t>
  </si>
  <si>
    <t>DE-AR0000069</t>
  </si>
  <si>
    <t>118394</t>
  </si>
  <si>
    <t>ENERGY STORAGE DEVICE WITH LARGE CHARGE SEPARATION</t>
  </si>
  <si>
    <t>13/135798</t>
  </si>
  <si>
    <t>07/13/2011</t>
  </si>
  <si>
    <t>04/12/2016</t>
  </si>
  <si>
    <t>162818</t>
  </si>
  <si>
    <t>HIGH ENERGY STORAGE CAPACITOR BY EMBEDDING METAL QUANTUM DOTS</t>
  </si>
  <si>
    <t>125137</t>
  </si>
  <si>
    <t>DE-AR0000070</t>
  </si>
  <si>
    <t>RECAPPING, INC. - (RECAPPING)</t>
  </si>
  <si>
    <t>HYBRID ELECTROCHEMICAL ENERGY STORAGE DEVICES</t>
  </si>
  <si>
    <t>125733</t>
  </si>
  <si>
    <t>DE-AR0000071</t>
  </si>
  <si>
    <t>CODEXIS, INC. - (CODEXIS)</t>
  </si>
  <si>
    <t xml:space="preserve">HIGHLY STABLE BETA-CLASS CARBONIC ANHYDRASES USEFUL IN CARBON CAPTURE SYSTEMS </t>
  </si>
  <si>
    <t>13/721586</t>
  </si>
  <si>
    <t>12/20/2012</t>
  </si>
  <si>
    <t>13/174393</t>
  </si>
  <si>
    <t>13/174253</t>
  </si>
  <si>
    <t>125047</t>
  </si>
  <si>
    <t>THERMOSTABLE CARBONIC ANHYDRASES FOR ACCELERATING CO2 CAPTURE IN MDEA</t>
  </si>
  <si>
    <t>PCT/US11/42563</t>
  </si>
  <si>
    <t>125745</t>
  </si>
  <si>
    <t xml:space="preserve">CHEMICALLY MODIFIED CARBONIC ANHYDRASES USEFUL IN CARBON CAPTURE SYSTEMS </t>
  </si>
  <si>
    <t>01/15/2013</t>
  </si>
  <si>
    <t>OCT/US11/42563</t>
  </si>
  <si>
    <t>04/16/2013</t>
  </si>
  <si>
    <t>125020</t>
  </si>
  <si>
    <t>13/721648</t>
  </si>
  <si>
    <t>125016</t>
  </si>
  <si>
    <t>LOW-COST BIOCATALYST FOR ACCELERATION OF EERGY EFFICIENT CO2 CAPTURE SOLVENTS</t>
  </si>
  <si>
    <t>125622</t>
  </si>
  <si>
    <t>INNOVATIVE MATERIALS &amp; PROCESSES FOR ADVANCD CARBON CAPTURE TECHNOLOGIES</t>
  </si>
  <si>
    <t>125023</t>
  </si>
  <si>
    <t>EFFECT OF CARBONIC ANHYDRASE ON THE SPECIATION OF THE CHILLED AMMONIA PROCESS</t>
  </si>
  <si>
    <t>125075</t>
  </si>
  <si>
    <t>HIGH PERFORMANCE MDEA PROCESS WITH LOW TEMPERATURE BIOLOGICAL REACTOR FOR BICARBONATES REVERSION - A CONCERNTRATION SWING APPROACH</t>
  </si>
  <si>
    <t>125181</t>
  </si>
  <si>
    <t>CARBONIC ANHYDRASE SECRETION FROM CXP</t>
  </si>
  <si>
    <t>125184</t>
  </si>
  <si>
    <t>ROUND 9 EVOLUTION VARIANTS OF A B-CLASS CARBONIC ANJYDRASE FROM DESULFOVIBRIO VULGARIS STARIN MIYAZAKI F (GS-02E) FOR ACCELERATED CO2 ABSORPTION IN MDEA</t>
  </si>
  <si>
    <t>125182</t>
  </si>
  <si>
    <t>ROUND 7 AND 8 EVOLUTION VARIANTS OF A B-CLASS CARBONIC ANJYDRASE FROM DESULFOVIBRIO VULGARIS STARIN MIYAZAKI F (GS-02E) FOR ACCELERATED CO2 ABSORPTION IN MDEA</t>
  </si>
  <si>
    <t>125183</t>
  </si>
  <si>
    <t>HIGH PERFORMANCE MDEA PROCESS WITH LOW TEMPERATURE BIOLOGICAL REACTOR FOR BICARBONATES REVERSION-A CONCENTRATION SWING APPROACH</t>
  </si>
  <si>
    <t>125014</t>
  </si>
  <si>
    <t>ACCELERATION OF THE DISPROPORTION OF CO2 FROM MEDA SOLUTIONS</t>
  </si>
  <si>
    <t>DE-AR0000072</t>
  </si>
  <si>
    <t>UNIVERSITY OF KENTUCKY - (U OF KENTU)</t>
  </si>
  <si>
    <t>METHOD FOR REMOVING CO2 FROM COAL-FIRED POWER PLANT FLUE-GAS USING AMMONIA AS THE SCRUBBING SOLUTION, WITH A CHEMICAL ADDITIVE FOR REDUCING NH3 LOSSES, COUPLED WITH A MEMBRANE FOR CONCENTRATING THE CO2 STREAM TO THE GAS STRIPPER</t>
  </si>
  <si>
    <t>12/819626</t>
  </si>
  <si>
    <t>06/21/2010</t>
  </si>
  <si>
    <t>12/11/2012</t>
  </si>
  <si>
    <t>125392-PCT</t>
  </si>
  <si>
    <t>DE-AR0000073</t>
  </si>
  <si>
    <t>TEXAS A&amp;M UNIVERSITY SYSTEM - (TEXAS A&amp;M UNIVERSITY SYSTEM)</t>
  </si>
  <si>
    <t>POROUS POLYMER NETWORK MATERIALS</t>
  </si>
  <si>
    <t>PCT/US2012/069472</t>
  </si>
  <si>
    <t>125392</t>
  </si>
  <si>
    <t>POROUS POLYMER NETWORK: PROPERTIES AND APPLICATIONS IN GAS TORAGE/SEPARATION</t>
  </si>
  <si>
    <t>14/405653</t>
  </si>
  <si>
    <t>08/09/2016</t>
  </si>
  <si>
    <t>125369</t>
  </si>
  <si>
    <t>METHOD TO RAPIDLY DEPOSIT THIN FILMS (OR COATINGS)OF MICROPOROUS MATERIALS ON SUPPORTS USING THERMALLY INDUCED SELF-ASSEMBLY</t>
  </si>
  <si>
    <t>14/435696</t>
  </si>
  <si>
    <t>125393</t>
  </si>
  <si>
    <t>POROUS MATERIALS CONTAINING BUILT-IN SINGLE-MOLECULE TRAPS FOR SMALL MOLECULE CAPTURE</t>
  </si>
  <si>
    <t>14/342530</t>
  </si>
  <si>
    <t>09/12/2012</t>
  </si>
  <si>
    <t>125369-PCT</t>
  </si>
  <si>
    <t>PCT/US2013/066221</t>
  </si>
  <si>
    <t>125393-PCT</t>
  </si>
  <si>
    <t>PCT/EP2012/062262</t>
  </si>
  <si>
    <t>125395</t>
  </si>
  <si>
    <t>PREPARATION AND APPLICATIONS OF POROUS POLYMER NETWORKS</t>
  </si>
  <si>
    <t>61/485518</t>
  </si>
  <si>
    <t>05/12/2011</t>
  </si>
  <si>
    <t>125387</t>
  </si>
  <si>
    <t>OPTICALLY AND THERMALLY SWITCHABLE SORBENT</t>
  </si>
  <si>
    <t>61/526116</t>
  </si>
  <si>
    <t>08/22/2011</t>
  </si>
  <si>
    <t>148627</t>
  </si>
  <si>
    <t>ALUMINUM METAL ORGANIC FRAMEWORK MATERIALS</t>
  </si>
  <si>
    <t>14/555535</t>
  </si>
  <si>
    <t>11/26/2014</t>
  </si>
  <si>
    <t>08/11/2015</t>
  </si>
  <si>
    <t>125140</t>
  </si>
  <si>
    <t>DE-AR0000078</t>
  </si>
  <si>
    <t>ALLIANT TECHSYSTEMS INC. - (ALLIANTTE)</t>
  </si>
  <si>
    <t>INERTIAL EXTRACTION SYSTEM</t>
  </si>
  <si>
    <t>13/599709</t>
  </si>
  <si>
    <t>107944</t>
  </si>
  <si>
    <t>DE-AR0000079</t>
  </si>
  <si>
    <t xml:space="preserve">AUTOTROPHIC CARBON FIXING E. COLI_x000D_
</t>
  </si>
  <si>
    <t>02/27/2012</t>
  </si>
  <si>
    <t>107947</t>
  </si>
  <si>
    <t xml:space="preserve">CONDITIONAL REPLICATION, INTEGRATON AND EXPRESSION PLASMID SYSTEM_x000D_
</t>
  </si>
  <si>
    <t>125243</t>
  </si>
  <si>
    <t>INTRODUCTION OF AN OXYGEN-RESISTANT CO2 FIXATION PATHWAY INTO PLANTS</t>
  </si>
  <si>
    <t>125438</t>
  </si>
  <si>
    <t>TRIPLE DESTINATION TRANSIT ELEMENTS FOR EFFICIENT TARGETING OF HETEROLOGOUS PROTEINS</t>
  </si>
  <si>
    <t>125405</t>
  </si>
  <si>
    <t>REDOX MEDIATING PEPTIDES FOR ELECTROFUELS AND ELECTROSYNTHESIS</t>
  </si>
  <si>
    <t>125113</t>
  </si>
  <si>
    <t>RECOMBINANT CARBON UTILIZATION PATHWAYS FOR PLANTS AND MICROBES</t>
  </si>
  <si>
    <t xml:space="preserve">PCT/US13/27620 </t>
  </si>
  <si>
    <t>05/29/2012</t>
  </si>
  <si>
    <t>125115</t>
  </si>
  <si>
    <t>COMPOSITIONS AND METHODS FOR MODULATING POLYPEPTIDE LOCALIZATION IN PLANTS</t>
  </si>
  <si>
    <t>PCT/US13/57974</t>
  </si>
  <si>
    <t>09/04/2013</t>
  </si>
  <si>
    <t>125257</t>
  </si>
  <si>
    <t>DE-AR0000081</t>
  </si>
  <si>
    <t>NORTH CAROLINA STATE UNIVERSITY AT RALEIGH - (NCSUATRALEIGH)</t>
  </si>
  <si>
    <t>AN EXTREMELY THERMOPHILIC ENZYMATIC PATHWAY FOR 1-BUTANOL PRODUCTION IN VIVO</t>
  </si>
  <si>
    <t>125415</t>
  </si>
  <si>
    <t>09/06/2013</t>
  </si>
  <si>
    <t>125456</t>
  </si>
  <si>
    <t>UNIVERSITY OF GEORGIA - (UNIV OF G)</t>
  </si>
  <si>
    <t>CONVERSION OF ALKYL AND ARYL ACIDES INTO THE CORRESPONDING ALCOHOL USING A SYNTHETIC PATHWAY IN A HYPERTHERMOPHILE</t>
  </si>
  <si>
    <t>03/27/2015</t>
  </si>
  <si>
    <t>143058</t>
  </si>
  <si>
    <t>METHODS FOR EXPRESSING POLYPEPTIDES IN HYPERTHERMOPHILES</t>
  </si>
  <si>
    <t>05/22/2017</t>
  </si>
  <si>
    <t>125604</t>
  </si>
  <si>
    <t>UNPRETREATED LIGNOCELLULOSIC BIOMASS CONVERSION TO BIOFUELS BY DECOUPLED BIOPROCESSING (DCBP)</t>
  </si>
  <si>
    <t>143097</t>
  </si>
  <si>
    <t>14/426290</t>
  </si>
  <si>
    <t>03/05/2015</t>
  </si>
  <si>
    <t>143148</t>
  </si>
  <si>
    <t>SELF-CONTAINED, AUTOMTED, LONG-TERM SENSOR SYSTEM FOR MONITORING OF SOIL</t>
  </si>
  <si>
    <t>62/750663</t>
  </si>
  <si>
    <t>10/25/2018</t>
  </si>
  <si>
    <t>10/27/2017</t>
  </si>
  <si>
    <t>143436</t>
  </si>
  <si>
    <t>PROCESSING OF HIGH QUALITY NITRIDE GLASSES CONTAINING HIGH AMOUNTS OF NITROGEN</t>
  </si>
  <si>
    <t>62/919520</t>
  </si>
  <si>
    <t>03/15/2019</t>
  </si>
  <si>
    <t>02/05/2019</t>
  </si>
  <si>
    <t>125668</t>
  </si>
  <si>
    <t>DE-AR0000083</t>
  </si>
  <si>
    <t>ELECTROCHEMICAL CARBON DIOXIDE CAPTURE SYSTEM</t>
  </si>
  <si>
    <t>14/506384</t>
  </si>
  <si>
    <t>10/03/2014</t>
  </si>
  <si>
    <t>125316</t>
  </si>
  <si>
    <t>ELECTROCHEMICAL pH MODULATOR</t>
  </si>
  <si>
    <t>13/598321</t>
  </si>
  <si>
    <t>125316-NP1</t>
  </si>
  <si>
    <t>14/985537</t>
  </si>
  <si>
    <t>12/30/2015</t>
  </si>
  <si>
    <t>125421</t>
  </si>
  <si>
    <t>DE-AR0000084</t>
  </si>
  <si>
    <t>GE GLOBAL RESEARCH - (GEGLOBAL)</t>
  </si>
  <si>
    <t>DESORPTION VIA A TRANSPORTING DESORPTION UNIT FOR THE RECOVERY OF CO2 FROM A GAS STREAM AND A RELATED APPARATUS</t>
  </si>
  <si>
    <t>13/664813</t>
  </si>
  <si>
    <t>10/31/2012</t>
  </si>
  <si>
    <t>09/14/2015</t>
  </si>
  <si>
    <t>107946</t>
  </si>
  <si>
    <t xml:space="preserve">CO2 CAPTURE SYSTEM BASED ON A PHASE-CHANGING ABSORBENT USING A PLUG FLOW DESORBER_x000D_
</t>
  </si>
  <si>
    <t>125112</t>
  </si>
  <si>
    <t>THE CAPTURE OF SULFUR DIOXIDE BY AMINES TO FORM SOLID COMPLEXES</t>
  </si>
  <si>
    <t>125464</t>
  </si>
  <si>
    <t>ABSORBER DESIGN FOR TEMPERATURE CONTROLLED CARBON CAPTURE</t>
  </si>
  <si>
    <t>13/931421</t>
  </si>
  <si>
    <t>06/28/2013</t>
  </si>
  <si>
    <t>125284</t>
  </si>
  <si>
    <t>AMINOSILOXANE CO2 ABSORBENT</t>
  </si>
  <si>
    <t>14/051594</t>
  </si>
  <si>
    <t>10/11/2013</t>
  </si>
  <si>
    <t>08/30/2016</t>
  </si>
  <si>
    <t>125356</t>
  </si>
  <si>
    <t xml:space="preserve">LOW-FOULING LIQUID SPRAY NOZZLE_x000D_
</t>
  </si>
  <si>
    <t>08/07/2015</t>
  </si>
  <si>
    <t>125225</t>
  </si>
  <si>
    <t xml:space="preserve">METHOD AND SYSTEMS FOR CO2 SEPARATION _x000D_
</t>
  </si>
  <si>
    <t>13/429503</t>
  </si>
  <si>
    <t>03/26/2012</t>
  </si>
  <si>
    <t>125253</t>
  </si>
  <si>
    <t>EXTRUDER SYSTEM AND METHOD FOR TREATMENT OF A GASEOUS MEDIUM _x000D_</t>
  </si>
  <si>
    <t>14/078815</t>
  </si>
  <si>
    <t>11/13/2013</t>
  </si>
  <si>
    <t>125249</t>
  </si>
  <si>
    <t>A HEATED EXTRUDER FOR DESORPTION</t>
  </si>
  <si>
    <t>125315</t>
  </si>
  <si>
    <t>DE-AR0000085</t>
  </si>
  <si>
    <t>UNIVERSITY OF CALIFORNIA, LOS ANGELES - (UCLA)</t>
  </si>
  <si>
    <t>ELECTRO-AUTOTROPHIC SYNTHESIS OF HIGHER ALCOHOLS</t>
  </si>
  <si>
    <t>13/522288</t>
  </si>
  <si>
    <t>01/14/2013</t>
  </si>
  <si>
    <t>125315-NP2</t>
  </si>
  <si>
    <t>14/875655</t>
  </si>
  <si>
    <t>10/05/2015</t>
  </si>
  <si>
    <t>11/01/2016</t>
  </si>
  <si>
    <t>125343</t>
  </si>
  <si>
    <t>INTEGRATED ELECTRO-BIOREACTOR</t>
  </si>
  <si>
    <t>14/375782</t>
  </si>
  <si>
    <t>06/13/2017</t>
  </si>
  <si>
    <t>125407</t>
  </si>
  <si>
    <t>UNIVERSITY OF CALIFORNIA, LOS ALAMOS - (UNIVOFCALI)</t>
  </si>
  <si>
    <t>REVERSE GLYOXYLATE CYCLE</t>
  </si>
  <si>
    <t>14/901278</t>
  </si>
  <si>
    <t>06/29/2014</t>
  </si>
  <si>
    <t>125116</t>
  </si>
  <si>
    <t>UNIVERSITY OF CALIFORNIA SAN DIEGO - (UNIV OF CALIFORNIA)</t>
  </si>
  <si>
    <t>PCT/US13/26518</t>
  </si>
  <si>
    <t>125289</t>
  </si>
  <si>
    <t>DE-AR0000087</t>
  </si>
  <si>
    <t>UNIVERSITY OF MASSACHUSETTS AMHERST - (UVMASAH)</t>
  </si>
  <si>
    <t>BUTYRATE PRODUCTION FROM CARBON DIOXIDE BY GENETICALLY ENGINEERED CLOSTRIDIUM LJUNGDAHLII</t>
  </si>
  <si>
    <t>125401-DIV</t>
  </si>
  <si>
    <t>UNIVERSITY OF MASSACHUSETTS - (UNIV. OF M)</t>
  </si>
  <si>
    <t>LOVLEY-MICROBIAL PRODUCTION OF MULTI-CARBON CHEMICALA AND FUELS FROM WATER AND CARBON DIOXIDE USING ELECTRIC CURRENT</t>
  </si>
  <si>
    <t>14/860211</t>
  </si>
  <si>
    <t>01/02/2018</t>
  </si>
  <si>
    <t>13/514378</t>
  </si>
  <si>
    <t>125401</t>
  </si>
  <si>
    <t>PRODUCTION OF SPECIALLY CHEMICALS WITH -CARBON DIOXIDE SERVING AS THE CARBON SOURCE</t>
  </si>
  <si>
    <t>11/03/2015</t>
  </si>
  <si>
    <t>125050</t>
  </si>
  <si>
    <t>DE-AR0000088</t>
  </si>
  <si>
    <t>OPXBIO GOOD CHEMISTRY - (OPXBIO)</t>
  </si>
  <si>
    <t>MICROBIAL PRODUCTION OF CHEMICAL PRODUCTS AND RELATED COMPOSITIONS, METHODS AND SYSTEMS</t>
  </si>
  <si>
    <t>125032</t>
  </si>
  <si>
    <t>METHOD FOR PRODUCING 3-HYDROXYPROPIONIC ACID AND OTHER PRODUCTS</t>
  </si>
  <si>
    <t>12/18/2014</t>
  </si>
  <si>
    <t>125117</t>
  </si>
  <si>
    <t>OPX BIOTECHNOLOGIES, INC. - (OPX BIO)</t>
  </si>
  <si>
    <t>METHODS, SYSTEMS, AND COMPOSITIONS FOR MICROBIAL BIO-PRODUCTION OF BIOMOLECULES USING SYNGAS COMPONENTS, OR SUGARS, AS FEEDSTOCKS</t>
  </si>
  <si>
    <t>PCT/US10/57527</t>
  </si>
  <si>
    <t>11/19/2010</t>
  </si>
  <si>
    <t>125041</t>
  </si>
  <si>
    <t>METHODS, SYSTEMS, AND COMPOSITIONS FOR MICROBIAL BIO-PRODUCTION  USING SYNGAS COMPONENTS, OR SUGARS, AS FEEDSTOCKS</t>
  </si>
  <si>
    <t>12/950863</t>
  </si>
  <si>
    <t>125013</t>
  </si>
  <si>
    <t>PRODUCTION OF AN ORGANIC ACID AND/OR RELATED CHEMICALS</t>
  </si>
  <si>
    <t>12/952149</t>
  </si>
  <si>
    <t>11/22/2010</t>
  </si>
  <si>
    <t>125049</t>
  </si>
  <si>
    <t>MICROORGANISM PRODUCTION OF HIGH-VALUE CHEMICAL PRODUCTS, AND RELATED COMPOSITIONS, METHODS AND SYSTEMS</t>
  </si>
  <si>
    <t>14/246372</t>
  </si>
  <si>
    <t>125232</t>
  </si>
  <si>
    <t>DE-AR0000089</t>
  </si>
  <si>
    <t>CLEMSON UNIVERSITY - (CLEMSON UN)</t>
  </si>
  <si>
    <t>GRANULAR FLUIDIZED BED AND SLURRY ELECTRODES FOR MICROBIAL ELECTROSYNTHESIS CELLS</t>
  </si>
  <si>
    <t>125294</t>
  </si>
  <si>
    <t>CELL CONFIGURATION FOR ACCOMPLISHING MICROBIAL ELECTROCHEMICAL REDUCTION OF CARBON DIOXIDE TO ORGANIC FUELS</t>
  </si>
  <si>
    <t>125580</t>
  </si>
  <si>
    <t>MEDICAL UNIVERSITY OF SOUTH CAROLINA - (MUSC)</t>
  </si>
  <si>
    <t>LIQUID HYDROCARBON PRODUCTION FROM ELECTROSYNTHETIC ACETATE</t>
  </si>
  <si>
    <t>125399</t>
  </si>
  <si>
    <t>MICROBIAL ELECTROSYNTHETIC CELLS</t>
  </si>
  <si>
    <t>14/427374</t>
  </si>
  <si>
    <t>03/11/2015</t>
  </si>
  <si>
    <t>125398</t>
  </si>
  <si>
    <t>PROCESS TO BIOELECTROCHEMICALLY CONVERT METHANE AND CARBON DIOXIDE INTO ACETATE</t>
  </si>
  <si>
    <t>05/29/2013</t>
  </si>
  <si>
    <t>PCT/US2013/060131</t>
  </si>
  <si>
    <t>09/17/2013</t>
  </si>
  <si>
    <t>125582</t>
  </si>
  <si>
    <t>DE-AR0000091</t>
  </si>
  <si>
    <t>GINKGO BIOWORKS, INC. - (GINKGO)</t>
  </si>
  <si>
    <t>METHODS AND SYSTEMS FOR METHYLOTROPHIC PRODUCTION OF ORGANIC COMPOUNDS</t>
  </si>
  <si>
    <t>PCT/US2013/073582</t>
  </si>
  <si>
    <t>12/06/2013</t>
  </si>
  <si>
    <t>125095</t>
  </si>
  <si>
    <t>METHODS AND SYSTEMS FOR CHEMOAUTOTROPHIC PRODUCTION OF ORGANIC COMPOUNDS</t>
  </si>
  <si>
    <t>PCT/US2012/062540</t>
  </si>
  <si>
    <t>10/30/2012</t>
  </si>
  <si>
    <t>10/31/2011</t>
  </si>
  <si>
    <t>METHODS AND SYSTEMS FORMETHYLOTROPHIC  PRODUCTION OF ORGANIC COMPOUNDS</t>
  </si>
  <si>
    <t>14/649973</t>
  </si>
  <si>
    <t>06/05/2015</t>
  </si>
  <si>
    <t>125581-2</t>
  </si>
  <si>
    <t>14/354354</t>
  </si>
  <si>
    <t>04/25/2014</t>
  </si>
  <si>
    <t>13/285919</t>
  </si>
  <si>
    <t>125581-3</t>
  </si>
  <si>
    <t>15/867209</t>
  </si>
  <si>
    <t>01/10/2018</t>
  </si>
  <si>
    <t>125581</t>
  </si>
  <si>
    <t>01/08/2013</t>
  </si>
  <si>
    <t>125251</t>
  </si>
  <si>
    <t>AYAR LABS, INC. - (AYA)</t>
  </si>
  <si>
    <t>A Novel Mutase for the Production of  Isomeric Compounds</t>
  </si>
  <si>
    <t>125366-1</t>
  </si>
  <si>
    <t>DE-AR0000093</t>
  </si>
  <si>
    <t xml:space="preserve">REMOVING SULPHUR OXIDES FROM A FLUID STREAM </t>
  </si>
  <si>
    <t>13/782290</t>
  </si>
  <si>
    <t>04/08/2014</t>
  </si>
  <si>
    <t>05/03/2013</t>
  </si>
  <si>
    <t>125366</t>
  </si>
  <si>
    <t>WATER CONTROL IN NON-AQUEOUS ACID GAS RECOVERY SYSTEMS</t>
  </si>
  <si>
    <t>15/118722</t>
  </si>
  <si>
    <t>08/12/2016</t>
  </si>
  <si>
    <t>125777-PCT</t>
  </si>
  <si>
    <t>REGENERABLE SOLVENT MIXTURES FOR ACID-GAS SEPARATION</t>
  </si>
  <si>
    <t>PCT/US11/50442</t>
  </si>
  <si>
    <t>METHOD FOR CONTROLLING WATER BALANCE IN A NON-AQUEOUS ACID GAS SCRUBBING PROCESS FOR TREATMENT OF WATER</t>
  </si>
  <si>
    <t>125389</t>
  </si>
  <si>
    <t>DE-AR0000094</t>
  </si>
  <si>
    <t>UNIVERSITY OF NOTRE DAME - (UNIVEOFNOT)</t>
  </si>
  <si>
    <t>PHASE CHANGE IONIC MATERIALS FOR CO2 SEPARATIONS</t>
  </si>
  <si>
    <t>15/034464</t>
  </si>
  <si>
    <t>05/04/2016</t>
  </si>
  <si>
    <t>125389PCT</t>
  </si>
  <si>
    <t>PCT/US2014/064172</t>
  </si>
  <si>
    <t>125299</t>
  </si>
  <si>
    <t>DE-AR0000095</t>
  </si>
  <si>
    <t>BATTELL - (CN0326)</t>
  </si>
  <si>
    <t>CHEMOAUTOTROPHIC BIOREACTOR SYSTEM UTLIZING CERAMIC TUBES FOR HYDROGEN DELIVERY</t>
  </si>
  <si>
    <t>125300</t>
  </si>
  <si>
    <t>CHEMOAUTOTROPHIC BIOREACTOR SYSTEM UTILIZING CERAMIC FOAM FOR BACTERIA ATTACHMENT</t>
  </si>
  <si>
    <t>125665</t>
  </si>
  <si>
    <t>CO-INDUCER AND ANTIBIOTIC FREE BIOPRODUCT FORMATION</t>
  </si>
  <si>
    <t>15/528301</t>
  </si>
  <si>
    <t>05/19/2017</t>
  </si>
  <si>
    <t>125426-CONT</t>
  </si>
  <si>
    <t>AUTOTROPHIC HYDROGEN BACTERIA AND USES THEREOF</t>
  </si>
  <si>
    <t>15/369039</t>
  </si>
  <si>
    <t>12/05/2016</t>
  </si>
  <si>
    <t>125426-PCT</t>
  </si>
  <si>
    <t>PCT/US2012/026641</t>
  </si>
  <si>
    <t>14/001130</t>
  </si>
  <si>
    <t>08/22/2013</t>
  </si>
  <si>
    <t>125665-PCT</t>
  </si>
  <si>
    <t>PCT/US2015/061532</t>
  </si>
  <si>
    <t>11/19/2015</t>
  </si>
  <si>
    <t>125422-PCT</t>
  </si>
  <si>
    <t>BATTELLE MEMORIAL INSTITUTE - (BATTELLE M)</t>
  </si>
  <si>
    <t>STACKED MEMBRANE BIOREACTOR</t>
  </si>
  <si>
    <t>PCT/US2012/070686</t>
  </si>
  <si>
    <t>14/367231</t>
  </si>
  <si>
    <t>125426</t>
  </si>
  <si>
    <t>125422</t>
  </si>
  <si>
    <t>125418</t>
  </si>
  <si>
    <t>SINGLE-USE GAS EXCHANGE MEMBRANE BIOREACTOR</t>
  </si>
  <si>
    <t>11/16/2012</t>
  </si>
  <si>
    <t>125285</t>
  </si>
  <si>
    <t>ARTIFICAL BIOFILM BIOREACTOR FOR PRODUCTION OF BUTANOL AND OTHER MICROBIAL DERIVED PRODUCTS</t>
  </si>
  <si>
    <t>125375</t>
  </si>
  <si>
    <t>DE-AR0000098</t>
  </si>
  <si>
    <t>UNIVERSITY OF COLORADO - (UNIVCOLO)</t>
  </si>
  <si>
    <t>New Imidazolium-based Curable Polymers, Imidazolium-based Curable Polymer-Ionic Liquid Composites, and uses Thereof</t>
  </si>
  <si>
    <t>14/413772</t>
  </si>
  <si>
    <t>01/09/2015</t>
  </si>
  <si>
    <t>04/10/2015</t>
  </si>
  <si>
    <t>125773</t>
  </si>
  <si>
    <t xml:space="preserve">NOVAL METAL-CONTAINING IONIC LIQUIDS AND METHODS USING SAME </t>
  </si>
  <si>
    <t>62/247639</t>
  </si>
  <si>
    <t>10/28/2015</t>
  </si>
  <si>
    <t>10/27/2016</t>
  </si>
  <si>
    <t>125773-PCT</t>
  </si>
  <si>
    <t>PCT/US2016/059160</t>
  </si>
  <si>
    <t>125883</t>
  </si>
  <si>
    <t>METHOD OF PREPARING COMPOSITE ASYMMETRIC MEMBRANES</t>
  </si>
  <si>
    <t>125884</t>
  </si>
  <si>
    <t>A GAS SEPARATION MEMBRANE WITH MULTILAYER OF COATING FROM DIOXOLE FLUOROPOLYMER(S) AND ROOM TEMPERATURE IONIC LIQUID (RTIL)</t>
  </si>
  <si>
    <t>125338</t>
  </si>
  <si>
    <t>IMIDAZOLIUM-BASED STEP-GROWTH POLYMER-IONIC LIQUID COMPOSITES, AND USES THEREOF</t>
  </si>
  <si>
    <t>125376</t>
  </si>
  <si>
    <t>COMPOSITES COMPRISING NOVEL RTIL-BASED POLYMERS, AND METHODS OF MAKING AND USING SAME</t>
  </si>
  <si>
    <t>04/29/2013</t>
  </si>
  <si>
    <t>125530</t>
  </si>
  <si>
    <t>IONIC LIQUID SYSTEM THAT SELECTIVELY AND REVERSIBLY BINDS OXYGEN GAS</t>
  </si>
  <si>
    <t>62/038406</t>
  </si>
  <si>
    <t>08/18/2014</t>
  </si>
  <si>
    <t>125778</t>
  </si>
  <si>
    <t>DE-AR0000100</t>
  </si>
  <si>
    <t>METHODS AND SYSTEMS FOR CAPTURING AND STORING CARBON DIOXIDE</t>
  </si>
  <si>
    <t>61/521328</t>
  </si>
  <si>
    <t>08/08/2011</t>
  </si>
  <si>
    <t>125778-PCT</t>
  </si>
  <si>
    <t>PCT/US2012/049867</t>
  </si>
  <si>
    <t>08/04/2012</t>
  </si>
  <si>
    <t>CARBON CAPTURE AND STORAGE VIA ACCELERATED MINERAL WEATHERING</t>
  </si>
  <si>
    <t>14/237690</t>
  </si>
  <si>
    <t>02/07/2014</t>
  </si>
  <si>
    <t>125296-CON</t>
  </si>
  <si>
    <t>15/423691</t>
  </si>
  <si>
    <t>02/03/2017</t>
  </si>
  <si>
    <t>125296-P1</t>
  </si>
  <si>
    <t>CHEMICAL AND BIOLOGICAL CATALYTIC ENHANCEMENT OF CARBONATION OF MINERALS AND INDUSTRIAL WASTES AS NOVEL CARBON CAPTURE AND STORAGE TECHNOLOGY AND INTEGRATED SYNTHESIS OF VALUE-ADDED CARBONATE MATERIALS INCLUDING CARBON-NETURAL FILLER MATERIALS</t>
  </si>
  <si>
    <t>62/521328</t>
  </si>
  <si>
    <t>125296-PCT</t>
  </si>
  <si>
    <t>PCT/US2012/04986</t>
  </si>
  <si>
    <t>125296</t>
  </si>
  <si>
    <t>10/27/2014</t>
  </si>
  <si>
    <t>125250</t>
  </si>
  <si>
    <t>A method for measuring the stability of carbonic anhydrase-containing catalysts</t>
  </si>
  <si>
    <t>61/810895</t>
  </si>
  <si>
    <t>04/11/2013</t>
  </si>
  <si>
    <t>125045</t>
  </si>
  <si>
    <t>DE-AR0000101</t>
  </si>
  <si>
    <t>METHOD AND APPARATUS TO PROCESS SOLID CARBON DIOXIDE FOR SEQUESTRATION</t>
  </si>
  <si>
    <t>14/487985</t>
  </si>
  <si>
    <t>09/16/2014</t>
  </si>
  <si>
    <t>125068</t>
  </si>
  <si>
    <t>TURBINE EXPANDER FOR PRODUCTION OF SOLID CARBON DIOXIDE</t>
  </si>
  <si>
    <t>13/302131</t>
  </si>
  <si>
    <t>125782</t>
  </si>
  <si>
    <t>SUSTAINABLE ENERGY SOLUTIONS, LLC - (SUSTAINABLEENER)</t>
  </si>
  <si>
    <t>SYSTEMS AND METHODS FOR INTEGRATED ENERGY STORAGE AND CRYOGENIC CARBON CAPTURE</t>
  </si>
  <si>
    <t>13/657616</t>
  </si>
  <si>
    <t>125781</t>
  </si>
  <si>
    <t>SYSTEMS AND METHODS FOR SEPARATING CONDENSABLE VAPORS FROM LIGHT GASES OR LIQUIDS BY RECRUPERATIVE CRYOGENIC PROCESSES</t>
  </si>
  <si>
    <t>13/482980</t>
  </si>
  <si>
    <t>125783</t>
  </si>
  <si>
    <t>METHOD FOR EXCHANGING SENSIBLE AND LATENT HEATS FROM</t>
  </si>
  <si>
    <t>125784</t>
  </si>
  <si>
    <t>METHOD FOR A DESUBLIMATING HEAT EXVHANGER</t>
  </si>
  <si>
    <t>125785</t>
  </si>
  <si>
    <t>INTEGRATED CARBON CAPTURE AND ENERGY STORAGE</t>
  </si>
  <si>
    <t>125155</t>
  </si>
  <si>
    <t>LOW TEMPERATURE HEAT EXCHANGER SYSTEM AND METHOD</t>
  </si>
  <si>
    <t>13/250804</t>
  </si>
  <si>
    <t>09/30/2011</t>
  </si>
  <si>
    <t>125080</t>
  </si>
  <si>
    <t>SYSTEMS AND METHODS FOR SEPARATING CONDENSABLE VAPORS FROM GASES BY DIRECT-CONTACT HEAT EXCHANGE</t>
  </si>
  <si>
    <t>13/301731</t>
  </si>
  <si>
    <t>07/01/2014</t>
  </si>
  <si>
    <t>125779</t>
  </si>
  <si>
    <t xml:space="preserve">METHODS FOR STABLE SEQUESTRATION OF CARBON DIOXIDE IN AN AQUIFER </t>
  </si>
  <si>
    <t>12/875947</t>
  </si>
  <si>
    <t>02/11/2014</t>
  </si>
  <si>
    <t>142752</t>
  </si>
  <si>
    <t>DE-AR0000102</t>
  </si>
  <si>
    <t>24M THECHNOLOGIES, INC. - (24M)</t>
  </si>
  <si>
    <t>SEMI-SOLID ELECTRODES HAVING HIGH RATE CAPABILITY</t>
  </si>
  <si>
    <t>14/719566</t>
  </si>
  <si>
    <t>05/22/2015</t>
  </si>
  <si>
    <t>125490</t>
  </si>
  <si>
    <t>ASYMMETRIC BATTERY HAVING A SEMI-SOLID CATHODE AND HIGH ENERGY DENSITY ANODE</t>
  </si>
  <si>
    <t>14/202606</t>
  </si>
  <si>
    <t>61/787372</t>
  </si>
  <si>
    <t>142683P</t>
  </si>
  <si>
    <t>SEMI-SOLID ELECTRODE CELL HAVING A POROUS CURRENT COLLECTOR AND METHODS OF MANUFACTURE</t>
  </si>
  <si>
    <t>61/531927</t>
  </si>
  <si>
    <t>09/07/2011</t>
  </si>
  <si>
    <t>13/606986</t>
  </si>
  <si>
    <t>09/07/2012</t>
  </si>
  <si>
    <t>142683PCT</t>
  </si>
  <si>
    <t>pct/us12/54219</t>
  </si>
  <si>
    <t>125501P</t>
  </si>
  <si>
    <t>ELECTROCHEMICAL CELLS AND METHODS OF MANUFACTURING THE SAME</t>
  </si>
  <si>
    <t>61/648967</t>
  </si>
  <si>
    <t>125507P</t>
  </si>
  <si>
    <t>ELECTROCHEMICAL SLURRY COMPOSITIONS AND METHODS FOR PREPARING THE SAME</t>
  </si>
  <si>
    <t>61/665225</t>
  </si>
  <si>
    <t>06/27/2012</t>
  </si>
  <si>
    <t>13/832861</t>
  </si>
  <si>
    <t>125502P</t>
  </si>
  <si>
    <t>STACKED FLOW CELL DESIGN AND METHOD</t>
  </si>
  <si>
    <t>61/424026</t>
  </si>
  <si>
    <t>12/16/2010</t>
  </si>
  <si>
    <t>13/915309</t>
  </si>
  <si>
    <t>125488</t>
  </si>
  <si>
    <t>61/662173</t>
  </si>
  <si>
    <t>06/20/2011</t>
  </si>
  <si>
    <t>125490P</t>
  </si>
  <si>
    <t>125492</t>
  </si>
  <si>
    <t>SEMI-SOLID ELECTRODES WITH GEL POLYMER ADDITIVE</t>
  </si>
  <si>
    <t>61/856188</t>
  </si>
  <si>
    <t>07/19/2013</t>
  </si>
  <si>
    <t>125494</t>
  </si>
  <si>
    <t>PCT/US12/54218</t>
  </si>
  <si>
    <t>125489</t>
  </si>
  <si>
    <t>07/05/2016</t>
  </si>
  <si>
    <t>125496</t>
  </si>
  <si>
    <t>PCT/US13/44915</t>
  </si>
  <si>
    <t>06/10/2013</t>
  </si>
  <si>
    <t>125499</t>
  </si>
  <si>
    <t>61/659248</t>
  </si>
  <si>
    <t>06/13/2012</t>
  </si>
  <si>
    <t>125500</t>
  </si>
  <si>
    <t>61/659736</t>
  </si>
  <si>
    <t>06/14/2012</t>
  </si>
  <si>
    <t>125501</t>
  </si>
  <si>
    <t>13/832836</t>
  </si>
  <si>
    <t>125502</t>
  </si>
  <si>
    <t>06/11/2013</t>
  </si>
  <si>
    <t>125503</t>
  </si>
  <si>
    <t>SEMI-SOLID FILLED BATTERY AND METHOD OF MANUFACTURE</t>
  </si>
  <si>
    <t>13/915312</t>
  </si>
  <si>
    <t>125507</t>
  </si>
  <si>
    <t>125169</t>
  </si>
  <si>
    <t>14/336119</t>
  </si>
  <si>
    <t>07/21/2014</t>
  </si>
  <si>
    <t>PCT/US14/047136</t>
  </si>
  <si>
    <t>125498</t>
  </si>
  <si>
    <t>PCT/US13/41537</t>
  </si>
  <si>
    <t>05/17/2013</t>
  </si>
  <si>
    <t>PCT/US11/66902</t>
  </si>
  <si>
    <t>12/22/2011</t>
  </si>
  <si>
    <t>125133</t>
  </si>
  <si>
    <t>14/543489</t>
  </si>
  <si>
    <t>11/17/2014</t>
  </si>
  <si>
    <t>PCT/US2014/022588</t>
  </si>
  <si>
    <t>PCT/US11/65623</t>
  </si>
  <si>
    <t>12/16/2011</t>
  </si>
  <si>
    <t>125487</t>
  </si>
  <si>
    <t>STATIONARY SEMI-SOLID BATTERY MODULE AND METHOD OF MANUFACTURE</t>
  </si>
  <si>
    <t>PCT/US12/54219</t>
  </si>
  <si>
    <t>13/607021</t>
  </si>
  <si>
    <t>PCT/US2013/075106</t>
  </si>
  <si>
    <t>12/13/2013</t>
  </si>
  <si>
    <t>142683</t>
  </si>
  <si>
    <t>125491</t>
  </si>
  <si>
    <t>14/597869</t>
  </si>
  <si>
    <t>01/15/2015</t>
  </si>
  <si>
    <t>12/01/2015</t>
  </si>
  <si>
    <t>125474</t>
  </si>
  <si>
    <t>HIGH ENERGY REDOX FLOW DEVICE</t>
  </si>
  <si>
    <t>12/970773</t>
  </si>
  <si>
    <t>05/13/2014</t>
  </si>
  <si>
    <t>125134</t>
  </si>
  <si>
    <t>DE-AR0000103</t>
  </si>
  <si>
    <t>WILDCAT DISCOVERY TECHNOLOGIES - (WILDCAT DISC)</t>
  </si>
  <si>
    <t>APPARATUS FOR GAS SORPTION MEASUREMENT WITH INTEGRATED GAS COMPOSITION MEASUREMENT DEVICE AND GAS MIXING</t>
  </si>
  <si>
    <t>13/718207</t>
  </si>
  <si>
    <t>12/18/2012</t>
  </si>
  <si>
    <t>125077</t>
  </si>
  <si>
    <t>ARPA-E HIGH THROUGHPUT DISCOVERY OF ROBUST METAL-ORGANIC FRAMEWORKS FOR CO2 CAPTURE</t>
  </si>
  <si>
    <t>125349</t>
  </si>
  <si>
    <t>DE-AR0000104</t>
  </si>
  <si>
    <t>UNIVERSITY OF GEORGIA RESEARCH FOUNDATION - (UNIV OF GA RESEARCH)</t>
  </si>
  <si>
    <t>IONIC LIQUID-FUNCTIONALIZED MESOPOROUS SORBENTS IN HOLLOW FIBERS FOR POST-COMBUSTION CO2 SCRUBBING</t>
  </si>
  <si>
    <t>13/868600</t>
  </si>
  <si>
    <t>01/23/2012</t>
  </si>
  <si>
    <t>125291</t>
  </si>
  <si>
    <t>DE-AR0000105</t>
  </si>
  <si>
    <t>UNIVERSITY OF FLORIDA - (UNIVEOFFLO)</t>
  </si>
  <si>
    <t>CAPACITOR FABRICATION METHOD BY VERTICAL THROUGH HOLES AND SELECTIVE ETCHING</t>
  </si>
  <si>
    <t>125367</t>
  </si>
  <si>
    <t>VIRGINIA TECH. INTELLECTUAL PROPERTIES, INC. - (VATECHIP)</t>
  </si>
  <si>
    <t>METHOD OF COATING MAGNETIC PARTICLES WITH INSULATING LAYER AND APPLICATIONS</t>
  </si>
  <si>
    <t>09/17/2015</t>
  </si>
  <si>
    <t>125245</t>
  </si>
  <si>
    <t>DE-AR0000107</t>
  </si>
  <si>
    <t>METHODOLOGY FOR INSULATING HIGH-LATERAL-ASPECT-RATIO MICRON-SCALE METALLIC LAMINATED STRUCTURES VIA IN-SOLUTION POLYMER FILLING</t>
  </si>
  <si>
    <t>02/21/2014</t>
  </si>
  <si>
    <t>125413</t>
  </si>
  <si>
    <t>SELF-ASSEMBLY OF FILMS FOR MULTI-LAYER STRUCTURES</t>
  </si>
  <si>
    <t>125278</t>
  </si>
  <si>
    <t>DE-AR0000108</t>
  </si>
  <si>
    <t>GEORGIA INSTITUTE OF TECH. - (GEORGINSTI)</t>
  </si>
  <si>
    <t>3 LEVEL DIRECT AC/AC CONVERTER WITH IMPUTED DC LINK (IDCL) CONVERTER CELLS AND ACTIVE SNUBBER</t>
  </si>
  <si>
    <t>02/01/2013</t>
  </si>
  <si>
    <t>04/26/2016</t>
  </si>
  <si>
    <t>125465</t>
  </si>
  <si>
    <t>ACTIVE AC SNUBBER FOR DIRECT AC/AC POWER CONVERTERS</t>
  </si>
  <si>
    <t>03/15/2015</t>
  </si>
  <si>
    <t>125437</t>
  </si>
  <si>
    <t>TRANSMISSION &amp; DISTRIBUTION POWER ROUTER - CD-PAR</t>
  </si>
  <si>
    <t>61/567467</t>
  </si>
  <si>
    <t>12/06/2011</t>
  </si>
  <si>
    <t>125394</t>
  </si>
  <si>
    <t>POWER FLOW CONTROLLER WITH A FRACTIONALLY RATED BACK-TO-BACK CONVERTER</t>
  </si>
  <si>
    <t>13/673966</t>
  </si>
  <si>
    <t>03/08/2016</t>
  </si>
  <si>
    <t>125439</t>
  </si>
  <si>
    <t>DE-AR0000110</t>
  </si>
  <si>
    <t>ULTRAHIGH VOLTAGE (&gt;=10 kV) COMPLEMENTARY INVERTER USING SIC P-IGBT AND N-IGBT</t>
  </si>
  <si>
    <t>125308</t>
  </si>
  <si>
    <t>CONTROL TECHNIQUE FOR MEDIUM VOLTAGE ACTIVE FRONT END CONVERTER FOR GRID INTERFACE APPLICATIONS</t>
  </si>
  <si>
    <t>125307</t>
  </si>
  <si>
    <t>CONTROL METHOD FOR THE DUAL ACTIVE BRIDGE ISOLATED DE-DC POWER CONVERTER IN PRESENCE OF TRANSFORMER PARASITICS</t>
  </si>
  <si>
    <t>125326</t>
  </si>
  <si>
    <t>GATE DRIVER IMPLEMENTATION AND VALIDATION WITH HIGH DV/DT IMMUNITY FOR ULTRAHIGH VOLTAGE SIC POWER SEMICONDUCTOR DEVICES</t>
  </si>
  <si>
    <t>S-142849</t>
  </si>
  <si>
    <t>CREE, INC. - (CREE)</t>
  </si>
  <si>
    <t>USING A CARBON VACANCY REDUCTION MATERIAL TO INCREASE AVERAGE CARRIER LIFETIME IN A SIC SEMICONDUCTOR DEVICE</t>
  </si>
  <si>
    <t>13/610993</t>
  </si>
  <si>
    <t>125453</t>
  </si>
  <si>
    <t>DE-AR0000111</t>
  </si>
  <si>
    <t>UNIVERSITY OF ARKANSAS AT FAYETTEVILLE - (UOFARKATFAY)</t>
  </si>
  <si>
    <t>WIDE-TEMPERATURE HIGH-FREQUENCY HIGH-EFFICIENCY SIC INTEGRATED-GATE-BUFFER (IGB)</t>
  </si>
  <si>
    <t>125230</t>
  </si>
  <si>
    <t>AN UNDER VOLTAGE LOCK-OUT CIRCUIT COMPATIBLE WITH INTEGRATION WITH POWER MOSFET DEVICES</t>
  </si>
  <si>
    <t>125240</t>
  </si>
  <si>
    <t>CREE, INC - (CN0083)</t>
  </si>
  <si>
    <t>VERTICAL POWER TRANSISTOR WITH BUILT-IN GATE BUFFER</t>
  </si>
  <si>
    <t>13/926313</t>
  </si>
  <si>
    <t>06/25/2013</t>
  </si>
  <si>
    <t>142905</t>
  </si>
  <si>
    <t>ACTIVE ENERGY RECOVERY CLAMPING CIRCUIT TO IMPROVE THE PERFORMANCE OF POWER CONVERTERS</t>
  </si>
  <si>
    <t>143114</t>
  </si>
  <si>
    <t>DE-AR0000113</t>
  </si>
  <si>
    <t>TELEDYNE SCIENTIFIC &amp; IMAGING - (TELEDYNE)</t>
  </si>
  <si>
    <t>MICRO-FABRICATED INTEGRATED COIL AND MAGNETIC CIRCUIT AND METHOD OF MANUFACTURING THEREOF</t>
  </si>
  <si>
    <t>14/476644</t>
  </si>
  <si>
    <t>09/03/2014</t>
  </si>
  <si>
    <t>03/28/2017</t>
  </si>
  <si>
    <t>143167</t>
  </si>
  <si>
    <t>ELECTROMAGNETIC DEVICE HAVING LAYERED MAGNETIC MATERIAL COMPONENTS AND METHODS FOR MAKING SAME</t>
  </si>
  <si>
    <t>15/229975</t>
  </si>
  <si>
    <t>08/06/2016</t>
  </si>
  <si>
    <t>142814C</t>
  </si>
  <si>
    <t>DE-AR0000114</t>
  </si>
  <si>
    <t>CITY COLLEGE OF NEW YORK - (CITY COLLE)</t>
  </si>
  <si>
    <t>PREVENTION OF HYDROPHBIC DEWETTING THROUGH NANOPARTICLE SURFACE TREATMENT</t>
  </si>
  <si>
    <t>15/624152</t>
  </si>
  <si>
    <t>06/15/2017</t>
  </si>
  <si>
    <t>13/775938</t>
  </si>
  <si>
    <t>143155</t>
  </si>
  <si>
    <t>ROLLED POWER CAPACITOR WITH COMPOSITE DIELECTRIC (METACAP POWER CAPACITOR)</t>
  </si>
  <si>
    <t>61/826275</t>
  </si>
  <si>
    <t>05/22/2013</t>
  </si>
  <si>
    <t>14/744726</t>
  </si>
  <si>
    <t>142774D1</t>
  </si>
  <si>
    <t>MULTI-METAL OXIDE CERAMIC NANOMATERIAL</t>
  </si>
  <si>
    <t>15/083885</t>
  </si>
  <si>
    <t>14/445760</t>
  </si>
  <si>
    <t>142816</t>
  </si>
  <si>
    <t>METHOD FOR PROVIDING A STRETCHABLE POWER SOURCE AND DEVICE</t>
  </si>
  <si>
    <t>142814</t>
  </si>
  <si>
    <t>143091</t>
  </si>
  <si>
    <t>07/29/2014</t>
  </si>
  <si>
    <t>143088</t>
  </si>
  <si>
    <t>NORTH CAROLINA STATE UNIVERSITY RALEIGH - (NORTH CAR STATE)</t>
  </si>
  <si>
    <t>SWITCHED-CAPACITOR ISOLATED LED DRIVER</t>
  </si>
  <si>
    <t>14/293107</t>
  </si>
  <si>
    <t>06/02/2014</t>
  </si>
  <si>
    <t>143154</t>
  </si>
  <si>
    <t>DIELECTRIC FILM WITH NANAOPARTICLES</t>
  </si>
  <si>
    <t>01/18/2013</t>
  </si>
  <si>
    <t>142774</t>
  </si>
  <si>
    <t>05/18/2016</t>
  </si>
  <si>
    <t xml:space="preserve"> 125290</t>
  </si>
  <si>
    <t>CAPACITIVELY ISOLATED LED DRIVER CIRCUIT</t>
  </si>
  <si>
    <t>DE-AR0000115</t>
  </si>
  <si>
    <t>TRANSPHORM, INC. - (TRANS)</t>
  </si>
  <si>
    <t>13/403813</t>
  </si>
  <si>
    <t>07/22/2014</t>
  </si>
  <si>
    <t>143070</t>
  </si>
  <si>
    <t>ELECTRONIC COMPONENTS WITH REACTIVE FILTERS</t>
  </si>
  <si>
    <t>143071</t>
  </si>
  <si>
    <t>METHOD OF FORMING ELECTRONIC COMPONENTS WITH REACTIVE FILTERS</t>
  </si>
  <si>
    <t>14/307234</t>
  </si>
  <si>
    <t>06/17/2014</t>
  </si>
  <si>
    <t>05/26/2015</t>
  </si>
  <si>
    <t>125683</t>
  </si>
  <si>
    <t>DE-AR0000116</t>
  </si>
  <si>
    <t>FEASIBLE, INC. - (FEASIBLE)</t>
  </si>
  <si>
    <t>METALLIC-GLASS ALLOYS FOR CAPACITOR ANODES</t>
  </si>
  <si>
    <t>14/713843</t>
  </si>
  <si>
    <t>05/15/2015</t>
  </si>
  <si>
    <t>02/27/2018</t>
  </si>
  <si>
    <t>143089</t>
  </si>
  <si>
    <t>DE-AR0000117</t>
  </si>
  <si>
    <t>NOVOPACK APS - (NOVO)</t>
  </si>
  <si>
    <t>SPREAD CONTAINER</t>
  </si>
  <si>
    <t>14/290002</t>
  </si>
  <si>
    <t>05/29/2014</t>
  </si>
  <si>
    <t>125236</t>
  </si>
  <si>
    <t>HRL LABORATORIES, LLC - (CN0102)</t>
  </si>
  <si>
    <t>GAN BASED HFERS AND MOS-HFETS FABRICATED ON SAME WAFER</t>
  </si>
  <si>
    <t>125546</t>
  </si>
  <si>
    <t>ILL-NITRIDE INSULTATING-GATE TRANSISTORS WITH PASSIVATION</t>
  </si>
  <si>
    <t>143128</t>
  </si>
  <si>
    <t>DE-AR0000118</t>
  </si>
  <si>
    <t>GENERAL ELECTRIC GLOBAL RESEARCH CTR - (GENER)</t>
  </si>
  <si>
    <t>PLUSE LASER MACHINING METHODS FOR THE FABRICATION OF DISCRETE COMPONENTS FROM MAGNETIC THICK FILMS</t>
  </si>
  <si>
    <t>06/29/2017</t>
  </si>
  <si>
    <t>143126</t>
  </si>
  <si>
    <t>MAGNETIC FIELD ANNEALING OF THICK MAGNETIC FILMS</t>
  </si>
  <si>
    <t>125304</t>
  </si>
  <si>
    <t>DE-AR0000119</t>
  </si>
  <si>
    <t>COMPOUNDS, COMPLEXES, COMPOSITIONS, METHODS AND SYSTEMS FOR HEATING AND COOLING</t>
  </si>
  <si>
    <t>15/026233</t>
  </si>
  <si>
    <t>03/30/2016</t>
  </si>
  <si>
    <t>125304-PCT</t>
  </si>
  <si>
    <t>PCT/US2014/058366</t>
  </si>
  <si>
    <t>142864</t>
  </si>
  <si>
    <t>DE-AR0000122</t>
  </si>
  <si>
    <t>MAKANI POWER, INC. - (MAKA)</t>
  </si>
  <si>
    <t xml:space="preserve">MOTOR PYLONS FOR A KITE AND AIRBORNE POWER GENERATION SYSTEM USING SAME </t>
  </si>
  <si>
    <t>13/733125</t>
  </si>
  <si>
    <t>01/02/2013</t>
  </si>
  <si>
    <t>143108</t>
  </si>
  <si>
    <t>MOTOR PYLONS FOR A KITE AND AIRBORNE POWER GENERATION SYSTEM USING SAME</t>
  </si>
  <si>
    <t>14/590086</t>
  </si>
  <si>
    <t>143112</t>
  </si>
  <si>
    <t>KITE GROUND STATION AND SYSTEM USING SAME</t>
  </si>
  <si>
    <t>14/543189</t>
  </si>
  <si>
    <t>125378</t>
  </si>
  <si>
    <t>DE-AR0000123</t>
  </si>
  <si>
    <t>SEMICONDUCTOR DEVICES HAVING A RECESSED ELECTRODE STRUCTURE</t>
  </si>
  <si>
    <t>13/649658</t>
  </si>
  <si>
    <t>10/11/2012</t>
  </si>
  <si>
    <t>125440</t>
  </si>
  <si>
    <t xml:space="preserve">REDUCING LEAKAGE CURRENT IN SEMICONDUCTOR DEVICES </t>
  </si>
  <si>
    <t>06/10/2015</t>
  </si>
  <si>
    <t>03/06/2018</t>
  </si>
  <si>
    <t>143038</t>
  </si>
  <si>
    <t>NEW STRUCTURE AND ETCH TECHOLONGY FOR III-NITRIDE SEMICONDUCTORS</t>
  </si>
  <si>
    <t>14/442546</t>
  </si>
  <si>
    <t>05/13/2015</t>
  </si>
  <si>
    <t>02/14/2017</t>
  </si>
  <si>
    <t>125903</t>
  </si>
  <si>
    <t>DIODE HAVING TRENCHES IN A SEMICONDUCTOR REGION _x000D_</t>
  </si>
  <si>
    <t>14/082618</t>
  </si>
  <si>
    <t>11/18/2013</t>
  </si>
  <si>
    <t>125233</t>
  </si>
  <si>
    <t>HF SWITCHED LED DRIVER WITH SWITCHED-CAPACITOR PREREGULATOR</t>
  </si>
  <si>
    <t>125457</t>
  </si>
  <si>
    <t>DARTMOUTH COLLEGE - (DARTMCOLLE)</t>
  </si>
  <si>
    <t>MICROFABRICATED MAGNETIC DEVICES AND ASSOCIATED METHOD</t>
  </si>
  <si>
    <t>06/06/2013</t>
  </si>
  <si>
    <t>142650</t>
  </si>
  <si>
    <t>NEW STRUCTURE AND ETCH TECHNOLOGY FOR III-NITRIDE SEMICONDUCTORS</t>
  </si>
  <si>
    <t>143038CON</t>
  </si>
  <si>
    <t>NEW STRUCTURE AND ETCH TECHOLONGY FOR FOR III-NITRIDE SEMICONDUCTORS</t>
  </si>
  <si>
    <t>15/391472</t>
  </si>
  <si>
    <t>12/27/2016</t>
  </si>
  <si>
    <t>125328</t>
  </si>
  <si>
    <t>GRID INTERFACE POWER CONVERSION ARCHITECTURE</t>
  </si>
  <si>
    <t>PCT/US2014/033267</t>
  </si>
  <si>
    <t>NEW STRUCTURE AND TECHNOLOGY FOR POWER SEMICONDUCTOR DEVICES</t>
  </si>
  <si>
    <t>PCT/US2012/059744</t>
  </si>
  <si>
    <t>125822</t>
  </si>
  <si>
    <t>DE-AR0000124</t>
  </si>
  <si>
    <t>GENERAL ATOMICS - (CN0031)</t>
  </si>
  <si>
    <t>APPARATUS AND METHOD FOR USE IN STORING ENERGY</t>
  </si>
  <si>
    <t>13/843489</t>
  </si>
  <si>
    <t>08/01/2017</t>
  </si>
  <si>
    <t>144952</t>
  </si>
  <si>
    <t>DE-AR0000127</t>
  </si>
  <si>
    <t>SHEETAK, INC. - (SHEE)</t>
  </si>
  <si>
    <t>EFFICIENT FLO-TE HEAT PUMPS</t>
  </si>
  <si>
    <t>14/399745</t>
  </si>
  <si>
    <t>11/07/2014</t>
  </si>
  <si>
    <t>144953</t>
  </si>
  <si>
    <t>THERMOELECTRIC DEVICE FOR HIGH TEMPERATURE APPLICATIONS</t>
  </si>
  <si>
    <t>14/742364</t>
  </si>
  <si>
    <t>06/17/2015</t>
  </si>
  <si>
    <t>144951</t>
  </si>
  <si>
    <t>RECYCLING OF HEAT FOR EFFICIENT DISTILLIATION</t>
  </si>
  <si>
    <t>62/156655</t>
  </si>
  <si>
    <t>05/04/2015</t>
  </si>
  <si>
    <t>125902</t>
  </si>
  <si>
    <t>TRANSFORMATION ENABLED NITRIDE MAGNETS ABSENT RATE EARTHS (TEN MARE)</t>
  </si>
  <si>
    <t>125901</t>
  </si>
  <si>
    <t xml:space="preserve">Transformation Enabled Nitride Magnets Absent Rare Earths and a Process of Making the Same </t>
  </si>
  <si>
    <t>14/117355</t>
  </si>
  <si>
    <t>11/19/2013</t>
  </si>
  <si>
    <t>125681</t>
  </si>
  <si>
    <t>DE-AR0000128</t>
  </si>
  <si>
    <t>ASTRONAUTICS CORPORATION OF AMERICA - (ASTRCORAME)</t>
  </si>
  <si>
    <t>MAGNETIC REFRIGERATION SYSTEM WITH SEPARATED INLET AND OUTLET FLOW</t>
  </si>
  <si>
    <t xml:space="preserve">14/556424 </t>
  </si>
  <si>
    <t>08/28/2014</t>
  </si>
  <si>
    <t>125682</t>
  </si>
  <si>
    <t>MAGNETIC REFRIGERATION SYSTEM WITH UNEQUAL BLOWS</t>
  </si>
  <si>
    <t>125333</t>
  </si>
  <si>
    <t>HIGH POROSITY PARTICLATE BEDS STRUCTURALLY STABILIZED BY EPOXY</t>
  </si>
  <si>
    <t xml:space="preserve">14/471531 </t>
  </si>
  <si>
    <t>144074</t>
  </si>
  <si>
    <t>DE-AR0000130</t>
  </si>
  <si>
    <t>PENNSYLVANIA STATE UNIVERSITY - (PENNSSTATE)</t>
  </si>
  <si>
    <t>MONOCOQUE SHELL-AND -TUBE HEAT EXCHANGER_x000D__x000D_</t>
  </si>
  <si>
    <t>142786</t>
  </si>
  <si>
    <t>MONOCOQUE SHELL-AND -TUBE HEAT EXCHANGER</t>
  </si>
  <si>
    <t>125688</t>
  </si>
  <si>
    <t>DE-AR0000131</t>
  </si>
  <si>
    <t>UNIV OF MARYLAND, COLLEGE PARK - (UNVOFMAR)</t>
  </si>
  <si>
    <t>NOVEL DESIGNS IMPROVING THE PERFORMANCE OF A COMPRESSIVE THERMOELASTIC COOLING SYSTEM</t>
  </si>
  <si>
    <t>12/09/2014</t>
  </si>
  <si>
    <t>125432</t>
  </si>
  <si>
    <t>UNIVERSITY OF MARYLAND - (UNIVEOFMAR)</t>
  </si>
  <si>
    <t>THERMOELASTIC COOLING</t>
  </si>
  <si>
    <t>13/431768</t>
  </si>
  <si>
    <t>03/27/2012</t>
  </si>
  <si>
    <t>125445</t>
  </si>
  <si>
    <t>DE-AR0000132</t>
  </si>
  <si>
    <t>USE OF PRESSURE PULSING AND/OR WAVE FORMS TO IMPROVE PERFORMANCE IN CASCADE REVERSE OSMOSIS</t>
  </si>
  <si>
    <t>125442</t>
  </si>
  <si>
    <t>USE OF CASCADE REVERSE OSMOSIS IN THE TREATMENT AND RECYCLE OF FLOWBACK WATER FROM HYDRAULIC FRACTURING</t>
  </si>
  <si>
    <t>125441</t>
  </si>
  <si>
    <t>USE OF CASCADE REVERSE OSMOSIS FOR ENERGY RECOVERY IN SEAWATER DESALINATION</t>
  </si>
  <si>
    <t>125321</t>
  </si>
  <si>
    <t>ENHANCEMENTS AND POTENTIAL ENABLING FEATURES FOR CASCADE REVERSE OSMOSIS</t>
  </si>
  <si>
    <t>125247</t>
  </si>
  <si>
    <t>DE-AR0000133</t>
  </si>
  <si>
    <t>3D Microstructures and Micro-Mixing for Rapid Absorption/Desorption in Mechanically Constrained Liquid Absorbents</t>
  </si>
  <si>
    <t>125434</t>
  </si>
  <si>
    <t>THIN FILM-BASED COMPACT ABSORPTION COOLING SYSTEM</t>
  </si>
  <si>
    <t>14/353391</t>
  </si>
  <si>
    <t>11/08/2016</t>
  </si>
  <si>
    <t>143353</t>
  </si>
  <si>
    <t xml:space="preserve">COMPACT AND EFFICIENT PLATE AND FRAME ABSORBER </t>
  </si>
  <si>
    <t>15/762333</t>
  </si>
  <si>
    <t>03/22/2018</t>
  </si>
  <si>
    <t>125929</t>
  </si>
  <si>
    <t>DE-AR0000136</t>
  </si>
  <si>
    <t xml:space="preserve"> A HIGH EFFICIENCY NICKEL-IRON BATTERY</t>
  </si>
  <si>
    <t>125329</t>
  </si>
  <si>
    <t>HIGH EFFICIENCY ELECTRODES AND ADDITIVES FOR IRON-AIR BATTERY</t>
  </si>
  <si>
    <t>13524761</t>
  </si>
  <si>
    <t>142841</t>
  </si>
  <si>
    <t>DE-AR0000137</t>
  </si>
  <si>
    <t>ROBERT BOSCH, LLC - (ROBBOSC H)</t>
  </si>
  <si>
    <t>HYDROGEN/BROMINE FLOW BATTERY IN WHICH HYDROGEN IS FRELY EXCHANGED BETWEEN TWO CELL COMPARTMENTS</t>
  </si>
  <si>
    <t>15/104161</t>
  </si>
  <si>
    <t>06/13/2016</t>
  </si>
  <si>
    <t>02/26/2014</t>
  </si>
  <si>
    <t>142840</t>
  </si>
  <si>
    <t>METHODS OF RETURNING MATERIALS FROM THE BR2 SIDE OF THE SYSTEM AFTER CROSSOVER AND SYSTEMS THEREFOR</t>
  </si>
  <si>
    <t>15/105874</t>
  </si>
  <si>
    <t>06/17/2016</t>
  </si>
  <si>
    <t>142839</t>
  </si>
  <si>
    <t>SAFETY SYSTEM FOR A FLOW BATTERY AND FLOW BATTERY SYSTEM</t>
  </si>
  <si>
    <t>14/565677</t>
  </si>
  <si>
    <t>12/10/2014</t>
  </si>
  <si>
    <t>143013</t>
  </si>
  <si>
    <t>SYSTEM AND METHOD FOR MINIMIZING TRANSPORT RELATED PERFORMANCE LOSSES IN A FLOW BATTERY SYSTEM</t>
  </si>
  <si>
    <t>15/037828</t>
  </si>
  <si>
    <t>05/19/2016</t>
  </si>
  <si>
    <t>143426</t>
  </si>
  <si>
    <t>DE-AR0000140</t>
  </si>
  <si>
    <t>KAMPACHI FARMS, LLC - (KAMPACHI)</t>
  </si>
  <si>
    <t>LITHOGRAPHICALLY PATTERNED MODE SIZE CONVERTERS AND ARRAYS</t>
  </si>
  <si>
    <t>142732</t>
  </si>
  <si>
    <t>HYBRID ENERGY STORAGE SYSTEM</t>
  </si>
  <si>
    <t>16/083458</t>
  </si>
  <si>
    <t>09/07/2018</t>
  </si>
  <si>
    <t>142733</t>
  </si>
  <si>
    <t>MODULAR THERMAL ENERGY STORAGE SYSTEM</t>
  </si>
  <si>
    <t>16/083450</t>
  </si>
  <si>
    <t>142731</t>
  </si>
  <si>
    <t>MULTI-MODE, SINGLE-TANK ENERGY STORAGE</t>
  </si>
  <si>
    <t>142732-PCT</t>
  </si>
  <si>
    <t>PCT/US2017/019947</t>
  </si>
  <si>
    <t>02/28/2017</t>
  </si>
  <si>
    <t>02/11/2016</t>
  </si>
  <si>
    <t>125335</t>
  </si>
  <si>
    <t>UCLA - (UCLAOPI)</t>
  </si>
  <si>
    <t>HIGH-DENSITY, HIGH-TEMPERATURE THERMAL ENERGY STORAGE AND RETRIEVAL VIA ELEMENTAL FLUIDS</t>
  </si>
  <si>
    <t>14/475479</t>
  </si>
  <si>
    <t>125425</t>
  </si>
  <si>
    <t>SUPERCRITICAL THERMAL ENERGY STORAGE</t>
  </si>
  <si>
    <t>13/237875</t>
  </si>
  <si>
    <t>142733-PCT</t>
  </si>
  <si>
    <t>PCT/US2017/019939</t>
  </si>
  <si>
    <t>125256</t>
  </si>
  <si>
    <t>ADVANCED CASCADE THERMAL STORAGE</t>
  </si>
  <si>
    <t>125429</t>
  </si>
  <si>
    <t>THERMAL PROPERTY MEASUREMENT DEVICE</t>
  </si>
  <si>
    <t>61/878486</t>
  </si>
  <si>
    <t>09/16/2013</t>
  </si>
  <si>
    <t>142733-PROV</t>
  </si>
  <si>
    <t>62/301609</t>
  </si>
  <si>
    <t>02/29/2016</t>
  </si>
  <si>
    <t>125200</t>
  </si>
  <si>
    <t>DE-AR0000141</t>
  </si>
  <si>
    <t>ABB, INC - (ABB)</t>
  </si>
  <si>
    <t>MULTI-PHASE AC/AC STEP-DOWN CONVERTER FOR DISTRIBUTION SYSTEMS</t>
  </si>
  <si>
    <t>14/175461</t>
  </si>
  <si>
    <t>125199</t>
  </si>
  <si>
    <t>MODULAR, MULTI-CHANNEL INTERLEAVED POWER CONVERTER</t>
  </si>
  <si>
    <t>61/927476</t>
  </si>
  <si>
    <t>01/15/2014</t>
  </si>
  <si>
    <t>125196</t>
  </si>
  <si>
    <t>UNIVERSITY OF HOUSTON - (UNIVEOFHOU)</t>
  </si>
  <si>
    <t>METHODS AND SYSTEMS FOR ENHANCING SUPERCONDUCTOR MANUFACTURING</t>
  </si>
  <si>
    <t>61/801478</t>
  </si>
  <si>
    <t>03/17/2014</t>
  </si>
  <si>
    <t>125193</t>
  </si>
  <si>
    <t>INTERLEAVED MULTI-CHANNEL MULTI-LEVEL DC/DC CONVERTERS AND COUPLED INDUCTOR ARRANGEMENTS</t>
  </si>
  <si>
    <t>61/927776</t>
  </si>
  <si>
    <t>125197</t>
  </si>
  <si>
    <t>BROOKHAVEN NATIONAL LABORATORY - (BNL)</t>
  </si>
  <si>
    <t>RADIO FREQUENCY-ASSISTED FAST SUPERCONDUCTING SWITCH</t>
  </si>
  <si>
    <t>PCT/US13/35723</t>
  </si>
  <si>
    <t>04/09/2013</t>
  </si>
  <si>
    <t>142651</t>
  </si>
  <si>
    <t>DE-AR0000143</t>
  </si>
  <si>
    <t>PRIMUS POWER - (PRIPOWE)</t>
  </si>
  <si>
    <t>ELECTROLYTE FLOW CONFIGURATION FOR A METAL HALOGEN FLOW BATTERY</t>
  </si>
  <si>
    <t>142653</t>
  </si>
  <si>
    <t>NOVEL ELECTRODE DESIGN FOR HIGH PERFORMANCE METAL HALOGEN FLOW BATTERY</t>
  </si>
  <si>
    <t>13/850729</t>
  </si>
  <si>
    <t>142652</t>
  </si>
  <si>
    <t>UTILIZTION OF PLASMA TO AID COATING</t>
  </si>
  <si>
    <t>13/329889</t>
  </si>
  <si>
    <t>125097</t>
  </si>
  <si>
    <t>DE-AR0000144</t>
  </si>
  <si>
    <t>UNITED TECHNOLOGIES RESEARCH CENTER - (UNITETECHR)</t>
  </si>
  <si>
    <t>MEANS FOR PURGING AIR FROM WATER-BASED HVAC SYSTEMS</t>
  </si>
  <si>
    <t>142895</t>
  </si>
  <si>
    <t>SUPERSONIC COMPRESSOR ROTOR</t>
  </si>
  <si>
    <t>61/599901</t>
  </si>
  <si>
    <t>09/16/2011</t>
  </si>
  <si>
    <t>142895PCT</t>
  </si>
  <si>
    <t>pct/us12/69989</t>
  </si>
  <si>
    <t>125015</t>
  </si>
  <si>
    <t>USE OF SUPERSONIC COMPRESSOR FOR WATER REFRIGERANT CYCLE</t>
  </si>
  <si>
    <t>13/982112</t>
  </si>
  <si>
    <t>DE-AR0000147</t>
  </si>
  <si>
    <t>14/157958</t>
  </si>
  <si>
    <t>01/17/2014</t>
  </si>
  <si>
    <t>125128</t>
  </si>
  <si>
    <t>PULSED FLOW FOR CONDENSATE REMOVAL IN MEMBRANE DEHUMIDIFICATION SYSTEM</t>
  </si>
  <si>
    <t>14/155611</t>
  </si>
  <si>
    <t>144957-2</t>
  </si>
  <si>
    <t>MEMBRANE CONTACTOR FOR DEHUMIDIFICATION SYSTEMS</t>
  </si>
  <si>
    <t>144957</t>
  </si>
  <si>
    <t>144958</t>
  </si>
  <si>
    <t>MEMBRANE MODULE DESIGN FOR ENHANCED HEAT TRANSFER</t>
  </si>
  <si>
    <t>144954</t>
  </si>
  <si>
    <t>VACUUM LEAK PREVENTION FOR CLOSED DESLCCANT SYSTEMS</t>
  </si>
  <si>
    <t>144955</t>
  </si>
  <si>
    <t>ORIENTED MEMBRANE MODULE FOR CONDENSATE REMOVAL IN A DEHUMIDIFICATION SYSTEM</t>
  </si>
  <si>
    <t>142665PCT</t>
  </si>
  <si>
    <t>DE-AR0000149</t>
  </si>
  <si>
    <t>EDGE CONFIGURATION TO MINIMIZE CARBON CORROSION DUE TO SHUNT CURRENTS IN VANADIUM FLOW BATTERIES</t>
  </si>
  <si>
    <t>PCT/US12/64328</t>
  </si>
  <si>
    <t>14/439679</t>
  </si>
  <si>
    <t>142668PCT</t>
  </si>
  <si>
    <t>OPERATIONAL METHODS OF REDOX FLOW BATTERY</t>
  </si>
  <si>
    <t>PCT/US13/32038</t>
  </si>
  <si>
    <t>08/18/2015</t>
  </si>
  <si>
    <t>14/768622</t>
  </si>
  <si>
    <t>142663PCT</t>
  </si>
  <si>
    <t>USING SOC MEASUREMENTS TO MININIZE DECAY OF NEGATIVE ELECTRODE DECAY OF NEGATIVE ELECTRODE IN VANDIUM REDOX BATTERY</t>
  </si>
  <si>
    <t>PCT/US13/32091</t>
  </si>
  <si>
    <t>14/770969</t>
  </si>
  <si>
    <t>142671</t>
  </si>
  <si>
    <t>REAL-TIME PERFORMANCE SENSOR FOR VALADIUM FLOW BATTERY SYSTEM</t>
  </si>
  <si>
    <t>13/164059</t>
  </si>
  <si>
    <t>142665</t>
  </si>
  <si>
    <t>142663</t>
  </si>
  <si>
    <t>CARBON FIBER GARPHILIZATION TEMPERATURE THAT STABILIZES SURFACE OXIDES</t>
  </si>
  <si>
    <t>14/652131</t>
  </si>
  <si>
    <t>12/23/2012</t>
  </si>
  <si>
    <t>142668</t>
  </si>
  <si>
    <t>142669</t>
  </si>
  <si>
    <t>CONTROLLED OXIDATION FOR IMPROVED FLOW BATTERY PERFORMANCE</t>
  </si>
  <si>
    <t>142670</t>
  </si>
  <si>
    <t>OPERATIONAL METHODS AND DESIGN OF A REDOX-FLOW BATTERY SYSTEM</t>
  </si>
  <si>
    <t>142667</t>
  </si>
  <si>
    <t>OPERATIONAL METHODS AND DESIGN OF A REDOX-FLOW TYPE BATTERY</t>
  </si>
  <si>
    <t>142666</t>
  </si>
  <si>
    <t>FLOW BATTERY STACK WITH TWO MEMBRANES</t>
  </si>
  <si>
    <t>125574</t>
  </si>
  <si>
    <t>3M INNOVATIVE PROPERTIES - (3MIP)</t>
  </si>
  <si>
    <t>REDOX BATTERY MEMBRANE</t>
  </si>
  <si>
    <t>143022</t>
  </si>
  <si>
    <t>SYSTEM AND METHOD FOR OPERATING A FLOW BATTERY SYSTEM AT AN ELEVATED TEMPERATURE</t>
  </si>
  <si>
    <t>13/160193</t>
  </si>
  <si>
    <t>06/14/2011</t>
  </si>
  <si>
    <t>142664PCT</t>
  </si>
  <si>
    <t>PCT/US12/71549</t>
  </si>
  <si>
    <t>143018</t>
  </si>
  <si>
    <t>SYSTEM AND METHOD FOR SENSING AND MITIGATING HYDROGEN EVOLUTION WITHIN A FLOW BATTERY SYSTEM</t>
  </si>
  <si>
    <t>143020PCT</t>
  </si>
  <si>
    <t>FLOW BATTERY WITH MIXED FLOW</t>
  </si>
  <si>
    <t>PCT/US2011/066143</t>
  </si>
  <si>
    <t>12/20/2011</t>
  </si>
  <si>
    <t>01/12/2015</t>
  </si>
  <si>
    <t>125261PCT</t>
  </si>
  <si>
    <t>METHOD FOR OPTIMAL CONTROL OF FBS USING ADVANCED SOC MEASUREMENT</t>
  </si>
  <si>
    <t>PCT/US13/77456</t>
  </si>
  <si>
    <t>09/26/2013</t>
  </si>
  <si>
    <t>15/107499</t>
  </si>
  <si>
    <t>125221PCT</t>
  </si>
  <si>
    <t>FLOW BATTERY FLOW FIELD HAVING VOLUME THAT IS FUNCTION OF POWER PARAMETER, TIME PARAMETER AND CONCENTRATION PARAMETER</t>
  </si>
  <si>
    <t>pct/us13/32038</t>
  </si>
  <si>
    <t>125071PCT</t>
  </si>
  <si>
    <t>REACTIVATION OF FLOW BATTERY ELECTRODE BY EXPOSURE TO OXIDIZING SOLUTION</t>
  </si>
  <si>
    <t>143019</t>
  </si>
  <si>
    <t>FLOW BATTERY HAVING A LOW RESISTANCE MEMRANE</t>
  </si>
  <si>
    <t>13/023101</t>
  </si>
  <si>
    <t>02/08/2011</t>
  </si>
  <si>
    <t>143020</t>
  </si>
  <si>
    <t>14/364712</t>
  </si>
  <si>
    <t>125221</t>
  </si>
  <si>
    <t>125071</t>
  </si>
  <si>
    <t xml:space="preserve">14/770969 </t>
  </si>
  <si>
    <t>125261</t>
  </si>
  <si>
    <t>12/23/2013</t>
  </si>
  <si>
    <t>142950pct</t>
  </si>
  <si>
    <t>GRAPHITE- CONTAINING ELECTRODE AND METHOD RELATED THERETO</t>
  </si>
  <si>
    <t>06/15/2015</t>
  </si>
  <si>
    <t>142950</t>
  </si>
  <si>
    <t>142735</t>
  </si>
  <si>
    <t>DE-AR0000150</t>
  </si>
  <si>
    <t>RESEARCH FOUNDATION OF CUNY/CITY COLLEGE - (RESFOUCUNCOLLEGE)</t>
  </si>
  <si>
    <t>NICKEL-ZINC FLOW BATTERY</t>
  </si>
  <si>
    <t>13/501673</t>
  </si>
  <si>
    <t>02/11/2012</t>
  </si>
  <si>
    <t>142672</t>
  </si>
  <si>
    <t>SECONDARY ZINC-MANGANESE DIOXIDE BATTERIES FOR  HIGH POWER APPLICATIONS</t>
  </si>
  <si>
    <t>14/441766</t>
  </si>
  <si>
    <t>05/08/2015</t>
  </si>
  <si>
    <t>142673</t>
  </si>
  <si>
    <t>ALKALINE BATTERY OPERATIONAL METHODOLOGY</t>
  </si>
  <si>
    <t>14/380008</t>
  </si>
  <si>
    <t>08/16/2016</t>
  </si>
  <si>
    <t>142740</t>
  </si>
  <si>
    <t>ACHIEVING MAXIMUM DISCHARGE CAPACITY FOR HIGHER-LOADING  MNO2 CATHODES IN RECHARGEABLE MNO2-ZN ALKALINE BATTERIES</t>
  </si>
  <si>
    <t>62/067215</t>
  </si>
  <si>
    <t>02/03/2016</t>
  </si>
  <si>
    <t>142747</t>
  </si>
  <si>
    <t>NOVEL BINDERS AND SYNTHESIS ROUTES FOR MNO2 CATHODES IN HIGH PERFORMANCE RECHARGEABLE MNO2-ZN BATTERIES</t>
  </si>
  <si>
    <t>62/062983</t>
  </si>
  <si>
    <t>142746</t>
  </si>
  <si>
    <t>ELECTROLYTE ADDITIVES FOR ALKALINE ZINC MANGANESE DIOXIDE (ZN-mNO2) BATTERIES FOR HIGH DEPTH OF DISCHARGE (DOD) AND C-RATES</t>
  </si>
  <si>
    <t>62/043860</t>
  </si>
  <si>
    <t>142736</t>
  </si>
  <si>
    <t>A MAGNETIC SYSTEM FOR PRODUCING ELECTROLYTE FLOW IN BATTERIES</t>
  </si>
  <si>
    <t>61/725976</t>
  </si>
  <si>
    <t>142737</t>
  </si>
  <si>
    <t>METHOD FOR CONTROLLING LARGE STRINGS OF BATTERY CELLS USING ADAPTIVE MODELS</t>
  </si>
  <si>
    <t>61/788132</t>
  </si>
  <si>
    <t>142738</t>
  </si>
  <si>
    <t>ORGANIC-INORGANIC COMPOSITE ELECTRODES FOR ELECTRICAL ENERGY STORAGE</t>
  </si>
  <si>
    <t>61/787295</t>
  </si>
  <si>
    <t>142739</t>
  </si>
  <si>
    <t>DEVELOPMENT OF NOVEL MATERIALS AND ARCHITECTURES FOR LOW COST ELECTROCHEMICAL ENERGY STORAGE SYSTEMS</t>
  </si>
  <si>
    <t>61/833194</t>
  </si>
  <si>
    <t>142741</t>
  </si>
  <si>
    <t>LOW-COST FLOW-ASSISTED ZINC MANGANESE DIOXIDE ALKALINE STORAGE BATTERY</t>
  </si>
  <si>
    <t>61/547247</t>
  </si>
  <si>
    <t>142748</t>
  </si>
  <si>
    <t>EFFECT OF POLYANILINE COATING ON MEMBRANES/ELECTRODES TO IMMOBILIZE ZINCATE IONS TO ACHIEVE HIGHER ENERGY DENSITY  IN RECHARGEABLE ALKALINE CELLS</t>
  </si>
  <si>
    <t>62/067646</t>
  </si>
  <si>
    <t>142749</t>
  </si>
  <si>
    <t>ADVANCED NEGATIVE ZINC ELECTRODES FOR LONG LASTINGRECHARGEABLE ALKALINE BATTERIES WITH HIGH SPECIFIC ENERGY</t>
  </si>
  <si>
    <t>62/067654</t>
  </si>
  <si>
    <t>142750</t>
  </si>
  <si>
    <t>RECHARGEABLE ALKALINE MANGANESE DIOXIDE-ZINC BIPOLAR BATTERIES</t>
  </si>
  <si>
    <t>62/290161</t>
  </si>
  <si>
    <t>142742</t>
  </si>
  <si>
    <t>ELECTROLYTE VELOCITY OPTIMIZATION IN FLOW-ASSISTED RECHARGEABLE BATTERIES, AND THE DEVICE TO OPTIMIZE THE VELOCITY BASED ON THE COULOMB PASSED AND CURRENT DENSITY</t>
  </si>
  <si>
    <t>61/595256</t>
  </si>
  <si>
    <t>142743</t>
  </si>
  <si>
    <t>SECONDARY ZINC-MANGANESE DIOXIDE BATTERIES FOR HIGH POWER APPLICATIONS</t>
  </si>
  <si>
    <t>61/724873</t>
  </si>
  <si>
    <t>142744</t>
  </si>
  <si>
    <t>NOVEL, FREESTANDING MANGANESE DIOXIDE CATHODES FOR ALKALINE BATTERIES</t>
  </si>
  <si>
    <t>61/732926</t>
  </si>
  <si>
    <t>142745</t>
  </si>
  <si>
    <t>125817</t>
  </si>
  <si>
    <t>DE-AR0000153</t>
  </si>
  <si>
    <t>BOEING COMPANY - (BOEINCOMPA)</t>
  </si>
  <si>
    <t>STATORS WITH RECONFIGURABLE COIL PATHS</t>
  </si>
  <si>
    <t>13/104456</t>
  </si>
  <si>
    <t>125138</t>
  </si>
  <si>
    <t>LOW COST, VACUUM ASSISTED FIBERGLASS PRODUCTION</t>
  </si>
  <si>
    <t>125649</t>
  </si>
  <si>
    <t>DE-AR0000157</t>
  </si>
  <si>
    <t>BEACON POWER LLC - (BEACONPOWERLLC)</t>
  </si>
  <si>
    <t>HUB-LESS FLYWHEEL ENERGY STORAGE DEVICE</t>
  </si>
  <si>
    <t>09/28/2016</t>
  </si>
  <si>
    <t>143084</t>
  </si>
  <si>
    <t>DE-AR0000158</t>
  </si>
  <si>
    <t>SOFT MAGNETIC PHASE NANOPARTICLES PREPARATIONS AND ASSOCIATED METHODS THEREOF</t>
  </si>
  <si>
    <t>13/788218</t>
  </si>
  <si>
    <t>03/07/2013</t>
  </si>
  <si>
    <t>02/21/2016</t>
  </si>
  <si>
    <t>125043</t>
  </si>
  <si>
    <t>NANOCOMPOSITE PERMANENT MAGNET AND METHODS FOR MAKING THE SAME</t>
  </si>
  <si>
    <t>13/538229</t>
  </si>
  <si>
    <t>06/29/2012</t>
  </si>
  <si>
    <t>06/21/2016</t>
  </si>
  <si>
    <t>125157</t>
  </si>
  <si>
    <t>NANOCOMPOSITE PERMANENT MAGNET PRODUCED FROM DUAL-PHASE NANOFLAKES</t>
  </si>
  <si>
    <t>14/091380</t>
  </si>
  <si>
    <t>11/27/2013</t>
  </si>
  <si>
    <t>125786</t>
  </si>
  <si>
    <t>DE-AR0000159</t>
  </si>
  <si>
    <t>AMHERST COLLEGE - (AMHECOL)</t>
  </si>
  <si>
    <t>CLOSTRIDIUM LJUNGDAHLII STRAIN CAPABLE OF BUTYRATE PRODUCTION FROM CARBON DIOXIDE AND FOR NOVEL GENETIC TOOLS FOR CLOSTRIDIUM LJUNGDAHLII</t>
  </si>
  <si>
    <t>125146</t>
  </si>
  <si>
    <t>DE-AR0000170</t>
  </si>
  <si>
    <t>NAVITASMAX, INC. - (NAVITASMAX)</t>
  </si>
  <si>
    <t>SUPERCRITICAL FLUIDS, SYSTEMS AND METHODS FOR USE</t>
  </si>
  <si>
    <t>11/27/2012</t>
  </si>
  <si>
    <t>11/19/2012</t>
  </si>
  <si>
    <t>125910</t>
  </si>
  <si>
    <t>DE-AR0000171</t>
  </si>
  <si>
    <t>ABENGOA SOLAR, LLC - (ABSOL)</t>
  </si>
  <si>
    <t>FLOW CONTROL SYSTEMS AND METHODS FOR A PHASE CHANGE MATERIAL SOLAR RECEIVER</t>
  </si>
  <si>
    <t>PCT/US13/76624</t>
  </si>
  <si>
    <t>12/19/2013</t>
  </si>
  <si>
    <t>125911</t>
  </si>
  <si>
    <t>METAL REMELTING AND ELECTRICAL POWER GENERATION WITH CONCENTRATED SOLAR POWER</t>
  </si>
  <si>
    <t>PCT/US13/77002</t>
  </si>
  <si>
    <t>12/20/2013</t>
  </si>
  <si>
    <t>125912</t>
  </si>
  <si>
    <t>APPARATUS, METHODS, AND SYSTEMS FOR RECOVERING HEAT FROM A METAL CASTING PROCESS</t>
  </si>
  <si>
    <t>PCT/US13/77016</t>
  </si>
  <si>
    <t>125913</t>
  </si>
  <si>
    <t>CONCENTRATING SOLAR POWER METHODS AND SYSTEMS WITH LIQUID-SOLID PHASE CHANGE MATERIAL FOR HEAT TRANSFER</t>
  </si>
  <si>
    <t>07/03/2012</t>
  </si>
  <si>
    <t>125352</t>
  </si>
  <si>
    <t>DE-AR0000173</t>
  </si>
  <si>
    <t>UNIVERSITY OF UTAH - (UNIVEOFUTA)</t>
  </si>
  <si>
    <t>LIGHT METAL SOLID SOLUTION ALOYS FOR HYDROGEN STORAGE</t>
  </si>
  <si>
    <t>125545-PCT</t>
  </si>
  <si>
    <t>Utah State - (UTAH STATE)</t>
  </si>
  <si>
    <t>A CLIMATE CONTROL SYSTEM AND ASSOCIATED METHODS</t>
  </si>
  <si>
    <t>PCT/US2015/056733</t>
  </si>
  <si>
    <t>10/21/2015</t>
  </si>
  <si>
    <t>15/521229</t>
  </si>
  <si>
    <t>125545</t>
  </si>
  <si>
    <t>04/12/2017</t>
  </si>
  <si>
    <t>125152</t>
  </si>
  <si>
    <t>DE-AR0000174</t>
  </si>
  <si>
    <t>HALOTECHNICS, INC. - (HALOTECHNICS)</t>
  </si>
  <si>
    <t>VERY LOW VISCOSITY, HIGH STABILITY LIQUID GLASS FOR HEAT TRANSFER AND THERMAL ENERGY STORAGE</t>
  </si>
  <si>
    <t>61/723929</t>
  </si>
  <si>
    <t>11/08/2012</t>
  </si>
  <si>
    <t>125153</t>
  </si>
  <si>
    <t>61/727271</t>
  </si>
  <si>
    <t>125139</t>
  </si>
  <si>
    <t>61/713966</t>
  </si>
  <si>
    <t>125110</t>
  </si>
  <si>
    <t>ADVANCED MOLTEN GLASS FOR HEAT TRANSFER AND THERMAL ENERGY STORAGE</t>
  </si>
  <si>
    <t>61/603687</t>
  </si>
  <si>
    <t>125111</t>
  </si>
  <si>
    <t>61/603712</t>
  </si>
  <si>
    <t>125944</t>
  </si>
  <si>
    <t>GRAPHITIC MATRIXES WITH RATIONALLY DESIGNED MICROSCOPIC STRUCTURE, USES THEREOF AND METHODS OF MAKING</t>
  </si>
  <si>
    <t>125942</t>
  </si>
  <si>
    <t>SUGAR ALCOHOL BEND WITH HIGH LATENT HEAT</t>
  </si>
  <si>
    <t>125943</t>
  </si>
  <si>
    <t>CARBON FOAM/CARBON NANOTUBE HYBRID MATERIAL AND METHODS FOR THIER SYNTHESIS AND USE</t>
  </si>
  <si>
    <t>125914</t>
  </si>
  <si>
    <t>DE-AR0000176</t>
  </si>
  <si>
    <t>THERMOELECTRIC CLIMATE CONTROL SYSTEM WITH THERMAL STORAGE</t>
  </si>
  <si>
    <t>61/647402</t>
  </si>
  <si>
    <t>125337</t>
  </si>
  <si>
    <t>DE-AR0000177</t>
  </si>
  <si>
    <t>UNIVERSITY OF SOUTH FLORIDA - (UNIVERSITYOFSOUTHFLORIDA)</t>
  </si>
  <si>
    <t>HIGHLY SELECTIVE CO2 UPTAKE IN UNINODAL 6-CONNECTED NETS BASED UPON MO42-(M=CR, MO) PILLARS</t>
  </si>
  <si>
    <t>142799-CONT</t>
  </si>
  <si>
    <t>DE-AR0000178</t>
  </si>
  <si>
    <t>UNIVERSITY OF TEXAS - (THE UNIVER)</t>
  </si>
  <si>
    <t>THERMAL STORAGE  UNITS COMPONENTS THEREOF, AND METHODS OF MAKING AND USING THEM</t>
  </si>
  <si>
    <t>16/030160</t>
  </si>
  <si>
    <t>07/09/2018</t>
  </si>
  <si>
    <t>14/915403</t>
  </si>
  <si>
    <t>04/29/2016</t>
  </si>
  <si>
    <t>142799-PCT</t>
  </si>
  <si>
    <t>PCT/US2014/053472</t>
  </si>
  <si>
    <t>08/29/2014</t>
  </si>
  <si>
    <t>142800</t>
  </si>
  <si>
    <t>THERMAL STORAGE PHASE CHANGE MATERIAL COMPOSITES</t>
  </si>
  <si>
    <t>142799</t>
  </si>
  <si>
    <t>THERMAL STORAGE  UNITS COMPONENTS THEREOF, AND METHODS</t>
  </si>
  <si>
    <t>125945</t>
  </si>
  <si>
    <t>THERMAL STORAGE UNITS, COMPONENTS THEREOF, AND METHODS OF MAKING AND USING THEM</t>
  </si>
  <si>
    <t>144950</t>
  </si>
  <si>
    <t>DE-AR0000179</t>
  </si>
  <si>
    <t>THERMAL ENERGY STORAGE SYSTEMS AND METHODS</t>
  </si>
  <si>
    <t>04/18/2016</t>
  </si>
  <si>
    <t>125317-DIV</t>
  </si>
  <si>
    <t>ENCAPSULATION OF PHASE CHANGE MATERIALS FOR HIGH TEMPERATURE THERMAL ENERGY STORAGE</t>
  </si>
  <si>
    <t>15/862983</t>
  </si>
  <si>
    <t>01/05/2018</t>
  </si>
  <si>
    <t>14/741427</t>
  </si>
  <si>
    <t>125317</t>
  </si>
  <si>
    <t>06/16/2015</t>
  </si>
  <si>
    <t>125560</t>
  </si>
  <si>
    <t>DE-AR0000180</t>
  </si>
  <si>
    <t>MOLECULAR ARCHITECTURAL STRATEGY FOR INCREASED MATERIAL ENERGY STORAGE</t>
  </si>
  <si>
    <t>125906pct</t>
  </si>
  <si>
    <t>SCALABLE METHOD FOR INCREASING VISIBLE ABSORPTION AND ELECTRICAL CONDUCTIVITY OF AS-SYNTHESIZED GRAPHENE OXIDE SHEETS FOR OPTOELECTORNICS, PHOTONICS, AND ENERGY CONVERSION AND STORAGE</t>
  </si>
  <si>
    <t>PCT/US2014/036862</t>
  </si>
  <si>
    <t>05/01/2014</t>
  </si>
  <si>
    <t>125906</t>
  </si>
  <si>
    <t>14/270276</t>
  </si>
  <si>
    <t>125342</t>
  </si>
  <si>
    <t>INFLATABLE COMPOUND PARABOLIC CONCENTRATOR (SOLAR CONCENTRATOR)</t>
  </si>
  <si>
    <t>125420</t>
  </si>
  <si>
    <t>SOLAR COOKER BASED ON RECHARGEABLE THERMAL FUELS</t>
  </si>
  <si>
    <t>125351</t>
  </si>
  <si>
    <t>DE-AR0000181</t>
  </si>
  <si>
    <t>LARGE LATENT HEAT IN AL -SI SYSTEM WITH ADDITION OF OTHER ELEMENTS FOR HEAT STORAGE APPLICATIONS</t>
  </si>
  <si>
    <t>14/060024</t>
  </si>
  <si>
    <t>125311</t>
  </si>
  <si>
    <t>DE-AR0000182</t>
  </si>
  <si>
    <t>UNIVERSITY OF MINNESOTA - (UNIVEOFMIN)</t>
  </si>
  <si>
    <t>DIRECTLY-IRRADIATED TWO-ZONE SOLAR THEROCHEMICAL REACTOR FOR H20/CO2 SPLITTING</t>
  </si>
  <si>
    <t>125467</t>
  </si>
  <si>
    <t>THERMOCHEMICAL REACTOR SYSTEMS AND METHODS</t>
  </si>
  <si>
    <t xml:space="preserve">14/359802 </t>
  </si>
  <si>
    <t>125273</t>
  </si>
  <si>
    <t>NITROGEN DIFFUSION METHOD USING UREA FOR BULK FE-N MATERIAL PREPARATION</t>
  </si>
  <si>
    <t>125271</t>
  </si>
  <si>
    <t>TECHNIQUES FOR FORMING IRON NITRIDE MAGNETS</t>
  </si>
  <si>
    <t>61/840248</t>
  </si>
  <si>
    <t>06/27/2013</t>
  </si>
  <si>
    <t>142654</t>
  </si>
  <si>
    <t>INTEGRATED REACTIVE ELEMENT/HEAT EXCHANGER ASSEMBLY FOR THERMOCHEMICAL REACTOR SYSTEMS</t>
  </si>
  <si>
    <t>08/14/2015</t>
  </si>
  <si>
    <t>125109</t>
  </si>
  <si>
    <t>DIRECTLY-IRRADIATED TWO-ZONE SOLAR THERMOCHEMICAL REACTOR FOR H20/CO2 SPLITTING</t>
  </si>
  <si>
    <t>125274</t>
  </si>
  <si>
    <t>HIGH FIELD SYNTHESIS AND PROCESSING OF FE-N MAGNETS FOR IMPROVED PROPERTIES</t>
  </si>
  <si>
    <t>125275</t>
  </si>
  <si>
    <t xml:space="preserve">FE-C-N NANOCOMPOSITES </t>
  </si>
  <si>
    <t>125268</t>
  </si>
  <si>
    <t xml:space="preserve">TECHNIQUES FOR FORMING IRON NITRIDE MATERIAL   </t>
  </si>
  <si>
    <t>PCT/US2014/043902</t>
  </si>
  <si>
    <t>125269</t>
  </si>
  <si>
    <t>TECHNIQUES FOR FORMING IRON NITRIDE WIRE AND CONSOLIDATING THE SAME</t>
  </si>
  <si>
    <t>125361</t>
  </si>
  <si>
    <t xml:space="preserve">MEMBRANE REACTOR FOR THERMOCHEMICALY DRIVEN FUEL PRODUCTION     </t>
  </si>
  <si>
    <t>125207</t>
  </si>
  <si>
    <t>IRON NITRIDE PERMANENT MAGNET AND TECHNIQUE FOR FORMING IRON NITRIDE PERMANENT MAGNET</t>
  </si>
  <si>
    <t>61/762147</t>
  </si>
  <si>
    <t>02/07/2013</t>
  </si>
  <si>
    <t>125208</t>
  </si>
  <si>
    <t xml:space="preserve">EXCHANGE-SPRING Fe16N2-Fe8N NANOCMPOSITE  PERMANANET MAGNET USING ION IMPLANTATION               </t>
  </si>
  <si>
    <t>125209</t>
  </si>
  <si>
    <t xml:space="preserve">CONTINUOUS FABRICATION METHOD FOR Fe16N2 PERMANENT MAGNET MASS PRODUCTION             </t>
  </si>
  <si>
    <t>125210</t>
  </si>
  <si>
    <t xml:space="preserve">IRON NITRIDE PERMANENT MAGNET WITH FeN MIXTURE AS PRECURSOR, DOPING METHOD AND PHASE STABILIZER        </t>
  </si>
  <si>
    <t>125486</t>
  </si>
  <si>
    <t>DE-AR0000183</t>
  </si>
  <si>
    <t>SORBENT PREPARATION USE</t>
  </si>
  <si>
    <t>125096</t>
  </si>
  <si>
    <t>ELASTICALLY LOADED ADSORBENT BED FOR THERMOCHEMICAL PROCESS</t>
  </si>
  <si>
    <t>125081</t>
  </si>
  <si>
    <t>CYLINDRICAL THERMAL STORAGE TANK WITH VOLUME DISPLACEMENT</t>
  </si>
  <si>
    <t>125238</t>
  </si>
  <si>
    <t>REFRIGERANT FUELED FUEL CELL POWER SYSTEM FOR TRANSPORT REFRIGERATION</t>
  </si>
  <si>
    <t>125588</t>
  </si>
  <si>
    <t>FLEXIBLE CONTAINMENT OF SORBENT MATERIAL IN CONTACT WITH HEAT EXCHANGE SURFACE</t>
  </si>
  <si>
    <t>125589</t>
  </si>
  <si>
    <t>HYBRID ADSORPTION COMPRESSION THERMAL STORAGE SYSYTEM WITH TWO REFRIGERANT COMPRESSORS</t>
  </si>
  <si>
    <t>125590</t>
  </si>
  <si>
    <t>SUBCOOLING HEAT EXCHANGER FOR HYBRID ADSORPTION COMPRESSION THERMAL STORAGE SYSYTEM</t>
  </si>
  <si>
    <t>125591</t>
  </si>
  <si>
    <t>ADSORBENT WITH OPTIMIZED HEAT OF ADSORPTION OF REFRIGERANT</t>
  </si>
  <si>
    <t>125592</t>
  </si>
  <si>
    <t>ADSORBENT WITH STRUCTURED FINS TO IMPROVE HEAT TRANSFER</t>
  </si>
  <si>
    <t>125575</t>
  </si>
  <si>
    <t>MULTIPLE CORE ADSORPTION SUBCOOLER</t>
  </si>
  <si>
    <t>07/17/2014</t>
  </si>
  <si>
    <t>125810</t>
  </si>
  <si>
    <t>INTEGRATED CONDENSER-ADSORBER THERMAL STORAGE UNIT WITH VOLUME DISPLACEMENT</t>
  </si>
  <si>
    <t>125811</t>
  </si>
  <si>
    <t>THERMAL STORAGE UNIT WITH MODULAR DESIGN AND VOLUME DISPLACEMENT</t>
  </si>
  <si>
    <t>125220</t>
  </si>
  <si>
    <t>REFRIGERANT SUBCOOLING ARRANGEMENT FOR HYBRID ADSORPTION THERMAL STORAGE SYSTEM</t>
  </si>
  <si>
    <t>125227</t>
  </si>
  <si>
    <t>THERMAL ENERGY STORAGE SYSTEM WITH ENHANCED WASTE HEAT CAPTURE CAPACITY</t>
  </si>
  <si>
    <t>125082</t>
  </si>
  <si>
    <t>EFFICIENT HYDROGEN AND THERMAL ENERGY STORAGE</t>
  </si>
  <si>
    <t>125122</t>
  </si>
  <si>
    <t>MULTI-PRESSURE ADSORBER ARRANGEMENT FOR HYDRID ADSORPTION THERMAL STORAGE SYSTEM</t>
  </si>
  <si>
    <t>125576</t>
  </si>
  <si>
    <t>MCHX-BASED ADSORBER DESIGN</t>
  </si>
  <si>
    <t>14/851096</t>
  </si>
  <si>
    <t>09/11/2015</t>
  </si>
  <si>
    <t>125454</t>
  </si>
  <si>
    <t>DE-AR0000184</t>
  </si>
  <si>
    <t>SOLAR THERMOCHEMICAL REACTOR AND METHODS OF MANUFACTURE AND USE THEREOF</t>
  </si>
  <si>
    <t>14/896993</t>
  </si>
  <si>
    <t>12/09/2015</t>
  </si>
  <si>
    <t>12/17/2014</t>
  </si>
  <si>
    <t>143011-2</t>
  </si>
  <si>
    <t>SOLAR THERMOCHEMICAL REACTOR, METHODS OF MANUFACTURE AND USE THEREOF AND THERMOGRAVIMETE</t>
  </si>
  <si>
    <t>15/384837</t>
  </si>
  <si>
    <t>12/20/2016</t>
  </si>
  <si>
    <t>14/367495</t>
  </si>
  <si>
    <t>125454-CIP</t>
  </si>
  <si>
    <t>WINDOWLESS, INDIRECTLY-IRRADIATED SOLAR THERMOCHEMICAL REACTOR WITH LOW-PRESSURE CAPABILITIES</t>
  </si>
  <si>
    <t>15/645239</t>
  </si>
  <si>
    <t>07/10/2017</t>
  </si>
  <si>
    <t>125325-CIP</t>
  </si>
  <si>
    <t xml:space="preserve">FUEL PRODUCTION FROM SOLAR HEAT UTILIZING NOVEL THERMO-MECHANICAL STABILIZED FERRITE MATERIALS </t>
  </si>
  <si>
    <t>15/645223</t>
  </si>
  <si>
    <t>11/03/2014</t>
  </si>
  <si>
    <t>NOVEL MATERIAL FOR USE IN SOLAR REACTOR</t>
  </si>
  <si>
    <t>14/653427</t>
  </si>
  <si>
    <t>143011</t>
  </si>
  <si>
    <t xml:space="preserve">SOLAR THERMOCHEMICAL REACTOR, METHODS OF MANUFACTURE AND USE THEREOF AND THERMOGRAVIMETER </t>
  </si>
  <si>
    <t>06/20/2014</t>
  </si>
  <si>
    <t>06/06/2017</t>
  </si>
  <si>
    <t>125325</t>
  </si>
  <si>
    <t xml:space="preserve">NOVEL MATERIAL COMPRISING TWO DIFFERENT NON-METALLIC PARTICLES HAVING DIFFERENT PARTICLE SIZES FOR USE IN SOLAR REACTOR </t>
  </si>
  <si>
    <t>06/18/2015</t>
  </si>
  <si>
    <t>10/03/2017</t>
  </si>
  <si>
    <t>162905</t>
  </si>
  <si>
    <t>UNIQUE MATERIAL FOR HYDROGEN PRODUCTION VIA THERMOCHEMICAL WATER-SPLITTING</t>
  </si>
  <si>
    <t>125455</t>
  </si>
  <si>
    <t>CARBON DIOXIDE SHUTTLING THERMOCHEMICAL ENERGY STORAGE</t>
  </si>
  <si>
    <t>125458</t>
  </si>
  <si>
    <t>DE-AR0000185</t>
  </si>
  <si>
    <t>PERCOLATED MICROSTRUCTURES FOR MULTI-MODAL TRANSPORT ENHANCEMENT IN POROUS ACTIVE MATERIALS</t>
  </si>
  <si>
    <t>PCT/US2014/065365</t>
  </si>
  <si>
    <t>11/13/2014</t>
  </si>
  <si>
    <t>14/540164</t>
  </si>
  <si>
    <t>142915</t>
  </si>
  <si>
    <t>HARVESTING WATER FROM HUMID AIR USING ADSORBENTS/ABSORBENTS AND LOW GRADE ENERGY</t>
  </si>
  <si>
    <t>15/828397</t>
  </si>
  <si>
    <t>11/30/2017</t>
  </si>
  <si>
    <t>125431-2</t>
  </si>
  <si>
    <t>ADSORPTION SYSTEM</t>
  </si>
  <si>
    <t>16/200496</t>
  </si>
  <si>
    <t>11/26/2018</t>
  </si>
  <si>
    <t>142964</t>
  </si>
  <si>
    <t>STRUCTURAL AND THERMAL ENHANCEMENTS FOR DESIGN, FABRICATION, INTEGRATION, AND PERFORMANCE OF COMPACT ADSORPTION</t>
  </si>
  <si>
    <t>16/231865</t>
  </si>
  <si>
    <t>12/24/2018</t>
  </si>
  <si>
    <t>10/18/2017</t>
  </si>
  <si>
    <t>125431</t>
  </si>
  <si>
    <t>THERMO-ADSORPTIVE BATTERY</t>
  </si>
  <si>
    <t>13/657302</t>
  </si>
  <si>
    <t>125459</t>
  </si>
  <si>
    <t>BIO-GTL BIOLOGICAL CONVERSION OF NATURAL GAS INTO DIESEL FUEL; OVERALL PROCESS</t>
  </si>
  <si>
    <t>14/227083</t>
  </si>
  <si>
    <t>03/27/2014</t>
  </si>
  <si>
    <t>125430</t>
  </si>
  <si>
    <t>THERMAL PULSE ENERGY HARVESTING STRATEGY AND DEVICE</t>
  </si>
  <si>
    <t>14/151224</t>
  </si>
  <si>
    <t>01/09/2014</t>
  </si>
  <si>
    <t>125374</t>
  </si>
  <si>
    <t>MONOLITHICALLY INTEGRATED BI-DIRECTIONAL HEAT PUMP STRUCTURE</t>
  </si>
  <si>
    <t>PCT/US2013/073549</t>
  </si>
  <si>
    <t>125431-1</t>
  </si>
  <si>
    <t>PCT/US2012/061311</t>
  </si>
  <si>
    <t>143157</t>
  </si>
  <si>
    <t>METAL ORGANIC FRAMEWORKS COMPRISING A PLURALITY OF SBUS WITH DIFFERENT METAL IONS AND/OR A PLUTALITY OF ORGANIC LINKING LIAN</t>
  </si>
  <si>
    <t>15/128225</t>
  </si>
  <si>
    <t>09/22/2016</t>
  </si>
  <si>
    <t>125544</t>
  </si>
  <si>
    <t>HIGH VAPOR UPTAKE HYDROPHILIC ZEOLITE OR ZEOTYPE ADSORBENTS AND ANTI-FREEZING ADSORBATES FOR ADVANCED THERMO-ADSORPTIVE BATTERY CLIMATE CONTROL SYSTEMS</t>
  </si>
  <si>
    <t>PCT/US2015/033665</t>
  </si>
  <si>
    <t>06/02/2015</t>
  </si>
  <si>
    <t>125475</t>
  </si>
  <si>
    <t>DE-AR0000186</t>
  </si>
  <si>
    <t>GENERAL MOTOR - (CN0155)</t>
  </si>
  <si>
    <t>SYNTHESIS OF ORDERED L1-TYPE FeNi NANOPARTICLES</t>
  </si>
  <si>
    <t>13/798292</t>
  </si>
  <si>
    <t>125363</t>
  </si>
  <si>
    <t>METALLURGICAL SYNTHESIS METHODS FOR BULK FENI L10 ORDERED MAGNET</t>
  </si>
  <si>
    <t>125915</t>
  </si>
  <si>
    <t>DE-AR0000188</t>
  </si>
  <si>
    <t xml:space="preserve">NANOSTRUCTURED MN-AL PERMANENT MAGNETS AND METHODS OF PRODUCING SAME </t>
  </si>
  <si>
    <t>12/089876</t>
  </si>
  <si>
    <t>04/23/2010</t>
  </si>
  <si>
    <t>125916</t>
  </si>
  <si>
    <t>13/164495</t>
  </si>
  <si>
    <t>125373</t>
  </si>
  <si>
    <t>DE-AR0000189</t>
  </si>
  <si>
    <t>AMERICAN LITHIUM ENERGY CORPORATION - (ALEC)</t>
  </si>
  <si>
    <t>MnBi ALIGNED PERMANENT MAGNETS</t>
  </si>
  <si>
    <t>125565</t>
  </si>
  <si>
    <t>UNIVERSITY OF ALABAMA - (UNIVEOFALA)</t>
  </si>
  <si>
    <t>REMANENT MAGNETIZATION ASSITED SELF-ASEMBLED CORE-SHELL MAGNETS FOR MAGNETIC EXCHANGE COUPLING</t>
  </si>
  <si>
    <t>125555</t>
  </si>
  <si>
    <t>MANUFACTURING METAL/SOFT MAGNETIC METAL ALLOY COMPOSITE (EXCHANGE COUPLED) MAGNETS</t>
  </si>
  <si>
    <t>125866PCT</t>
  </si>
  <si>
    <t>DE-AR0000190</t>
  </si>
  <si>
    <t>AMERICAN SUPERCONDUCTOR CORPORATION - (AMERICAN S)</t>
  </si>
  <si>
    <t xml:space="preserve">ENHANCED PINNING IN 2G HTS WIRE BY IRRADIATION OF MOVING INSERT STRIP </t>
  </si>
  <si>
    <t>PCT/US16/48520</t>
  </si>
  <si>
    <t>08/25/2016</t>
  </si>
  <si>
    <t>125886</t>
  </si>
  <si>
    <t>ENHANCING PINNING IN 2G HTS WIRE BY IRRADIATION OF MOVING INSERT STRIP</t>
  </si>
  <si>
    <t>US16/48520</t>
  </si>
  <si>
    <t>125866</t>
  </si>
  <si>
    <t>LONG LENGTH HIGH TEMPERATURE SUPERCONDUCTING WIRES WITH UNIFORM ION IMPLANTED PINNING MICROSTRUCTURES_x000D__x000D_DISCOSURE TITLE:  ENHANCED PINNING IN 2G HTS WIRE BY IRRADIATION OF MIVING INSERT STRIP</t>
  </si>
  <si>
    <t>15/246739</t>
  </si>
  <si>
    <t>125156</t>
  </si>
  <si>
    <t>DE-AR0000191</t>
  </si>
  <si>
    <t>BALDOR ELECTRIC CO. - (BALDORE)</t>
  </si>
  <si>
    <t>MICRO-CHANNEL HEAT EXCHANGER FOR STATOR OF ELETRICAL MACHINE WITH SUPPLY HEADER</t>
  </si>
  <si>
    <t>14/208747</t>
  </si>
  <si>
    <t>125480</t>
  </si>
  <si>
    <t>TWO PHASE GAP COOLING OF AN ELECTRICAL MACHINE</t>
  </si>
  <si>
    <t>14/104724</t>
  </si>
  <si>
    <t>10/04/2016</t>
  </si>
  <si>
    <t>125135</t>
  </si>
  <si>
    <t>ASSEMBLY OF SEGMENTED MAGNETIZING FIXTURE POLES</t>
  </si>
  <si>
    <t>08/28/2012</t>
  </si>
  <si>
    <t>125239</t>
  </si>
  <si>
    <t>MICRO-CHANNEL HEAT EXCHANGER INTEGRATED INTO STATOR CORE OF ELECTRICAL MACHINE</t>
  </si>
  <si>
    <t>13/827560</t>
  </si>
  <si>
    <t>125671-1</t>
  </si>
  <si>
    <t>DE-AR0000192</t>
  </si>
  <si>
    <t>VIRGINIA COMMONWEALTH UNIVERSITY - (VACUNIV)</t>
  </si>
  <si>
    <t>HIGH ANISOTROPY NANOPARTICLES</t>
  </si>
  <si>
    <t>14/227283</t>
  </si>
  <si>
    <t>125543</t>
  </si>
  <si>
    <t>HIGH ANISOTROPY NANOPARTICLES FOR MAGNETIC MEDIA</t>
  </si>
  <si>
    <t>61/806238</t>
  </si>
  <si>
    <t>01/06/2017</t>
  </si>
  <si>
    <t>125671-2</t>
  </si>
  <si>
    <t xml:space="preserve">NON-RARE EARTH MAGNETIC NANOPARTICLES </t>
  </si>
  <si>
    <t>14/370138</t>
  </si>
  <si>
    <t>125671PCT</t>
  </si>
  <si>
    <t>PCT/US2013/020214</t>
  </si>
  <si>
    <t>01/04/2013</t>
  </si>
  <si>
    <t>125535</t>
  </si>
  <si>
    <t>CONTINUOUS PLUG-FLOW NANOMANUFACTURING OF COPPER NANOPARTICLES</t>
  </si>
  <si>
    <t>61/736704</t>
  </si>
  <si>
    <t>125568</t>
  </si>
  <si>
    <t>SOLVOTHERMAL SYNTHESIS OF MAGNETIC NANOPARTICLES</t>
  </si>
  <si>
    <t>125680</t>
  </si>
  <si>
    <t>INTERMETALLIC COMPOUNDS AS PERMANENT MAGNETS</t>
  </si>
  <si>
    <t>61/662053</t>
  </si>
  <si>
    <t>06/20/2012</t>
  </si>
  <si>
    <t>125515</t>
  </si>
  <si>
    <t>VIRGINIA COMOMMONWEALTH UNIVERSITY - (VIRGINIA C)</t>
  </si>
  <si>
    <t>125516</t>
  </si>
  <si>
    <t>CONTINOUS PLUG-FLOW NANOMANUFACTURING OF COPPER NANOPARTICLES</t>
  </si>
  <si>
    <t>125517</t>
  </si>
  <si>
    <t>DE-AR0000194</t>
  </si>
  <si>
    <t>CASE WESTERN RESERVE UNIV. - (CASEWESTER)</t>
  </si>
  <si>
    <t>TRANSFORMATION ENABLED NITRIDE MAGNETS ABSENT RARE EARTHS(TEN MARE)</t>
  </si>
  <si>
    <t>14/304102</t>
  </si>
  <si>
    <t>06/13/2014</t>
  </si>
  <si>
    <t>125435-PCT</t>
  </si>
  <si>
    <t>PCT/US2012/070086</t>
  </si>
  <si>
    <t>125435-CON</t>
  </si>
  <si>
    <t>15/974517</t>
  </si>
  <si>
    <t>05/08/2018</t>
  </si>
  <si>
    <t>125435</t>
  </si>
  <si>
    <t>143033</t>
  </si>
  <si>
    <t>DE-AR0000195</t>
  </si>
  <si>
    <t>RAPID CONSOLIDATION METHOD FOR PREPARING BULK METASTABLE IRON-RICH MATERIALS</t>
  </si>
  <si>
    <t>14/834861</t>
  </si>
  <si>
    <t>143032</t>
  </si>
  <si>
    <t>CERIUM-IRON-BASED MAGNETIC COMPOUNDS</t>
  </si>
  <si>
    <t>13/786807</t>
  </si>
  <si>
    <t>03/06/2013</t>
  </si>
  <si>
    <t>125549</t>
  </si>
  <si>
    <t>DE-AR0000197</t>
  </si>
  <si>
    <t>UNIVERSITY OF KANSAS LAWRENCE - (UNIVKALA)</t>
  </si>
  <si>
    <t>IN-SITU METAL SHELL COATING FOR HIGH ENERGY DENSITY SPRING MAGNETS THROUGH SONOCHEMISTRY</t>
  </si>
  <si>
    <t>125564</t>
  </si>
  <si>
    <t>UNIVERSITY OF KANSAS - (UNIV. OF K)</t>
  </si>
  <si>
    <t>MNBI SOLUTION NANOSYNTHESIS FOR HIGH ENERGY PRODUCT PERMANENT MAGNET</t>
  </si>
  <si>
    <t>125594</t>
  </si>
  <si>
    <t>DE-AR0000199</t>
  </si>
  <si>
    <t>PREPRARATION OF Fe16N2,FE16(NC)2 FILM AND FE16N2/FE16(NC)2 MULTI-LAYER STRUCTURE BY CHEMICAL DEPOSITION METHOD</t>
  </si>
  <si>
    <t>15/501670</t>
  </si>
  <si>
    <t>125596</t>
  </si>
  <si>
    <t>a"-Fe16(NxZ1-x)2(Z=C,B,O) WITH HIGH SATURATION MAGNETIZATION AND LOW COERCIVITY</t>
  </si>
  <si>
    <t>14/820284</t>
  </si>
  <si>
    <t>08/06/2015</t>
  </si>
  <si>
    <t>125660</t>
  </si>
  <si>
    <t>APPROACHES TO RESERVE STRAIN IN FeN MAGNET</t>
  </si>
  <si>
    <t>62/107733</t>
  </si>
  <si>
    <t>01/26/2015</t>
  </si>
  <si>
    <t>125608</t>
  </si>
  <si>
    <t>FeN POWDER WITH ANISOTROPIC SHAPE</t>
  </si>
  <si>
    <t>11/20/2013</t>
  </si>
  <si>
    <t>125635</t>
  </si>
  <si>
    <t>CHEMICAL VAPOR DEPOSITION OF A MULTIAYER STRUCTURE INCLUDING Fe16N2 LAYERS AND SOFT MAGNETIC LAYERS</t>
  </si>
  <si>
    <t>15/501697</t>
  </si>
  <si>
    <t>125634</t>
  </si>
  <si>
    <t>142976</t>
  </si>
  <si>
    <t>DESIGN OF CONTROLLERS REALIZING DISTRIBUTION - LEVEL VIRTUAL POWER PLANTS</t>
  </si>
  <si>
    <t>125272-2</t>
  </si>
  <si>
    <t>16/003428</t>
  </si>
  <si>
    <t>06/08/2018</t>
  </si>
  <si>
    <t>143355</t>
  </si>
  <si>
    <t>A NEW TYPE IRON RICH LOW-COST PERMANENT MAGNET WITH GIGANTIC COERCIVITY AND MAGNETIC ENERGY PRODCT</t>
  </si>
  <si>
    <t>62/677093</t>
  </si>
  <si>
    <t>05/28/2018</t>
  </si>
  <si>
    <t>143357</t>
  </si>
  <si>
    <t>A DISTRIBUTED REALTIME COORDINATION OF AGENTS</t>
  </si>
  <si>
    <t>143365</t>
  </si>
  <si>
    <t>IRON-NITRIDE MAGNET BY NITRIDING A POROUS STRUCTURE</t>
  </si>
  <si>
    <t>62/677095</t>
  </si>
  <si>
    <t>05/02/2018</t>
  </si>
  <si>
    <t>143254</t>
  </si>
  <si>
    <t>NITROGENDIFFUSION METHOD USING UREA FOR BULK FE-N MATERIAL PREPARATION</t>
  </si>
  <si>
    <t>10/10/2018</t>
  </si>
  <si>
    <t>125723</t>
  </si>
  <si>
    <t>MAGNETIC CASTING APPROACH FOR Fe16N2 PERMANENT MAGNET MASS PRODUCTION</t>
  </si>
  <si>
    <t>142843</t>
  </si>
  <si>
    <t>IRON NITRIDE PERMANENT MAGNET AND TECHIQUE FOR FORMING IRON NITRIDE PERMANENT MAGNET</t>
  </si>
  <si>
    <t>15/622785</t>
  </si>
  <si>
    <t>06/14/2017</t>
  </si>
  <si>
    <t>07/25/2017</t>
  </si>
  <si>
    <t>02/06/2014</t>
  </si>
  <si>
    <t>143251</t>
  </si>
  <si>
    <t xml:space="preserve">CONTINOUS FABRICATION METHOD FOR Fe16N2 PERMANENT MAGNET MASS PRODUCTION </t>
  </si>
  <si>
    <t>143252</t>
  </si>
  <si>
    <t>EXCHANGE-SPRING Fe16N2-Fe8N NANOCOMPOSITE PERMANENT MAGNET USING ION IMPLANTATION</t>
  </si>
  <si>
    <t>143162</t>
  </si>
  <si>
    <t>SYNTHESIS APPROACHES FOR BULK IRON NITRIDE COMPOUND PERMANENT MAGNET_x000D__x000D_U/M # 20160387</t>
  </si>
  <si>
    <t>05/16/2018</t>
  </si>
  <si>
    <t>125598P</t>
  </si>
  <si>
    <t>IRON NITRIDE PERMANENT MAGNET WITH FEN MIXTURE AS PRECURSOR, DOPING METHOD AND PHASE STABILIZER</t>
  </si>
  <si>
    <t>14/900944</t>
  </si>
  <si>
    <t>143162-PCT1</t>
  </si>
  <si>
    <t>PCT/US2018/031113</t>
  </si>
  <si>
    <t>05/04/2018</t>
  </si>
  <si>
    <t>143248-1</t>
  </si>
  <si>
    <t>15/840747</t>
  </si>
  <si>
    <t>12/13/2017</t>
  </si>
  <si>
    <t>14/754284</t>
  </si>
  <si>
    <t>125272-PCT</t>
  </si>
  <si>
    <t>IRON NITRIDE PERMANENT MAGNET AND TECHNIQUE FOR FORMING IRON NITRIDE PERMANENYT MAGNET</t>
  </si>
  <si>
    <t>PCT/US2012/051382</t>
  </si>
  <si>
    <t>14/238835</t>
  </si>
  <si>
    <t>125272</t>
  </si>
  <si>
    <t>09/04/2018</t>
  </si>
  <si>
    <t>125637</t>
  </si>
  <si>
    <t>INDUCTOR INCLUDING SOFT MAGNETIC MATERIAL INCLUDING IRON, NITROGEN AND CARBON BORPN, OR OXYGEN</t>
  </si>
  <si>
    <t>14/821520</t>
  </si>
  <si>
    <t>06/19/2018</t>
  </si>
  <si>
    <t>143248</t>
  </si>
  <si>
    <t>APPLIED MAGNETIC FIELD SYNTHESIS AND PROCESSING OF IRON NITRIDE MAGNETIC MATERIALS</t>
  </si>
  <si>
    <t>125727</t>
  </si>
  <si>
    <t>FE-C-N NANOCOMPOSITES</t>
  </si>
  <si>
    <t>15/129439</t>
  </si>
  <si>
    <t>09/27/2016</t>
  </si>
  <si>
    <t>03/26/2015</t>
  </si>
  <si>
    <t>125598</t>
  </si>
  <si>
    <t>125611</t>
  </si>
  <si>
    <t>MASS PRODUCTION OF IRON NITRIDE POWDER</t>
  </si>
  <si>
    <t>61/840221</t>
  </si>
  <si>
    <t>125610</t>
  </si>
  <si>
    <t>IRON NITRIDE WIRE AND CONSOLIDATED MAGNET MASS PRODUCTION</t>
  </si>
  <si>
    <t>61/840213</t>
  </si>
  <si>
    <t>125444</t>
  </si>
  <si>
    <t>DE-AR0000200</t>
  </si>
  <si>
    <t>USE OF LCIA PROTEIN FROM CHLAMYDOMONAS REINHARTII TO ENHANCE PHOTOSYNTHESIS IN PLANTS</t>
  </si>
  <si>
    <t>125909</t>
  </si>
  <si>
    <t>COMBINING EXPRESSION OF LCIA AND CCP1(LIP-36) PROTEINS FROM CHLAMYDOMONAS REINHARTII WITH REDUCTION IN EXPRESSION OF CWII TO ENHANCE GROWTIH AND SEED YIELD IN PLANTS</t>
  </si>
  <si>
    <t>125448</t>
  </si>
  <si>
    <t>USE OF THE SBTA BICARBONATE TRANSPORTER TO ENHANCE PHOTOSYNTHESIS IN PLANTS</t>
  </si>
  <si>
    <t>142948</t>
  </si>
  <si>
    <t xml:space="preserve">PARKASH/COMPOSITIONS AND METHODS FOR ENGINEERING </t>
  </si>
  <si>
    <t>15/902697</t>
  </si>
  <si>
    <t>02/22/2018</t>
  </si>
  <si>
    <t>142992</t>
  </si>
  <si>
    <t>STRATEGY FOR PRODUCING HIGHER OIL CONTENTS IN FOOD AND BIOFUELS CORPS</t>
  </si>
  <si>
    <t>125909-pct</t>
  </si>
  <si>
    <t>PCT/US2016/058109</t>
  </si>
  <si>
    <t>10/21/2016</t>
  </si>
  <si>
    <t>125447</t>
  </si>
  <si>
    <t>USE OF THE RUBISCO ACTIVASE PROMOTER SEQUENCES FROM ARABIDOPSIS THALIANA TO EXPRESS PROTEINS IN TRANSGENIC PLANTS</t>
  </si>
  <si>
    <t>125446</t>
  </si>
  <si>
    <t xml:space="preserve">USE OF THE BICA BICARBONATE TRANSPORTER TO ENHANCE PHOTOSYNTHESIS IN PLANTS </t>
  </si>
  <si>
    <t>PCT/US2014/072347</t>
  </si>
  <si>
    <t>12/31/2013</t>
  </si>
  <si>
    <t>61/922141</t>
  </si>
  <si>
    <t>125350</t>
  </si>
  <si>
    <t>ISOLATION AND USE OF TRIACLGLYCEROL (TAG) BIOSYNTHESIS PATHWAY GENERS FROM CAMELINA SATIVA FOR ENHANCE PRODUCTION OF OIL CONTENTS AND SEED YELD IN CORPS</t>
  </si>
  <si>
    <t>125320</t>
  </si>
  <si>
    <t>ENGINEERING TRIACYLGLYCEROL (TAG) BIOSYNTHESIS PATHWAY FOR ENHANCE PRODUCTION OF OIL CONTENTS AND SEED YIELD IN CAMELINA SATIVA SEEDS</t>
  </si>
  <si>
    <t>125449</t>
  </si>
  <si>
    <t>USE OF THE TRANSIT PEPTIDE AND TARGETING SIGNALS OF CHLOROPLAST INNER ENVELOPE MEMBRANE PROTEINS TO TARGET PROTEINS TO THE CHLOROPLAST INNER ENVELOPE MEMBRANE</t>
  </si>
  <si>
    <t>125443</t>
  </si>
  <si>
    <t>USE OF CCP1 (LIP-36) PROTEIN FROM CHLAMYDOMONAS REINHARTII TO ENHANCE GROWTH OR TOLERANCE TO STRESS IN PLANTS</t>
  </si>
  <si>
    <t>142551</t>
  </si>
  <si>
    <t>DE-AR0000201</t>
  </si>
  <si>
    <t>RECOMBINANT MICROORGANISMS HAVING A REVERSE GLYOXYLATE SHUNT</t>
  </si>
  <si>
    <t>142552</t>
  </si>
  <si>
    <t>ENERGY PLANT DESIGN</t>
  </si>
  <si>
    <t>125696</t>
  </si>
  <si>
    <t>TRANSGENIC PLANTS AND MICROORGANISMS HAVING AN ALTERNATIVE CO2 FIXING PATHWAY</t>
  </si>
  <si>
    <t>143047</t>
  </si>
  <si>
    <t>DE-AR0000202</t>
  </si>
  <si>
    <t>NEW MEXICO CONSORTIUM, INC. - (MEXCON)</t>
  </si>
  <si>
    <t>IMPROVED CARBON FIXATION SYSTEMS IN PLANTS AND ALGAE</t>
  </si>
  <si>
    <t>125876</t>
  </si>
  <si>
    <t>DONALD DANFORTH PLANT SCIENCE CENTER - (DONDANPLANT)</t>
  </si>
  <si>
    <t>PLANT PHENOMETRICS SYSTEMS AND METHODS AND DEVICES RELATED THERETO</t>
  </si>
  <si>
    <t>125877</t>
  </si>
  <si>
    <t>PHOTOSYNTHETIC TRANSFER RATE ESTIMATION IN COMPLEX PLANT CANOPIES</t>
  </si>
  <si>
    <t>125878</t>
  </si>
  <si>
    <t>METHODOLOGY FOR IDENTIFICATION FOR GENOMIC GAIN OF FUNCTION LOCI THAT ENABLE INCREASED PHOTOSYNTHETIC PERFORMANCE AND ROBUSTNESS FROM POPULATIONS OF GREEN ALGAE</t>
  </si>
  <si>
    <t>142723</t>
  </si>
  <si>
    <t xml:space="preserve">METHODS TO INCREASE PLANT OIL PRODUCTION </t>
  </si>
  <si>
    <t>125684-PCT</t>
  </si>
  <si>
    <t xml:space="preserve">METHODS TO ESTIMATE PHOTOSYNTHETIC ELECTRON TRANSFER RATES IN COMPLEX PLANT CANOPIES </t>
  </si>
  <si>
    <t>PCT/US2016/030193</t>
  </si>
  <si>
    <t>10/10/2017</t>
  </si>
  <si>
    <t>15/569570</t>
  </si>
  <si>
    <t>142723-PCT-CON</t>
  </si>
  <si>
    <t>PCT/US2014/032009</t>
  </si>
  <si>
    <t>03/26/2019</t>
  </si>
  <si>
    <t>125684</t>
  </si>
  <si>
    <t>10/26/2017</t>
  </si>
  <si>
    <t>125341</t>
  </si>
  <si>
    <t>DE-AR0000203</t>
  </si>
  <si>
    <t>INCREASING BIOPRODUCT YIELD BY REROUTING PHOTORESPIRATION PASSWAY IN PLANTS</t>
  </si>
  <si>
    <t>14/194396</t>
  </si>
  <si>
    <t>02/28/2014</t>
  </si>
  <si>
    <t>10/23/2018</t>
  </si>
  <si>
    <t>125607</t>
  </si>
  <si>
    <t>TEXAS A&amp;M AGRILIFE RESEARCH - (A&amp;MAGRI)</t>
  </si>
  <si>
    <t>INCREASING TERPENE YIELD BY ENGINEERING NOVEL STORAGE ORGANELLE AND METABOLON FOR SUBSTRATE CHANNELLING</t>
  </si>
  <si>
    <t>15/501822</t>
  </si>
  <si>
    <t>143393</t>
  </si>
  <si>
    <t>INCREASING BIOPRODUCT YIELD BY BLOCKING GLYCOLATE TRANSPORT, INCREASING PHOTOSYNTHESIS RATE</t>
  </si>
  <si>
    <t>125607-PCT</t>
  </si>
  <si>
    <t>PCT/GB2015/052279</t>
  </si>
  <si>
    <t>142820-PCT</t>
  </si>
  <si>
    <t>DE-AR0000204</t>
  </si>
  <si>
    <t>METHOD TO INCREASE CROP PLANT CANOPY PRODUCTIVITY</t>
  </si>
  <si>
    <t>16/313864</t>
  </si>
  <si>
    <t>06/28/2017</t>
  </si>
  <si>
    <t>125753-PCT</t>
  </si>
  <si>
    <t>FUSION CONSTRUCTS AS PROTEIN OVER-EXPRESSION VECTORS</t>
  </si>
  <si>
    <t>PCT/US2016/039050</t>
  </si>
  <si>
    <t>06/23/2016</t>
  </si>
  <si>
    <t>15/739101</t>
  </si>
  <si>
    <t>142820</t>
  </si>
  <si>
    <t>PCT/US2017/039685</t>
  </si>
  <si>
    <t>125753</t>
  </si>
  <si>
    <t>12/21/2017</t>
  </si>
  <si>
    <t>125551</t>
  </si>
  <si>
    <t>TERPENE HYDROCARBONS PRODUCTION IN TOBACCO</t>
  </si>
  <si>
    <t>125601</t>
  </si>
  <si>
    <t>DE-AR0000206</t>
  </si>
  <si>
    <t>UNIVERSITY OF NEBRASKA - (NEBRASKA)</t>
  </si>
  <si>
    <t>GENETIC METHOD FOR THE PRODUCTION OF A HIGH SATURATE, LOW POLYUNSATURATED FATTY ACID SOYBEAN OIL</t>
  </si>
  <si>
    <t>14/815377</t>
  </si>
  <si>
    <t>07/31/2015</t>
  </si>
  <si>
    <t>125572</t>
  </si>
  <si>
    <t>A SCREENABLE MARKER FOR THE GENERATION AND IDENTIFICATION OF TRANSGENIC PLANTS</t>
  </si>
  <si>
    <t>125255</t>
  </si>
  <si>
    <t>UNIVERSITY OF ILLINOIS, URBANA-CHAMPLAIN - (ULUC)</t>
  </si>
  <si>
    <t>ADDITION OF ICTB GENE INTO PHOTOSYNTHETIC CELLS OF A C4 PLANT INCREASES PHOTOSYNTHETIC</t>
  </si>
  <si>
    <t>125252</t>
  </si>
  <si>
    <t>A Screenable Marker for the Generation and Identification of Transgenic Plants</t>
  </si>
  <si>
    <t>125789</t>
  </si>
  <si>
    <t>A METHOD FOR IMPROVING THE CHILLING TOLERANCE OF SUGARCANE AND MEANS TO ACCELERATE ITS SELECTION</t>
  </si>
  <si>
    <t>142553</t>
  </si>
  <si>
    <t>METHOD FOR THE PRODUCTION OF HIGH SATURATED, LOW POLYUNSATURATED SOYBEAN OIL</t>
  </si>
  <si>
    <t>125548</t>
  </si>
  <si>
    <t>IMPROVING PHOTOSYNTHETIC CAPACITY THROUGH INCREASED CANOPY LIGHT TRANSMITTANCE</t>
  </si>
  <si>
    <t>14/995109</t>
  </si>
  <si>
    <t>01/13/2016</t>
  </si>
  <si>
    <t>142554</t>
  </si>
  <si>
    <t>BROOKHAVEN SCIENCE ASSOCIATES - (BSA)</t>
  </si>
  <si>
    <t>ENHANCING OIL ACCUMULATOLN IN VEGETATIVE TISSUE OF PLANTS</t>
  </si>
  <si>
    <t>13/933196</t>
  </si>
  <si>
    <t>01/30/2014</t>
  </si>
  <si>
    <t>162816</t>
  </si>
  <si>
    <t>A SHORT 30nt REGION OF HOMOLOGY IS ABLE TO SUPPORT ERROR-FREE SITE SPECIFIC RECOMBINATION IN PLANTS</t>
  </si>
  <si>
    <t>125758</t>
  </si>
  <si>
    <t>A METHOD TO INCREASE PHOTOSYNTHETIC RATES IN A C4 PLANT THROUGH OVEREXPRESSION OF PYRUVATE ORTHOPHOSPHATE DIKINASE</t>
  </si>
  <si>
    <t>15/217711</t>
  </si>
  <si>
    <t>06/22/2016</t>
  </si>
  <si>
    <t>125414</t>
  </si>
  <si>
    <t>SEPARATION PROCESS OF OIL AND SUGARS FROM BIOMASS</t>
  </si>
  <si>
    <t>14/514206</t>
  </si>
  <si>
    <t>10/14/2014</t>
  </si>
  <si>
    <t>125777</t>
  </si>
  <si>
    <t>DE-AR0000207</t>
  </si>
  <si>
    <t>SYNTHETIC PATHWAY FOR BIOLOGICAL CARBON DIOXIDE SEQUESTRATION</t>
  </si>
  <si>
    <t>15/875313</t>
  </si>
  <si>
    <t>01/19/2018</t>
  </si>
  <si>
    <t>07/20/2016</t>
  </si>
  <si>
    <t>107942</t>
  </si>
  <si>
    <t>INCREASING CO2/BICARBONATE UPTAKE AND BIOMASS PRODUCATION VIA EXPRESSION OF HIGH AFFINITY OR EXTREMOPHILE CO2/BICARBONAE TRANSPORTERS IN PLANTS AND CYANOBACTERIA</t>
  </si>
  <si>
    <t>61/838789</t>
  </si>
  <si>
    <t>06/24/2013</t>
  </si>
  <si>
    <t>125436-2</t>
  </si>
  <si>
    <t xml:space="preserve">TRANSGENIC PLANTS EXPRESSING CHLOROPLAST TARGETED PYROCOCCUS FURIOSUS SUPEROXIDE REDUCTASE_x000D_
</t>
  </si>
  <si>
    <t>14/900775</t>
  </si>
  <si>
    <t>13/025340</t>
  </si>
  <si>
    <t>142555</t>
  </si>
  <si>
    <t>TRANSGENIC EXPRESSION OF ARCHAEA SUPEROXIDE REDUCTASE</t>
  </si>
  <si>
    <t>13/925340</t>
  </si>
  <si>
    <t>125664</t>
  </si>
  <si>
    <t>CELL TYPE SPECIFIC PROMOTERS FROM CAMELINA SATIVA</t>
  </si>
  <si>
    <t>125776</t>
  </si>
  <si>
    <t>METHODS AND COMPOSITIONS FOR ENHANCED BIOMASS PRODUCTION AND INCREASE ABIOTIC STRESS TOLERANCE</t>
  </si>
  <si>
    <t>15/875272</t>
  </si>
  <si>
    <t>107942-CON</t>
  </si>
  <si>
    <t>METHOD AND COMPOSITIONS FOR IMPROVEMENT IN SEED YIELD</t>
  </si>
  <si>
    <t>14/900799</t>
  </si>
  <si>
    <t>107942-PCT</t>
  </si>
  <si>
    <t>PCT/US2014/043407</t>
  </si>
  <si>
    <t>125436-CON</t>
  </si>
  <si>
    <t>12/836465</t>
  </si>
  <si>
    <t>12/08/2017</t>
  </si>
  <si>
    <t>125436</t>
  </si>
  <si>
    <t>142680</t>
  </si>
  <si>
    <t>NOVEL TECHNOLOGY TO ENABLE AND IMPROVE GENE EDITING AND TRANSFORMATION IN PLASTIDS</t>
  </si>
  <si>
    <t>142678</t>
  </si>
  <si>
    <t>142679</t>
  </si>
  <si>
    <t>ISOLATION AND CHARACTERIZATION OF A NEW TERPENE SYNTHASE FROM CAMELINA SATIVA</t>
  </si>
  <si>
    <t>125556</t>
  </si>
  <si>
    <t>METABOLIC ENGINEERING OF PLANT TERPENOID PATHWAY FOR IMPROVEMENT OF PLANT GROWTH AND PRODUCTION OF ENCONOMIC METABOLITIES IN CAMELINA SATIVA</t>
  </si>
  <si>
    <t>162892</t>
  </si>
  <si>
    <t>A SYNTHETIC TEMPLATE FOR IN-VIVO REVERSE TRANSCRIPTION</t>
  </si>
  <si>
    <t>125400</t>
  </si>
  <si>
    <t>PRODUCING MEDIUM-CHAIN FATTY ACID IN CAMELINA SEED OIL</t>
  </si>
  <si>
    <t>125339</t>
  </si>
  <si>
    <t>INCREASE MEDIUM, SATURATED FATY ACID CONTENT IN CAMELINA SEED OIL BY MANIPULATING FASII ENZYME ACTIVITY</t>
  </si>
  <si>
    <t>125340</t>
  </si>
  <si>
    <t>INCREASE PRODUCTION OF LIMONENE AND OTHER TERPENES IN CAMELINA SATIVA</t>
  </si>
  <si>
    <t>125428</t>
  </si>
  <si>
    <t>DE-AR0000208</t>
  </si>
  <si>
    <t>TARGETED METABOLIC ENGINEERING TO PRODUCE FARNESENE IN HIGHER PLANTS</t>
  </si>
  <si>
    <t>143345</t>
  </si>
  <si>
    <t>METHODS FOR PRENYLATION OF PEPTIDES AND THEIR USE IN OVER-PRODUCTION OF FARNESENE AND GERANULGERANYL TERPENES</t>
  </si>
  <si>
    <t>15/436402</t>
  </si>
  <si>
    <t>02/17/2017</t>
  </si>
  <si>
    <t>125509</t>
  </si>
  <si>
    <t>CHROMATIN, INC. - (CHROMATIN)</t>
  </si>
  <si>
    <t>METHODS FOR ENABLING FARNESENE ACCUMULATION IN PLANTS AND RELATED COMPOSITIONS</t>
  </si>
  <si>
    <t>14/191067</t>
  </si>
  <si>
    <t>125510</t>
  </si>
  <si>
    <t>ENGINEERING PLANTS TO PRODUCE FARNESENE AND OTHER TERPENOIDS</t>
  </si>
  <si>
    <t>14/086713</t>
  </si>
  <si>
    <t>11/21/2013</t>
  </si>
  <si>
    <t>125512</t>
  </si>
  <si>
    <t>61/560099</t>
  </si>
  <si>
    <t>11/15/2011</t>
  </si>
  <si>
    <t>125513</t>
  </si>
  <si>
    <t>ENGINEERING PLANTS WITH RATE LIMITING FARNESENE METABOLIC GENES</t>
  </si>
  <si>
    <t>61/586632</t>
  </si>
  <si>
    <t>01/13/2012</t>
  </si>
  <si>
    <t>125694</t>
  </si>
  <si>
    <t>DE-AR0000209</t>
  </si>
  <si>
    <t>STIMULATION OF OLEORESIN FORMATION FOR INCREASING WOOD RESINOSIS AND FLOW</t>
  </si>
  <si>
    <t>125417</t>
  </si>
  <si>
    <t>DE-AR0000210</t>
  </si>
  <si>
    <t>UNIVERSITY OF TEXAS AT DALLAS - (UTXD)</t>
  </si>
  <si>
    <t>SINGLE BUS STAR CONNECTED SWITCHED RELUCTANCE (SB-SR) DRIVE</t>
  </si>
  <si>
    <t>14/318170</t>
  </si>
  <si>
    <t>06/27/2014</t>
  </si>
  <si>
    <t>05/10/2016</t>
  </si>
  <si>
    <t>142931</t>
  </si>
  <si>
    <t>EXTERIOR ROTOR SWITCHED RELUCTANCE MACHINE</t>
  </si>
  <si>
    <t>142930</t>
  </si>
  <si>
    <t>DOUBLE STATOR SWITCHED RELUCTANCE MOTOR WITH PERMANENT MANET EXCITATION ON ROTOR</t>
  </si>
  <si>
    <t>DE-AR0000212</t>
  </si>
  <si>
    <t>FORMING ENHANCEMENT MODE III-NITRIDE DEVICES</t>
  </si>
  <si>
    <t>14/542937</t>
  </si>
  <si>
    <t>143068</t>
  </si>
  <si>
    <t>ENHANCEMENT MODE III-NITRIDE DEVICES</t>
  </si>
  <si>
    <t>13/799989</t>
  </si>
  <si>
    <t>07/21/2015</t>
  </si>
  <si>
    <t>143110</t>
  </si>
  <si>
    <t>14/714964</t>
  </si>
  <si>
    <t>05/18/2015</t>
  </si>
  <si>
    <t>143087</t>
  </si>
  <si>
    <t>125702P1</t>
  </si>
  <si>
    <t>DE-AR0000213</t>
  </si>
  <si>
    <t>VIRGINIA POLYTECHNIC INSTITUTE - (VIRGINIA P)</t>
  </si>
  <si>
    <t>PACKAGING METHOD FOR SEMICONDUCTOR DICE WITH MULTIPLE CONTACTS ON BOTH FRONT AND BACK SIDES</t>
  </si>
  <si>
    <t>61/814979</t>
  </si>
  <si>
    <t>125702P2</t>
  </si>
  <si>
    <t>61/973581</t>
  </si>
  <si>
    <t>04/01/2014</t>
  </si>
  <si>
    <t>DE-AR0000216</t>
  </si>
  <si>
    <t>142556</t>
  </si>
  <si>
    <t>BALANCING, FILTERING AND/OR CONTROLLING SERIES-CONNECTED CELLS</t>
  </si>
  <si>
    <t xml:space="preserve">13/842943 </t>
  </si>
  <si>
    <t>142561</t>
  </si>
  <si>
    <t>DE-AR0000217</t>
  </si>
  <si>
    <t>POWER PROCESSING</t>
  </si>
  <si>
    <t>14/837118</t>
  </si>
  <si>
    <t>08/27/2015</t>
  </si>
  <si>
    <t>142562</t>
  </si>
  <si>
    <t>MULTI-VARIABLE POWER POINT TRACKING</t>
  </si>
  <si>
    <t>14/751502</t>
  </si>
  <si>
    <t>06/26/2015</t>
  </si>
  <si>
    <t>125390</t>
  </si>
  <si>
    <t>PHOTOVOLTAIC STRING PROTECTION METHOD AND APPARATUS</t>
  </si>
  <si>
    <t>14/475985</t>
  </si>
  <si>
    <t>11/07/2013</t>
  </si>
  <si>
    <t>125603</t>
  </si>
  <si>
    <t xml:space="preserve">SYSTEM AND METHOD FOR POWER POINT TRACKING FOR PHOTOVOLTAIC CELLS </t>
  </si>
  <si>
    <t>14/851625</t>
  </si>
  <si>
    <t>125751</t>
  </si>
  <si>
    <t>DE-AR0000219</t>
  </si>
  <si>
    <t>CARNEGIE-MELLON UNIVERSITY - (CARNEUNIVE)</t>
  </si>
  <si>
    <t>TUNABLE ANISOTROPY OF CO-BASED NANOCOMPOSITES FOR MAGNETIC FIELD SENSING AND INDUCTOR APPLICATIONS</t>
  </si>
  <si>
    <t>135457</t>
  </si>
  <si>
    <t>CARNEGIE MELLON UNIVERSITY - (CARNEGIE M)</t>
  </si>
  <si>
    <t>14/278836</t>
  </si>
  <si>
    <t>05/14/2014</t>
  </si>
  <si>
    <t>135457-CIP</t>
  </si>
  <si>
    <t>TUNABLE ANISOTROPY OF CO-BASED NANOCOMPOSITES FOR MAGNETIC FIELD SENSING AND INDUCTOR APPLICATIONS_x000D__x000D_NO WHITE FILE</t>
  </si>
  <si>
    <t>15/205217</t>
  </si>
  <si>
    <t>07/08/2016</t>
  </si>
  <si>
    <t>125919</t>
  </si>
  <si>
    <t>TUNABLE ANISOTROPY OF CO-BASED NANOCOMPOSITIES FOR MAGNETIC FIELD SENSING AND INDUCTOR APPLICATIONS</t>
  </si>
  <si>
    <t>125920</t>
  </si>
  <si>
    <t>CO-BASED AMORPHOUS AND NANOCOMPOSITE MATERIALS, AND THE PROCESSING THEREOF, FOR ELECTRIC MOTOR DEVICE APPLICATIONS</t>
  </si>
  <si>
    <t>125701-PCT</t>
  </si>
  <si>
    <t>DE-AR0000222</t>
  </si>
  <si>
    <t>INCOMPLETE- INDEPENDENT REAL AND REACTIVE POWER FLOW CONTROL WITHOUT SENSING RECEIVING END VOLTAGE IN TRANSFORMER-LESS UNTIFIED POWER FLOW CONTROLLER</t>
  </si>
  <si>
    <t>PCT/US2016/045615</t>
  </si>
  <si>
    <t>08/04/2016</t>
  </si>
  <si>
    <t>125279</t>
  </si>
  <si>
    <t>A GENERALIZED LINEAR OPTIMAL FLOW METHOD</t>
  </si>
  <si>
    <t>125701</t>
  </si>
  <si>
    <t>METHOD FOR INDEPENDENT REAL AND REACTIVE POWER FLOW CONTROL USING LOCALLY AVAILABLE PARAMETERS</t>
  </si>
  <si>
    <t>15/752503</t>
  </si>
  <si>
    <t>02/13/2018</t>
  </si>
  <si>
    <t>REL., INC. - (RELIN)</t>
  </si>
  <si>
    <t>CORE STRUCTED COMPONENTS, CONTAINERS, AND METHODS OF CASTING</t>
  </si>
  <si>
    <t>14/176093</t>
  </si>
  <si>
    <t>02/08/2014</t>
  </si>
  <si>
    <t>125691</t>
  </si>
  <si>
    <t>SYSTEM AND METHOD FOR OPTIMIZING FUNDAMENTAL FREQUENCY MODULATION FOR A CASCADED MULTILEVEL INVERTER</t>
  </si>
  <si>
    <t>15/188218</t>
  </si>
  <si>
    <t>10/10/2014</t>
  </si>
  <si>
    <t>125136</t>
  </si>
  <si>
    <t>DE-AR0000224</t>
  </si>
  <si>
    <t>HYBRID HIGH VOLTAGE DC CONVERTER SYSTEM AND CONTROL METHODS</t>
  </si>
  <si>
    <t>13/688658</t>
  </si>
  <si>
    <t>125264</t>
  </si>
  <si>
    <t>HIGH VOLTAGE DC POWER CONVERSION SYSTEM AND METHOD OF OPERATING THE SAME</t>
  </si>
  <si>
    <t>14/026737</t>
  </si>
  <si>
    <t>08/02/2016</t>
  </si>
  <si>
    <t>125241</t>
  </si>
  <si>
    <t>ELECTRIC POWER CONVERSION SYSTEM AND METHOD OF OPERATING THE SAME</t>
  </si>
  <si>
    <t>14/020111</t>
  </si>
  <si>
    <t>125364</t>
  </si>
  <si>
    <t>METHOD AND APPARATUS FOR Y CONNECTED THREE-PHASE MODULAR CONVERTER FOR POWER CONVERSION AND POWER TRANSMISSION</t>
  </si>
  <si>
    <t>125162</t>
  </si>
  <si>
    <t>METHOD AND CONNECT ELECTERICAL EQUIPMENT/SYSTEM TO A DC GRID</t>
  </si>
  <si>
    <t>144931</t>
  </si>
  <si>
    <t>RENSSELAER POLYTECHNIC INSTITUTE - (RENSSELAER)</t>
  </si>
  <si>
    <t>METHODS TO FORM AND OPERATE MULTI-TERMINAL POWER SYSTEMS</t>
  </si>
  <si>
    <t>62/905428</t>
  </si>
  <si>
    <t>144932</t>
  </si>
  <si>
    <t>MULTI-TERMINAL DC POWER SYSTEMS EMPLOYING AUTONOMOUS LOCAL CONTROL METHODS</t>
  </si>
  <si>
    <t>14/770970</t>
  </si>
  <si>
    <t>125164</t>
  </si>
  <si>
    <t>WIND POWER COLLECTION SYSTEM, POWER CONVERTER AND CONTROL METHODS</t>
  </si>
  <si>
    <t>125161</t>
  </si>
  <si>
    <t>METHOD AND CONTROL FOR DIRECT HVDC CONNECTION OF DISTRIBUTED SOURCES AND LOADS</t>
  </si>
  <si>
    <t>125165</t>
  </si>
  <si>
    <t>DIRECT CURRENT TRANSMISSION AND DISTRIBUTION SYSTEM AND METHOD OF OPERATING THE SAME</t>
  </si>
  <si>
    <t>13/842844</t>
  </si>
  <si>
    <t>125313</t>
  </si>
  <si>
    <t>DE-AR0000225</t>
  </si>
  <si>
    <t>DISTRIBUTED FREQUENCY REGULATION FRAMEWORK</t>
  </si>
  <si>
    <t>125538</t>
  </si>
  <si>
    <t>DE-AR0000226</t>
  </si>
  <si>
    <t>DISTRIBUTED ALGORITHM OF OPTIMAL POWER FLOW PROBLEM ON A RADIAL NETWORK</t>
  </si>
  <si>
    <t>125602</t>
  </si>
  <si>
    <t>OPTIMAL POWER FLOW IN MULTIPHASE RADIAL NETWORKS</t>
  </si>
  <si>
    <t>125872</t>
  </si>
  <si>
    <t>ENERGY TECHNOLOGY UPTAKE ANALYSIS TOOL</t>
  </si>
  <si>
    <t>125938</t>
  </si>
  <si>
    <t>OPTIMAL FEEDER RECONFIGURATION IN DISTRIBUTION NETWORK</t>
  </si>
  <si>
    <t>125796</t>
  </si>
  <si>
    <t>DISTRIBUTEDGRADIENT DECENT FOR SOLVING OPTIMAL POWER FLOW IN MULTIPHASE RADIAL NETWORKS</t>
  </si>
  <si>
    <t>125941</t>
  </si>
  <si>
    <t>DISTRIBUTED ADMM-BASED OPTIMAL POWER FLOW ALGORITHM FOR UNBALANCED RADIAL NETWORK</t>
  </si>
  <si>
    <t>15/135249</t>
  </si>
  <si>
    <t>04/21/2016</t>
  </si>
  <si>
    <t>125940</t>
  </si>
  <si>
    <t>DISTRIBUTED GRADIENT DESCENT FOR SOLVING OPTIMAL POWER FLOW IN RADIAL NETWORKS</t>
  </si>
  <si>
    <t>14/818203</t>
  </si>
  <si>
    <t>12/18/2018</t>
  </si>
  <si>
    <t>10/16/2015</t>
  </si>
  <si>
    <t>125939</t>
  </si>
  <si>
    <t>DISTRIBUTED GRADIENT DECENT FOR SOLVING OPTIMAL POWER FLOW IN MULTIPHASE RADIAL NETWORKS</t>
  </si>
  <si>
    <t>125774</t>
  </si>
  <si>
    <t>LOAD-SIDE FREQUENCY CONTROL IN POWER SYSTEMS</t>
  </si>
  <si>
    <t>125940-PCT</t>
  </si>
  <si>
    <t>PCT/US2015/043676</t>
  </si>
  <si>
    <t>125941-CON</t>
  </si>
  <si>
    <t>DISTRIBUTED OPTIMAL POWER FLOW PROCESSES FOR UNBALANCED RADIAL</t>
  </si>
  <si>
    <t>16/436436</t>
  </si>
  <si>
    <t>06/10/2019</t>
  </si>
  <si>
    <t>143073</t>
  </si>
  <si>
    <t>DE-AR0000229</t>
  </si>
  <si>
    <t>VARENTEC, INC. - (VARIN)</t>
  </si>
  <si>
    <t>METHODS AND SYSTEMS OF FIELD UPGRADEABLE TRANSFORMERS</t>
  </si>
  <si>
    <t>14/187114</t>
  </si>
  <si>
    <t>03/07/2016</t>
  </si>
  <si>
    <t>143075</t>
  </si>
  <si>
    <t>COMPACT DYNAMIC PHASE ANGLE REGULATORS</t>
  </si>
  <si>
    <t>13/707558</t>
  </si>
  <si>
    <t>12/06/2012</t>
  </si>
  <si>
    <t>143074</t>
  </si>
  <si>
    <t>143111</t>
  </si>
  <si>
    <t>DYNAMIC POWER FLOW CONTROLLERS</t>
  </si>
  <si>
    <t>14/260253</t>
  </si>
  <si>
    <t>04/23/2014</t>
  </si>
  <si>
    <t>125640</t>
  </si>
  <si>
    <t>DE-AR0000231</t>
  </si>
  <si>
    <t>GE GLOBAL RESEARCH - (CN0169)</t>
  </si>
  <si>
    <t>NANOFILLED ETHYLENE PROPYLENE RUBBER COMPOSITION FOR SPACE CHARGE SURPRESSION IN HIGH VOLTAGE DC CABLE INSULATION</t>
  </si>
  <si>
    <t>14/511217</t>
  </si>
  <si>
    <t>01/27/2017</t>
  </si>
  <si>
    <t>125747</t>
  </si>
  <si>
    <t>DE-AR0000233</t>
  </si>
  <si>
    <t>COMPUTATIONAL METHODS FOR DISTRIBUTED SECURITY CONSTRAINED POWER FLOW CONTROL</t>
  </si>
  <si>
    <t>125609</t>
  </si>
  <si>
    <t>DISTRIBUTED METHOD FOR BALANCING SUPPLY AND DEMAND IN AN ELECTRIC POWER NETWORK</t>
  </si>
  <si>
    <t>125217</t>
  </si>
  <si>
    <t>DE-AR0000234</t>
  </si>
  <si>
    <t>GENERAL ATOMIC - (GENERAL AT)</t>
  </si>
  <si>
    <t>PULSED INTERRUPTER AND METHOD OF OPERATION</t>
  </si>
  <si>
    <t>13/870615</t>
  </si>
  <si>
    <t>04/25/2013</t>
  </si>
  <si>
    <t>06/09/2015</t>
  </si>
  <si>
    <t>125863</t>
  </si>
  <si>
    <t>DE-AR0000235</t>
  </si>
  <si>
    <t>AUTOGRID SYSTEMS, INC - (AUTOGRID)</t>
  </si>
  <si>
    <t>BOTTOM-UP LOAD FORECASTING FROM INDIVIDUAL CUSTOMER TO SYSTEM LEVEL BASED ON PRICE</t>
  </si>
  <si>
    <t>10/13/2014</t>
  </si>
  <si>
    <t>125862</t>
  </si>
  <si>
    <t>A SYSTEM AND A METHOD FOR OPTIMIZATION AND MANAGEMENT OF DEMAND RESPONSE AND DISTRBIUTED ENERGY RESOURCES</t>
  </si>
  <si>
    <t>03/16/2014</t>
  </si>
  <si>
    <t>125861</t>
  </si>
  <si>
    <t>A SCALABLE AND WEB-BASED DR PLATFORM FOR COMMUNICATION OF A DR SIGNAL USING A NETWORK SERVER</t>
  </si>
  <si>
    <t>09/26/2014</t>
  </si>
  <si>
    <t>125865</t>
  </si>
  <si>
    <t>SYSTEM FOR IDENTIFYING OPERABILITY FAILURE IN DEMAND RESPONSE (DR) ASSETS</t>
  </si>
  <si>
    <t>14/442904</t>
  </si>
  <si>
    <t>125864</t>
  </si>
  <si>
    <t>SINGLE PROCESSING FOR CHARACTERIZATION OF BASELINE NOISE, AND METHOD OF DETERMINING LOAD REDUCTION IN THE PRESENCE OF BASELINE NOISE</t>
  </si>
  <si>
    <t>03/23/2015</t>
  </si>
  <si>
    <t>142865</t>
  </si>
  <si>
    <t>DE-AR0000243</t>
  </si>
  <si>
    <t>13/719198</t>
  </si>
  <si>
    <t>11/18/2014</t>
  </si>
  <si>
    <t>125353</t>
  </si>
  <si>
    <t>DE-AR0000247</t>
  </si>
  <si>
    <t>UNIVERSITY OF SOUTH CAROLINA - (UNIV. OF S)</t>
  </si>
  <si>
    <t>LOADING AND RELEASING NATURAL GAS IN NANO-VALVED SORBENTS</t>
  </si>
  <si>
    <t>125871</t>
  </si>
  <si>
    <t>GAS TECHNOLOGY INSTITUTE - (GASTECHINST)</t>
  </si>
  <si>
    <t>METHOD FOR LOADING AND STORING GAS IN NANO-VALVED SORBENTS</t>
  </si>
  <si>
    <t>14/262161</t>
  </si>
  <si>
    <t>125921</t>
  </si>
  <si>
    <t>TANDEM PV, INC. - (TAN PV)</t>
  </si>
  <si>
    <t>COMPOSITE ZEOLITE SORBENTS FOR SIZE-SELECTIVE ADSORPTION SEPARATION</t>
  </si>
  <si>
    <t>125223</t>
  </si>
  <si>
    <t>6A SYSTEM-LEVEL METHOD FOR LOADING AND RELEASING NATURAL GAS IN NANO VALUVED SORBENTS</t>
  </si>
  <si>
    <t>125151</t>
  </si>
  <si>
    <t>A SYSTEM-LEVEL METHOD FOR LOADING AND RELEASING NATURAL GAS IN NANO VALUVED SORBENTS</t>
  </si>
  <si>
    <t>125211</t>
  </si>
  <si>
    <t>125248</t>
  </si>
  <si>
    <t>DE-AR0000249</t>
  </si>
  <si>
    <t>TEXAS A&amp;M UNIVERSITY - (TEXAS A &amp;)</t>
  </si>
  <si>
    <t>A General Method to Build Up Chemically Stable MOFs Through the Combination of Inorganic Building Block Precursor and Modulating Strategy</t>
  </si>
  <si>
    <t>15/165247</t>
  </si>
  <si>
    <t>08/08/2017</t>
  </si>
  <si>
    <t>125605</t>
  </si>
  <si>
    <t>A GENERAL METHOD TO PREPARE CHEMICALLY STABLE MOFs THROUGH A STEPWISE STRATEGY INVOLVING POST-SYNTHETIC METAL EXCHANGE AND REDOX REACTIONS</t>
  </si>
  <si>
    <t>15/307267</t>
  </si>
  <si>
    <t>05/11/2015</t>
  </si>
  <si>
    <t>125605-PCT</t>
  </si>
  <si>
    <t>PCT/GB2015/051382</t>
  </si>
  <si>
    <t>125248-PCT</t>
  </si>
  <si>
    <t>PCT/GB2014/053507</t>
  </si>
  <si>
    <t>125248-2</t>
  </si>
  <si>
    <t>125248-PCT2</t>
  </si>
  <si>
    <t>PCT/GB2015/051383</t>
  </si>
  <si>
    <t>125922</t>
  </si>
  <si>
    <t>A GENERAL METHOD TO PREPARE CHEMICALLY STABLE MOFS THROUGH A STEPWISE STRATEGY INVOLVING POST-SYNTHETIC METAL EXCHANGE AND REDOX REACTIONS</t>
  </si>
  <si>
    <t>143122</t>
  </si>
  <si>
    <t>DE-AR0000250</t>
  </si>
  <si>
    <t>SRI INTERNATIONAL - (SRI)</t>
  </si>
  <si>
    <t>MONOLITHIC NATURAL GAS STORAGE DELIVERY SYSTEM BASED ON SORBENTS</t>
  </si>
  <si>
    <t>14/696425</t>
  </si>
  <si>
    <t>04/25/2015</t>
  </si>
  <si>
    <t>125358</t>
  </si>
  <si>
    <t>DE-AR0000251</t>
  </si>
  <si>
    <t>METAL-ORGANIC FRAMEWORKS MATERIALS WITH A HIGH DENSITY OF HIGHLY CHARGED EXPOSED METAL CATION SITES</t>
  </si>
  <si>
    <t>15/033748</t>
  </si>
  <si>
    <t>05/02/2016</t>
  </si>
  <si>
    <t>07/31/2018</t>
  </si>
  <si>
    <t>125553</t>
  </si>
  <si>
    <t>ADSORBENTS WITH STEPPED ISOTHERMS FOR GAS STORAGE APPLICATIONS</t>
  </si>
  <si>
    <t>10/07/2016</t>
  </si>
  <si>
    <t>125924</t>
  </si>
  <si>
    <t>FORD MOTOR COMPANY - (FORD MOTOR)</t>
  </si>
  <si>
    <t>HEATING AND COOLING SYSTEM FOR AN ON-BOARD GAS ABSORBENT STORAGE VESSEL</t>
  </si>
  <si>
    <t>14/546107</t>
  </si>
  <si>
    <t>125358-CON</t>
  </si>
  <si>
    <t>16/044123</t>
  </si>
  <si>
    <t>07/24/2018</t>
  </si>
  <si>
    <t>125358-PCT</t>
  </si>
  <si>
    <t>PCT/US2014/063869</t>
  </si>
  <si>
    <t>125553-2</t>
  </si>
  <si>
    <t>15/766495</t>
  </si>
  <si>
    <t>125934</t>
  </si>
  <si>
    <t>A FLEXIBLE IRON-BASED METAL-ORGANIC FRAMEWORK</t>
  </si>
  <si>
    <t>143116</t>
  </si>
  <si>
    <t>DE-AR0000253</t>
  </si>
  <si>
    <t>VARIABLE-DENSITY COMPOSITE ARTICLES PERFORMS AND METHODS</t>
  </si>
  <si>
    <t>14/218969</t>
  </si>
  <si>
    <t>03/18/2014</t>
  </si>
  <si>
    <t>09/18/2014</t>
  </si>
  <si>
    <t>143117</t>
  </si>
  <si>
    <t>THERMAL ISOLATION SPRAY FOR CASTING ARTICLES</t>
  </si>
  <si>
    <t>13/836001</t>
  </si>
  <si>
    <t>143118</t>
  </si>
  <si>
    <t>THERMAL ISOLATION FOR CASTING ARTICLES</t>
  </si>
  <si>
    <t>13/840423</t>
  </si>
  <si>
    <t>143115</t>
  </si>
  <si>
    <t>VARIABLE DENSITY PREFORMS</t>
  </si>
  <si>
    <t>11/949720</t>
  </si>
  <si>
    <t>12/03/2007</t>
  </si>
  <si>
    <t>12/13/2011</t>
  </si>
  <si>
    <t>142911</t>
  </si>
  <si>
    <t>DE-AR0000254</t>
  </si>
  <si>
    <t>ALL-COMPOSITES TANK MANFACTURED WITH COMPRESSION MOLDING</t>
  </si>
  <si>
    <t>15/481597</t>
  </si>
  <si>
    <t>04/07/2017</t>
  </si>
  <si>
    <t>143221</t>
  </si>
  <si>
    <t>A MOLD-LESS CURING METHOD OF MANUFACTURING A COMPOSITE VESSEL ASSEMBLY</t>
  </si>
  <si>
    <t>15/440448</t>
  </si>
  <si>
    <t>02/23/2017</t>
  </si>
  <si>
    <t>143255</t>
  </si>
  <si>
    <t>125868</t>
  </si>
  <si>
    <t>METHOD FOR MANUFACTURING FOR TYPE IV NON CYLINDRICAL PRESSURE VESSEL</t>
  </si>
  <si>
    <t>pct/us14/59398</t>
  </si>
  <si>
    <t>04/22/2016</t>
  </si>
  <si>
    <t>01/06/2016</t>
  </si>
  <si>
    <t>142566</t>
  </si>
  <si>
    <t>PRESSURE VESSEL ASSEMBLY AND METHOD OF FORMING</t>
  </si>
  <si>
    <t>144941</t>
  </si>
  <si>
    <t>144935</t>
  </si>
  <si>
    <t>JOINING METHODS FOR CONFORMABLE CNG TANKS</t>
  </si>
  <si>
    <t>144936</t>
  </si>
  <si>
    <t>INTERNAL AND EXTERNAL MANIFOLDING FOR A HIGH CONFORMAL PRESSURE VESSEL (ID-0033281-US)</t>
  </si>
  <si>
    <t>125880</t>
  </si>
  <si>
    <t>PRESSURIZED DEVICES WITH MINIMUM SURFACE INTERNAL STURCTURE</t>
  </si>
  <si>
    <t>142756</t>
  </si>
  <si>
    <t>ALL-COMPOSITES TANK WITH REINFORCED FEATURES</t>
  </si>
  <si>
    <t>pct/us16/28953</t>
  </si>
  <si>
    <t>144937</t>
  </si>
  <si>
    <t>CURVED HIGH CONFORMABLE HIGH PRESSURE VESSEL (ID-0033519-US)</t>
  </si>
  <si>
    <t>14/671787</t>
  </si>
  <si>
    <t>10/25/2016</t>
  </si>
  <si>
    <t>125808</t>
  </si>
  <si>
    <t>ALL-COMPOSITES TANK AND ITS MANUFACTURING</t>
  </si>
  <si>
    <t>04/29/2015</t>
  </si>
  <si>
    <t>125215</t>
  </si>
  <si>
    <t>STRUCTURAL INTEGRITY MONITORING AND RAPID PRESSURE RELIEF OF HIGH PRESSURE GASTANK</t>
  </si>
  <si>
    <t>142564-pct</t>
  </si>
  <si>
    <t>CONTAINER HAVING AN INTERNAL STRUCTURE WITH MINIMUM SURFACES</t>
  </si>
  <si>
    <t>pct/us14/33949</t>
  </si>
  <si>
    <t>04/14/2014</t>
  </si>
  <si>
    <t>142564</t>
  </si>
  <si>
    <t>142565</t>
  </si>
  <si>
    <t>PRESSURE VESSEL FLUID MAINFOLD ASSEMBLY</t>
  </si>
  <si>
    <t>pct/us14/59402</t>
  </si>
  <si>
    <t>10/07/2014</t>
  </si>
  <si>
    <t>142787</t>
  </si>
  <si>
    <t>DE-AR0000255</t>
  </si>
  <si>
    <t>OTHER LAB - (OTHERLAB)</t>
  </si>
  <si>
    <t>SYSTEMS AND METHODS FOR LINER BRAIDING AND RESIN APPLICATION</t>
  </si>
  <si>
    <t>15/368182</t>
  </si>
  <si>
    <t>12/02/2016</t>
  </si>
  <si>
    <t>142778</t>
  </si>
  <si>
    <t>CONFORMABLE NATURAL GAS STORAGE</t>
  </si>
  <si>
    <t>13/887201</t>
  </si>
  <si>
    <t>125953</t>
  </si>
  <si>
    <t>COILED NATURAL GAS STORAGE SYSTEM AND METHOD</t>
  </si>
  <si>
    <t>14/624370</t>
  </si>
  <si>
    <t>14/172831</t>
  </si>
  <si>
    <t>142627</t>
  </si>
  <si>
    <t>SYSTEM AND METHOD FOR THERMALLY ADAPTIVE MATERIALS</t>
  </si>
  <si>
    <t>15/160439</t>
  </si>
  <si>
    <t>05/20/2016</t>
  </si>
  <si>
    <t>142777</t>
  </si>
  <si>
    <t>NATURAL GAS INTESTINE PACKED STORAGE TANK</t>
  </si>
  <si>
    <t>142627-PCT</t>
  </si>
  <si>
    <t>PCT/US2016/033545</t>
  </si>
  <si>
    <t>142987</t>
  </si>
  <si>
    <t>COILED COMBUSTIBLE FUEL FLUID STORAGE SYSTEM AND METHOD</t>
  </si>
  <si>
    <t>142627-PROV2</t>
  </si>
  <si>
    <t>62/257126</t>
  </si>
  <si>
    <t>11/18/2015</t>
  </si>
  <si>
    <t>142778-UTIL2</t>
  </si>
  <si>
    <t>15/232355</t>
  </si>
  <si>
    <t>142787-PCT</t>
  </si>
  <si>
    <t>PCT/US2016/064796</t>
  </si>
  <si>
    <t>142788</t>
  </si>
  <si>
    <t>SYSTEMS AND METHODS FOR A CONFORMABLE PRESSURE VESSEL</t>
  </si>
  <si>
    <t>143044</t>
  </si>
  <si>
    <t>DE-AR0000256</t>
  </si>
  <si>
    <t>GENERAL ELECTRIC COMPANY - (GE)</t>
  </si>
  <si>
    <t xml:space="preserve">CHILLED-ADSORPTION WITH PRE AND/OR POST COMPRESSION FOR COMPRESSED NATURAL GAS DISPENSING </t>
  </si>
  <si>
    <t>125925</t>
  </si>
  <si>
    <t xml:space="preserve">CHILLED-ADSORPTION COMPRESSION FOR CNG DISPENSING </t>
  </si>
  <si>
    <t>125926</t>
  </si>
  <si>
    <t xml:space="preserve">CHILLED-ADSORPTION ALTERNATIVE COMPRESSION FOR CNG DISPENSING </t>
  </si>
  <si>
    <t>125672</t>
  </si>
  <si>
    <t>DE-AR0000257</t>
  </si>
  <si>
    <t>FREE PISTON LINEAR MOTOR COMPRESSOR AND ASSOCIATED SYSTEM OF OPERATION</t>
  </si>
  <si>
    <t>14/536174</t>
  </si>
  <si>
    <t>143349-CIP</t>
  </si>
  <si>
    <t>125672-PCT1</t>
  </si>
  <si>
    <t>PCT/US2018/056103</t>
  </si>
  <si>
    <t>10/16/2018</t>
  </si>
  <si>
    <t>125672-PCT</t>
  </si>
  <si>
    <t>PCT/US2015/059523</t>
  </si>
  <si>
    <t>11/06/2015</t>
  </si>
  <si>
    <t>15/785963</t>
  </si>
  <si>
    <t>125672-CIP</t>
  </si>
  <si>
    <t>10/17/2017</t>
  </si>
  <si>
    <t>125801</t>
  </si>
  <si>
    <t>DE-AR0000258</t>
  </si>
  <si>
    <t>EATON CORPORATION - (EATON)</t>
  </si>
  <si>
    <t>FLUID EXCHANGE AND COOLING CIRCUIT FOR A SIMPLIFIED SCHEME FOR HYDRAULIC DRIVE BASED GAS COMPRESSION WITH A NON-HYDRAULIC FLUID</t>
  </si>
  <si>
    <t>125624</t>
  </si>
  <si>
    <t>HIGHLY EFFICIENT, NEAR-ISOTHERMAL LIQUID-PISTON COMPRESSOR FOR LOW COST AT-HOME NATURAL GAS REFUELING</t>
  </si>
  <si>
    <t>125803</t>
  </si>
  <si>
    <t>A FALUT TOLERANT AND SCALABLE ARCHITECTURE AND METHOD OF OPERATION OF A CNG COMPRESSION SYSTEM</t>
  </si>
  <si>
    <t>125625</t>
  </si>
  <si>
    <t>ACCUMULATOR OPERATION WITH OPEN GAS/LIQUID INTERFACE</t>
  </si>
  <si>
    <t>125805</t>
  </si>
  <si>
    <t>LIQUID PISTON COMPRESSION THERMAL MANAGEMENT THROUGH USE OF MONOLITHIC STRUCTURES</t>
  </si>
  <si>
    <t>125807</t>
  </si>
  <si>
    <t>LIQUID PISTON COMPRESSION INTERNAL COALESCING THROUGH USE OF MONOLITHIC STRUCTURES</t>
  </si>
  <si>
    <t>125806</t>
  </si>
  <si>
    <t xml:space="preserve">METHOD FOR GAS TEMPERATURE CONTROL IN A LIQUID GAS COMPRESSION SYSTEM </t>
  </si>
  <si>
    <t>125804</t>
  </si>
  <si>
    <t>METHODS TO ACHIEVE HYDRAULIC DRIVE BASED GAS COMPRESSION WITH A NON-HYDRAULIC FLUID</t>
  </si>
  <si>
    <t>08/04/2014</t>
  </si>
  <si>
    <t>125802</t>
  </si>
  <si>
    <t>125158</t>
  </si>
  <si>
    <t xml:space="preserve">BARRIER FLUID FOR USE IN LIQUID PISTON COMPRESSORS </t>
  </si>
  <si>
    <t>125185</t>
  </si>
  <si>
    <t>GRADED MEDIA FOR A LIQUID PISTON COMPRESSION CHAMBER</t>
  </si>
  <si>
    <t>125520</t>
  </si>
  <si>
    <t>COMPRESSOR PRESSURE VESSEL WITH MULTIPLE PISTIONS</t>
  </si>
  <si>
    <t>125521</t>
  </si>
  <si>
    <t>COMPRESSOR WITH CONSTANT FLOW PUMP AND DISTRIBUSTED POWER CONTROL</t>
  </si>
  <si>
    <t>125479</t>
  </si>
  <si>
    <t>SYSTEM FOR NON-CONTACT BASED FLUID LEVEL SENSING A HIGH-PRESSURE FLUID TANK</t>
  </si>
  <si>
    <t>125600</t>
  </si>
  <si>
    <t>METHODS TO ACHIEVE HYDRAULIC DRIVE BASED GAS COMPRESSION WITH A NON-HYDRAULIC FLUID 14-HSP-669(AT)</t>
  </si>
  <si>
    <t>143139</t>
  </si>
  <si>
    <t>LIQUID PISTON CNG COMPRESSOR USING CNG FRIENDLY LIQUIDS</t>
  </si>
  <si>
    <t>143140</t>
  </si>
  <si>
    <t>METHOD FOR PURGING AIR IN LIQUID PISTON COMPRESSOR SYSTEMS</t>
  </si>
  <si>
    <t>143141</t>
  </si>
  <si>
    <t>VAPOR RECOVERY AND DE-GASSING CIRCUIT FOR LIQUID PISTON COMPRESSOR</t>
  </si>
  <si>
    <t>07/20/2017</t>
  </si>
  <si>
    <t>143142</t>
  </si>
  <si>
    <t>A METHOD FOR LEVEL SENSING AND LIQUID PISTON COMPRESSION SYSTEMS</t>
  </si>
  <si>
    <t>143143</t>
  </si>
  <si>
    <t>SPHERICAL MEDIA BED SUBSTRUCTURE FOR SUPPORT CONTAINMENT AND REMOVAL OF A SHERICAL MEDIA BED</t>
  </si>
  <si>
    <t>125642</t>
  </si>
  <si>
    <t>A FAULT TOLERANT AND SCALABLE ARCHIETCTURE AND METHOD OF OPERATION OF A CNG COMPRESSION SYSTEM</t>
  </si>
  <si>
    <t>125618</t>
  </si>
  <si>
    <t>05/06/2013</t>
  </si>
  <si>
    <t>125541</t>
  </si>
  <si>
    <t>DE-AR0000259</t>
  </si>
  <si>
    <t>OREGON STATE UNIVERSITY - (OREGON STA)</t>
  </si>
  <si>
    <t>GRAPHENE-DOPED SUCROSE-DERIVED HARD CARBON AS ANODES IN SODIUM-ION BATTERIES</t>
  </si>
  <si>
    <t>125346</t>
  </si>
  <si>
    <t>INTERNAL COMBUSTION ENGINE MODIFICATION FOR NATURAL GAS COMPRESSOR OPERATION 4</t>
  </si>
  <si>
    <t>125522</t>
  </si>
  <si>
    <t>USE OF  INTENSIFIERS WITH MULTIPLE INTENSIFICATION LEVELS FOR CNG COMPRESSION FOR ENGINE USING CYLINDER(S) OF ENGINE FOR COMPRESSION</t>
  </si>
  <si>
    <t>125523</t>
  </si>
  <si>
    <t>USE OF  VALVING THAT AUTOMATICALLY CYCLES AN INTENSIFIER FOR CNG COMPRESSION FOR ENGINE USING CYLINDER(S) OF ENGINE FOR COMPRESSION</t>
  </si>
  <si>
    <t>125525</t>
  </si>
  <si>
    <t>USE OF  3 WAY VALVES AND CHECK VALVES WITH INTENSIFIER FOR CNG COMPRESSION FOR ENGINE USING CYLINDER(s) OF ENGINE FOR COMPRESION</t>
  </si>
  <si>
    <t>125526</t>
  </si>
  <si>
    <t>USE OF ONE INTENSIFIED USED MULTIPLE TIMES TO GET HIGHER PRESSURE RATIOS FOR CNG COMPRESSION FOR ENGINE USING CYLINDER(S) OF ENGINE FOR COMPRESSION</t>
  </si>
  <si>
    <t>125528</t>
  </si>
  <si>
    <t xml:space="preserve">USE OF ONE ELECTRIC POWERED COMPRESSOR FOR USE IN PLUG IN HYBRID THAT USES A CNG BASED RANGE EXTENDER </t>
  </si>
  <si>
    <t>125529</t>
  </si>
  <si>
    <t>USE OF HYDRAULIC TRANSORMER FOR INTENSIFIER FOR CNG COMPRESSION WITH USING 1 CYLINDER(S) OF ENGINE FOR COMPRESSION</t>
  </si>
  <si>
    <t>125344</t>
  </si>
  <si>
    <t>INTERNAL COMBUSTION ENGINE MODIFICATIONS FOR NATURAL GAS COMPRESSOR OPERATION 2</t>
  </si>
  <si>
    <t>125345</t>
  </si>
  <si>
    <t>INTERNAL COMBUSTION ENGINE MODIFICATIONS FOR NATURAL GAS COMPRESSOR OPERATION 3</t>
  </si>
  <si>
    <t>125347</t>
  </si>
  <si>
    <t>INTERNAL COMBUSTION ENGINE MODIFICATIONS FOR NATURAL GAS COMPRESSOR OPERATION</t>
  </si>
  <si>
    <t>14/244807</t>
  </si>
  <si>
    <t>04/03/2014</t>
  </si>
  <si>
    <t>125552</t>
  </si>
  <si>
    <t>INTERNAL COMBUSTION ENGINE MODIFICATIONS FOR NATURAL GAS COMPRESSOR OPERATION 5.</t>
  </si>
  <si>
    <t>14/676725</t>
  </si>
  <si>
    <t>04/01/2015</t>
  </si>
  <si>
    <t>143056</t>
  </si>
  <si>
    <t>DE-AR0000260</t>
  </si>
  <si>
    <t>ITN ENERGY SYSTEMS, INC. - (ITNE)</t>
  </si>
  <si>
    <t>METHODS FOR MITIGATING DELETERIOUS CROSSOVER IN ASYMMETRIC REDOX FLOW BATTERIES</t>
  </si>
  <si>
    <t>61/989985</t>
  </si>
  <si>
    <t>03/13/2015</t>
  </si>
  <si>
    <t>144938</t>
  </si>
  <si>
    <t>144939</t>
  </si>
  <si>
    <t>144940</t>
  </si>
  <si>
    <t>PROTON CONDUCTING COMPOSITE MEMBRANE DERIVED FROM REINFORCED CROSS-LINKED CHITOSAN</t>
  </si>
  <si>
    <t>144943</t>
  </si>
  <si>
    <t>THIN-FILM COMPOSITE ION EXCHANGE MEMBRANES</t>
  </si>
  <si>
    <t>144944</t>
  </si>
  <si>
    <t>CARBON EDGE SITES TO ENABLE LOW-COST FLOW BATTERY ELECTROLYTES</t>
  </si>
  <si>
    <t>144945</t>
  </si>
  <si>
    <t>METHODS FOR ENABLING USE OF Mn ELECTROLYTE FOR FLOW BATTERIES</t>
  </si>
  <si>
    <t>142687P</t>
  </si>
  <si>
    <t>DE-AR0000261</t>
  </si>
  <si>
    <t>ENERGY STORAGE SYSTEMS, INC. - (ENEGYSTOSYS)</t>
  </si>
  <si>
    <t>PLATING AND REDOX ELECTRODE SYSTEM AND DESIGN FOR AN ALL IRON REDOX FLOW BATTERY</t>
  </si>
  <si>
    <t>61/778160</t>
  </si>
  <si>
    <t>03/12/2013</t>
  </si>
  <si>
    <t>142686P</t>
  </si>
  <si>
    <t>METHODS TO PREPARE STABLE ELECTROLYTES FOR ALL IRON REDOX FLOW BATTERIES</t>
  </si>
  <si>
    <t>142685P1</t>
  </si>
  <si>
    <t>METHOD AND SYSTEM FOR REBALANCING ELECTROLYTES IN A REDOX FLOW BATTERY SYSTEM</t>
  </si>
  <si>
    <t>10/18/2016</t>
  </si>
  <si>
    <t>10/31/2017</t>
  </si>
  <si>
    <t>142685PCT</t>
  </si>
  <si>
    <t>REDOX AND PLATING ELECTRODES SYSTEMS FOR AN ALL-IRON HYBRID FLOW BATTERY</t>
  </si>
  <si>
    <t>PCT/US13/58342</t>
  </si>
  <si>
    <t>09/05/2013</t>
  </si>
  <si>
    <t>143309</t>
  </si>
  <si>
    <t>ESS TECH, INC. - (ESS TECH)</t>
  </si>
  <si>
    <t>FLOW BATTERY CLEANSING CYCLE TO MAINTAIN ELECTROLYTE HEALTH AND SYSTEM PERFORMANCE</t>
  </si>
  <si>
    <t>04/27/2018</t>
  </si>
  <si>
    <t>143311</t>
  </si>
  <si>
    <t>INTEGRATED HYDROGEN RECYCLE SYSTEM USING PRESSURIZED MULTICHAMBER TANK</t>
  </si>
  <si>
    <t xml:space="preserve">15/965671 </t>
  </si>
  <si>
    <t>14/019491</t>
  </si>
  <si>
    <t>143312</t>
  </si>
  <si>
    <t>METHODS AND SYSTEMS FOR REBALANCING ELECTROLYTES FOR A REDOX FLOW BATTERY SYSTEM</t>
  </si>
  <si>
    <t xml:space="preserve">15/965728 </t>
  </si>
  <si>
    <t>143314</t>
  </si>
  <si>
    <t xml:space="preserve">METHODS AND SYSTEMS FOR A BATTERY </t>
  </si>
  <si>
    <t>143315</t>
  </si>
  <si>
    <t>LOW-COST BATTERY COMPRESSION SYSTEM DISCLOSURE DIRECTED TO THE ADDITION OF A LEAF SPRING COMPRRESSION SYSTEMS</t>
  </si>
  <si>
    <t xml:space="preserve">15/891277 </t>
  </si>
  <si>
    <t>02/07/2018</t>
  </si>
  <si>
    <t>143316</t>
  </si>
  <si>
    <t>ALTERNATVE LOW COST ELECTRODES FOR HYBRID FLOW BATTERIES</t>
  </si>
  <si>
    <t xml:space="preserve">15/601560 </t>
  </si>
  <si>
    <t>143317</t>
  </si>
  <si>
    <t>CARBON COATED PLASTIC ELECTRODES FOR HYBRID BATTERIES</t>
  </si>
  <si>
    <t xml:space="preserve">14/984416 </t>
  </si>
  <si>
    <t>143318</t>
  </si>
  <si>
    <t>METHOD AND SYSTEM TO MAINTAIN ELECTROLYTES STABILITY FOR ALL IRON REDOCX FLOW BATTERIES</t>
  </si>
  <si>
    <t>143319</t>
  </si>
  <si>
    <t>06/14/2016</t>
  </si>
  <si>
    <t>143320</t>
  </si>
  <si>
    <t>06/05/2018</t>
  </si>
  <si>
    <t>143321</t>
  </si>
  <si>
    <t>ELECTROLYTE ADDITIVES TO  IMPROVE PLATING QUALITY OF HIGH BATTERY CHARGE RATE</t>
  </si>
  <si>
    <t>143322</t>
  </si>
  <si>
    <t>09/21/2017</t>
  </si>
  <si>
    <t>143323</t>
  </si>
  <si>
    <t>INTERNALLY MANIFOLDED FLOW CELL FOR AN ALL-IRON HYBRID FLOW BATTERY</t>
  </si>
  <si>
    <t>03/31/2017</t>
  </si>
  <si>
    <t>143039</t>
  </si>
  <si>
    <t>INTERNALLY MAINFOLDED FLOW CELL FOR AN ALL-IRON HYBRID FLOW BATTERY</t>
  </si>
  <si>
    <t>06/20/2017</t>
  </si>
  <si>
    <t>142685</t>
  </si>
  <si>
    <t>14/199794</t>
  </si>
  <si>
    <t>11/29/2016</t>
  </si>
  <si>
    <t>142686</t>
  </si>
  <si>
    <t>14/201244</t>
  </si>
  <si>
    <t>03/07/2014</t>
  </si>
  <si>
    <t>9865895</t>
  </si>
  <si>
    <t>01/09/2018</t>
  </si>
  <si>
    <t>142687</t>
  </si>
  <si>
    <t>REDOX AND PLATING ELECTRODE SYSTEM FOR AN ALL-IRON HYBRID FLOW BATTERY</t>
  </si>
  <si>
    <t>14/019488</t>
  </si>
  <si>
    <t>9614244</t>
  </si>
  <si>
    <t>04/04/2017</t>
  </si>
  <si>
    <t>142688</t>
  </si>
  <si>
    <t>METHOD AND SYSTEM TO MAINTAIN ELECTROLYTE STABILITY FOR ALL-IRON REDOX FLOW BATTERIES</t>
  </si>
  <si>
    <t>14/588225</t>
  </si>
  <si>
    <t>12/31/2014</t>
  </si>
  <si>
    <t>142688P</t>
  </si>
  <si>
    <t>61/949040</t>
  </si>
  <si>
    <t>142688PCT</t>
  </si>
  <si>
    <t>125741-PCT</t>
  </si>
  <si>
    <t>DE-AR0000262</t>
  </si>
  <si>
    <t>NORTHEASTERN UNIVERSITY - (NORTHEASTE)</t>
  </si>
  <si>
    <t>NITROGEN-FUNCTIONALIZED PLATINUM-IRIDIUM ELECTROCATALYST</t>
  </si>
  <si>
    <t>PCT/US2016/032173</t>
  </si>
  <si>
    <t>05/12/2016</t>
  </si>
  <si>
    <t>125741</t>
  </si>
  <si>
    <t>15/572563</t>
  </si>
  <si>
    <t>11/08/2017</t>
  </si>
  <si>
    <t>143029</t>
  </si>
  <si>
    <t>CARBON NANOTUBE BASED HIGH  SURFACE AREA CARBON ELECTRODES</t>
  </si>
  <si>
    <t>125917</t>
  </si>
  <si>
    <t>DE-AR0000263</t>
  </si>
  <si>
    <t>MATERIALS &amp; SYSTEMS RESEARCH INC. - (MASYRE)</t>
  </si>
  <si>
    <t>MANUFACTURE OF METAL-SUPPORTED SOLID ELECTROLYTE SODIUM GATTERY CELLS</t>
  </si>
  <si>
    <t>61/866992</t>
  </si>
  <si>
    <t>125288PROV</t>
  </si>
  <si>
    <t>METAL SUPPORTED THIN FILM SODIUM ION CONDUCTING SOLID STATE ELECTROLYTE</t>
  </si>
  <si>
    <t>61/771507</t>
  </si>
  <si>
    <t>03/05/2013</t>
  </si>
  <si>
    <t>125288PCT1</t>
  </si>
  <si>
    <t>POROUS METAL SUPPORTED THIN FILM SODIUM ION CONDUCTING SOLID STATE ELECTROLYTE</t>
  </si>
  <si>
    <t>PCT/US13/41912</t>
  </si>
  <si>
    <t>125270</t>
  </si>
  <si>
    <t>METAL SUPPORTED SOLID ELECTROLYTE SODIUM BATTERY CELLS</t>
  </si>
  <si>
    <t>14/461358</t>
  </si>
  <si>
    <t>08/15/2014</t>
  </si>
  <si>
    <t>125288</t>
  </si>
  <si>
    <t>13/898441</t>
  </si>
  <si>
    <t>142626</t>
  </si>
  <si>
    <t>DE-AR0000267</t>
  </si>
  <si>
    <t>BATTERY TESTING SYSTEM AND METHOD</t>
  </si>
  <si>
    <t>14/535586</t>
  </si>
  <si>
    <t>125263</t>
  </si>
  <si>
    <t>ARBIN - (ARBIN)</t>
  </si>
  <si>
    <t>HIGH PRECISION BATTERY TESTER FOR AUTOMOTIVE AND STATIONARY APPLICATION</t>
  </si>
  <si>
    <t>142567</t>
  </si>
  <si>
    <t>BATTERY THERMAL CONTROLLER</t>
  </si>
  <si>
    <t>142568</t>
  </si>
  <si>
    <t>DISTRIBUTED CURRENT SHUNT</t>
  </si>
  <si>
    <t>142569</t>
  </si>
  <si>
    <t>DE-AR0000269</t>
  </si>
  <si>
    <t>BATTERY CELL HEALTH MONITORING USING DISPLACEMENT SENSORS</t>
  </si>
  <si>
    <t>142570</t>
  </si>
  <si>
    <t>BULK FORCE IN A BATTERY PACK AND ITS APPLICATION TO STATE OF CHARGE ESTIMATION</t>
  </si>
  <si>
    <t>125626</t>
  </si>
  <si>
    <t>62/043519</t>
  </si>
  <si>
    <t>142571</t>
  </si>
  <si>
    <t>LOW COST FLEX SENSOR MODULAR ARRAY</t>
  </si>
  <si>
    <t>14/743263</t>
  </si>
  <si>
    <t>142780</t>
  </si>
  <si>
    <t>UNIVERSITY OF MICHIGAN - (UNIVEOFMIC)</t>
  </si>
  <si>
    <t>BATTERY STATE OF CHARGE ESTIMATION USING BULK FORCE MEASUREMENTS</t>
  </si>
  <si>
    <t>142639</t>
  </si>
  <si>
    <t>METHOD AND SYSTEM FOR MONITORING BATTERY CELL HEALTH</t>
  </si>
  <si>
    <t>125206</t>
  </si>
  <si>
    <t>14/667252</t>
  </si>
  <si>
    <t>03/24/2013</t>
  </si>
  <si>
    <t>142197</t>
  </si>
  <si>
    <t>METAL INFILTRATED ELECTRODES FOR SOLID-STATE BATTERIES</t>
  </si>
  <si>
    <t>15/793057</t>
  </si>
  <si>
    <t>10/25/2017</t>
  </si>
  <si>
    <t>10/20/2017</t>
  </si>
  <si>
    <t>142197-PCT</t>
  </si>
  <si>
    <t>PCT/US2017/058222</t>
  </si>
  <si>
    <t>143160</t>
  </si>
  <si>
    <t>DE-AR0000270</t>
  </si>
  <si>
    <t>FARASIS ENERGY, INC. - (FARAS)</t>
  </si>
  <si>
    <t>LITHIUM ION POUCH CELL AND A CELL MODULE</t>
  </si>
  <si>
    <t>14/164106</t>
  </si>
  <si>
    <t>01/24/2014</t>
  </si>
  <si>
    <t>142870</t>
  </si>
  <si>
    <t>DE-AR0000271</t>
  </si>
  <si>
    <t>ELECTRIFIED VEHICLE POWER CONVERSION FOR LOW VOLTAGE BUS</t>
  </si>
  <si>
    <t>15/237994</t>
  </si>
  <si>
    <t>143137</t>
  </si>
  <si>
    <t>ELECTRIFIED VEHICLE DC POWER CONVERSION WITH DISTRIBUTED CONTROL</t>
  </si>
  <si>
    <t>15/238003</t>
  </si>
  <si>
    <t>11/20/2018</t>
  </si>
  <si>
    <t>125584-CIP1</t>
  </si>
  <si>
    <t>ACTIVE BALANCING SYSTEM FOR ELECTRIC VEHICLES WITH INCORPORATED LOW VOLTAGE BUS</t>
  </si>
  <si>
    <t>15/224275</t>
  </si>
  <si>
    <t>07/29/2016</t>
  </si>
  <si>
    <t>14/591917</t>
  </si>
  <si>
    <t>125584-CIP2</t>
  </si>
  <si>
    <t>15/224123</t>
  </si>
  <si>
    <t>125584-PCT</t>
  </si>
  <si>
    <t>PCT/US2015/01053</t>
  </si>
  <si>
    <t>01/07/2015</t>
  </si>
  <si>
    <t>125584</t>
  </si>
  <si>
    <t>08/28/2018</t>
  </si>
  <si>
    <t>143161</t>
  </si>
  <si>
    <t>DE-AR0000272</t>
  </si>
  <si>
    <t>BATTERY CELL STRUCTURE WITH LIMITED CELL PENETRATIONS</t>
  </si>
  <si>
    <t>14/620635</t>
  </si>
  <si>
    <t>02/12/2015</t>
  </si>
  <si>
    <t>125562</t>
  </si>
  <si>
    <t>OPTICAL WAVEGUIDE METHODS FOR DETECTING INTERNAL FAULTS IN OPERATING BATTERIES</t>
  </si>
  <si>
    <t>14/620568</t>
  </si>
  <si>
    <t>02/15/2015</t>
  </si>
  <si>
    <t>9570781</t>
  </si>
  <si>
    <t>125679</t>
  </si>
  <si>
    <t>INTEGRAL LIGHT SOURCES AND DETECTORS FOR AN OPTICAL SENSOR TO DETECT BATTERY FAULTS</t>
  </si>
  <si>
    <t>14/620600</t>
  </si>
  <si>
    <t>125662</t>
  </si>
  <si>
    <t>BATTERY ELECTROLYTE SENSOR AS A DEGRADATION MONITOR</t>
  </si>
  <si>
    <t>125667</t>
  </si>
  <si>
    <t>DETECTION OF THREAD HOT SPOTS ON OPERATING BATTERIES</t>
  </si>
  <si>
    <t>125384</t>
  </si>
  <si>
    <t>OPTICAL METHODS OF MONITORING BATTERY HEALTH</t>
  </si>
  <si>
    <t>14/414984</t>
  </si>
  <si>
    <t>08/09/2013</t>
  </si>
  <si>
    <t>125386</t>
  </si>
  <si>
    <t>10177421</t>
  </si>
  <si>
    <t>01/08/2019</t>
  </si>
  <si>
    <t>125685</t>
  </si>
  <si>
    <t>MODEL-BASED DENDRITE GROWTH ESTIMATOR FOR A LITHIUM ION BATTERY WITH AN OPTICAL SEPERATOR</t>
  </si>
  <si>
    <t>09/13/2016</t>
  </si>
  <si>
    <t>125416</t>
  </si>
  <si>
    <t>DE-AR0000273</t>
  </si>
  <si>
    <t>METHOD THAT IMPROVES DETECTION OF STATE OF CHARGE (SOC) OF BATTERY CELLS CONNECTED IN SERIES</t>
  </si>
  <si>
    <t>125484</t>
  </si>
  <si>
    <t>DE-AR0000274</t>
  </si>
  <si>
    <t>Palo Alto Research Center - (PARC)</t>
  </si>
  <si>
    <t>READOUT SCHEME FOR INTENSITY-ENCODED SENSORS</t>
  </si>
  <si>
    <t>14/242853</t>
  </si>
  <si>
    <t>01/23/2014</t>
  </si>
  <si>
    <t>125481</t>
  </si>
  <si>
    <t>METHOD TO EMBED FIBER OPTIC CABLES IN BATTERY CELLS TO AID BATTERY MANAGEMENT SYSTEM</t>
  </si>
  <si>
    <t>142581</t>
  </si>
  <si>
    <t>CHEMICAL SENSING USING FIBER OPTIC SENSORS FOR ENHANCED PERFORMANCE OF ENERGY STORAGE DEVICES</t>
  </si>
  <si>
    <t>143132</t>
  </si>
  <si>
    <t xml:space="preserve"> METHOD TO PRODUCE TRANSPARENT POLYMER AEROGELS USING CHAIN TRANSFER AGENTS</t>
  </si>
  <si>
    <t>15/728385</t>
  </si>
  <si>
    <t>10/09/2017</t>
  </si>
  <si>
    <t>142882</t>
  </si>
  <si>
    <t>DETECTION OF LITHIUM PLATING USING FIBER-OPTIC SENSORS</t>
  </si>
  <si>
    <t>15/652973</t>
  </si>
  <si>
    <t>07/18/2017</t>
  </si>
  <si>
    <t>09/15/2016</t>
  </si>
  <si>
    <t>142574</t>
  </si>
  <si>
    <t xml:space="preserve">BATTERY MANAGEMENT BASED ON INTERNAL OPTICAL SENSING </t>
  </si>
  <si>
    <t>14/257673</t>
  </si>
  <si>
    <t>04/21/2014</t>
  </si>
  <si>
    <t>01/24/2017</t>
  </si>
  <si>
    <t>125631</t>
  </si>
  <si>
    <t>METHOD FOR MONITORING/MANAGING ELECTROCHEMICAL ENERGY DEVICE BY DETECTING INTERCALATION STAGE CHANGES</t>
  </si>
  <si>
    <t>14/242850</t>
  </si>
  <si>
    <t>9583796</t>
  </si>
  <si>
    <t>125632</t>
  </si>
  <si>
    <t>BATTERY WITH EMBEDDED FIBER OPTIC CABLE</t>
  </si>
  <si>
    <t>14/338916</t>
  </si>
  <si>
    <t>125633</t>
  </si>
  <si>
    <t>ENERGY SYSTEM MONITORING</t>
  </si>
  <si>
    <t>14/331318</t>
  </si>
  <si>
    <t>07/15/2014</t>
  </si>
  <si>
    <t>125630</t>
  </si>
  <si>
    <t>MONITORING/MANAGING ELECTROCHEMICAL ENERGY DEVICE USING DETECTED INTERCALATION STAGE CHANGES</t>
  </si>
  <si>
    <t>9209494</t>
  </si>
  <si>
    <t>125628</t>
  </si>
  <si>
    <t>EMBEDDED FIBER OPTIC CABLES FOR BATTERY MANAGEMENT</t>
  </si>
  <si>
    <t>14/339050</t>
  </si>
  <si>
    <t>125629</t>
  </si>
  <si>
    <t>SENSOR APPARATUS AND METHOD BASED ON WAVELENGTH CENTROID DETECTION</t>
  </si>
  <si>
    <t>14/141827</t>
  </si>
  <si>
    <t>12/27/2013</t>
  </si>
  <si>
    <t>9201000</t>
  </si>
  <si>
    <t>142696</t>
  </si>
  <si>
    <t>METHOD AND SYSTEM TO SEPARATE OPTICALLY MEASURED COUPLED PARAMETERS</t>
  </si>
  <si>
    <t>14/810919</t>
  </si>
  <si>
    <t>07/28/2015</t>
  </si>
  <si>
    <t>125472</t>
  </si>
  <si>
    <t xml:space="preserve">SYSTEM AND METHOD FOR USING FO SENSORS TO EXTRACT STATE RELEVANT INFORMATION FROM ELECTROCHEMICALENERGY STORAGE DEVICES </t>
  </si>
  <si>
    <t>125518</t>
  </si>
  <si>
    <t>INTERNALLY IMPLANTED FIBER OPTIC CABLES INTO BATTERY CATHODE AND ANODE ELECTODES TO PROVIDE MORE ACCURATE SIGNALS TO BATTERY MANAGEMENT SYSTEM</t>
  </si>
  <si>
    <t>125519</t>
  </si>
  <si>
    <t>FIBER-OPTIC INTERROGATION SYSTEM FOR BATTERY MANAGEMENT SYSTEMS UTILIZING ARRAYED WAVEGUIDE GRATINGS</t>
  </si>
  <si>
    <t>125619</t>
  </si>
  <si>
    <t>DE-AR0000275</t>
  </si>
  <si>
    <t>WASHINGTON UNIVERSITY - (WASHIUNIVE)</t>
  </si>
  <si>
    <t xml:space="preserve">SYSTEMS AND METHODS FOR IMPROVING BATTERY PERFORMANCE </t>
  </si>
  <si>
    <t>14/079490</t>
  </si>
  <si>
    <t>125762</t>
  </si>
  <si>
    <t>ROBUST FAIL-SAFE ITERATION FREE APPROACH FOR SOLVING INDEX-1 DAES ARISING FROM BATTERY MODELS</t>
  </si>
  <si>
    <t>15/745984</t>
  </si>
  <si>
    <t>01/18/2018</t>
  </si>
  <si>
    <t>142929</t>
  </si>
  <si>
    <t>SYSTEMS AND METHODS FOR DIRECT ESTIMATION OF ALL PARAMETERS FOR BATTERIES USING ONLY CHARGE/DISCHARGE CURVES</t>
  </si>
  <si>
    <t>15/725192</t>
  </si>
  <si>
    <t>10/04/2017</t>
  </si>
  <si>
    <t>125762-PCT</t>
  </si>
  <si>
    <t>PCT/US2016/043188</t>
  </si>
  <si>
    <t>142837</t>
  </si>
  <si>
    <t>06/30/2016</t>
  </si>
  <si>
    <t>125508</t>
  </si>
  <si>
    <t>REFORMULATED MODEL BASED PREDICTION, MONITORING AND CONTROL OF RECHARGEABLE ELECTROCHEMICAL BATTERIES</t>
  </si>
  <si>
    <t>61/725572</t>
  </si>
  <si>
    <t>11/13/2012</t>
  </si>
  <si>
    <t>142848</t>
  </si>
  <si>
    <t>REAL-TIME CONTROL AND MANAGEMENT OF BATTERIES USING CLOUD-BASED SELF LEARN</t>
  </si>
  <si>
    <t>62/572612</t>
  </si>
  <si>
    <t>10/16/2017</t>
  </si>
  <si>
    <t>142953</t>
  </si>
  <si>
    <t>UNIVERSALLY OPTIMAL CHARGING STRATEGY FOR LITHIUM-ION BATTERIES</t>
  </si>
  <si>
    <t>125931</t>
  </si>
  <si>
    <t>DE-AR0000277</t>
  </si>
  <si>
    <t>SOUTHWEST RESEARCH INSTITUTE - (SOUTHRESEA)</t>
  </si>
  <si>
    <t>ENERGY STORAGE SYSTEM FOR SOC/SOH MEASUREMENT AND LIFE IMPROVEMENT USING STRAIN-BASED SENSOR</t>
  </si>
  <si>
    <t>125932</t>
  </si>
  <si>
    <t>MONITORING AND CONTROL OF ELECTROCHEMICAL CELL DEGRADATION VIA STRAIN BASED BATTERY TESTING</t>
  </si>
  <si>
    <t>14/956011</t>
  </si>
  <si>
    <t>125213</t>
  </si>
  <si>
    <t>STRAIN-BASED STATE OF CHARGE/DISCHARGE AND STATE OF HEALTH ESTIMATION OF BATTERY SYSTEM</t>
  </si>
  <si>
    <t>14/102197</t>
  </si>
  <si>
    <t>12/10/2013</t>
  </si>
  <si>
    <t>07/09/2013</t>
  </si>
  <si>
    <t>142938</t>
  </si>
  <si>
    <t>DE-AR0000278</t>
  </si>
  <si>
    <t>SECONDARY BATTERY MANAGEMENT SYSTEM</t>
  </si>
  <si>
    <t>15/011118</t>
  </si>
  <si>
    <t>10243385</t>
  </si>
  <si>
    <t>05/23/2019</t>
  </si>
  <si>
    <t>142934</t>
  </si>
  <si>
    <t>EVALUATING CAPACITY FADE IN DUAL INSERTION BATTERIES USING POTENTIAL AND TEMPERATURE MEASUREMENTS</t>
  </si>
  <si>
    <t>15072839</t>
  </si>
  <si>
    <t>03/17/2016</t>
  </si>
  <si>
    <t>10224579</t>
  </si>
  <si>
    <t>02/13/2019</t>
  </si>
  <si>
    <t>142935</t>
  </si>
  <si>
    <t>SECONDARY BATTERY MANAGEMENT SYSTEM WITH REMOTE  ESTIMATION</t>
  </si>
  <si>
    <t>15/273040</t>
  </si>
  <si>
    <t>142933</t>
  </si>
  <si>
    <t>STAIRCASE CHARGING</t>
  </si>
  <si>
    <t>15/160659</t>
  </si>
  <si>
    <t>142937</t>
  </si>
  <si>
    <t>15/011148</t>
  </si>
  <si>
    <t>10263447</t>
  </si>
  <si>
    <t>04/16/2019</t>
  </si>
  <si>
    <t>142936</t>
  </si>
  <si>
    <t>SECONDARY BATTERY MANAGEMENT</t>
  </si>
  <si>
    <t>15/010873</t>
  </si>
  <si>
    <t>142938-CON</t>
  </si>
  <si>
    <t>16/197053</t>
  </si>
  <si>
    <t>142936-PCT</t>
  </si>
  <si>
    <t>PCT/EP2017/051322</t>
  </si>
  <si>
    <t>01/23/2017</t>
  </si>
  <si>
    <t>142938-PCT</t>
  </si>
  <si>
    <t>PCT/US2017/051333</t>
  </si>
  <si>
    <t>142937-CON</t>
  </si>
  <si>
    <t>16/197097</t>
  </si>
  <si>
    <t>142937-PCT</t>
  </si>
  <si>
    <t>PCT/EP2017/051325</t>
  </si>
  <si>
    <t>142935-PCT</t>
  </si>
  <si>
    <t>PCT/EP2017/073770</t>
  </si>
  <si>
    <t>09/22/2017</t>
  </si>
  <si>
    <t>142933-PCT</t>
  </si>
  <si>
    <t>PCT/EP2017/61923</t>
  </si>
  <si>
    <t>05/18/2017</t>
  </si>
  <si>
    <t>142656</t>
  </si>
  <si>
    <t>16/196978</t>
  </si>
  <si>
    <t>142660</t>
  </si>
  <si>
    <t>METHOD FOR ELECTROCHEMICAL MODEL-BASED ESTIMATION OF STATE OF HEALTH AND STATE OF CHARGE OF A LITHIUM-ION BATTERY</t>
  </si>
  <si>
    <t>01/15/2016</t>
  </si>
  <si>
    <t>142657</t>
  </si>
  <si>
    <t>SYSTEM FOR CLOUD-BASED ESTIMATION AND VERIFICATION OF LI-ION BATTERY PARAMETERS</t>
  </si>
  <si>
    <t>142658</t>
  </si>
  <si>
    <t>FAST CHARGING USING ADAPTABLE CURRENT AND VOLTAGE LIMITS WITH FEEDBACK CONTROL</t>
  </si>
  <si>
    <t>142659</t>
  </si>
  <si>
    <t>NOVEL METHODS FOR ESTIMATION OF SOC AND SOH IN LITHIUM-ION BATTERY SYSTEMS VIA EMPOLYING ADVANCED RESCURSIVE LINEAR SQUARES METHOD TO EL-CHEM MODELS</t>
  </si>
  <si>
    <t>142661</t>
  </si>
  <si>
    <t xml:space="preserve">NOVEL METHODS FOR ESTIMATION OF SOC AND SOH IN LITHIUM-ION BATTERY SYSTEMS VIA EMPLOYING MODIFIED MOVING HORIZON ESTIMATION METHOD TO EL-CHEM MODELS </t>
  </si>
  <si>
    <t>142758</t>
  </si>
  <si>
    <t>DE-AR0000279</t>
  </si>
  <si>
    <t>REMOTE BATTERY PROGNOSTICS USING BATTERY ON-BOARD PARAMETER ESTIMATION AND COLLECTIVE  LEARNING FROM INTERCONNECTED MACHINE NETWORKS</t>
  </si>
  <si>
    <t>142759</t>
  </si>
  <si>
    <t>ONLINE IMPEDANCE ESTIMATION FOR BATTERIES</t>
  </si>
  <si>
    <t>142582</t>
  </si>
  <si>
    <t>A TRANSFER FUNCTION TO DETERMINE BATTERY UTILIZATION COST FOR MAXIMIZING SYSTEM PERFORMANCE AND BATTERY LIFE</t>
  </si>
  <si>
    <t>142583</t>
  </si>
  <si>
    <t>REAL-TIME SYSTEM DUTY CYCLE PROFILING METHOD</t>
  </si>
  <si>
    <t>125267</t>
  </si>
  <si>
    <t>PREDICTIVE BATTERY MANAGEMENT FOR COMMERCIAL HYBRID</t>
  </si>
  <si>
    <t>11/26/2013</t>
  </si>
  <si>
    <t>125229</t>
  </si>
  <si>
    <t>DE-AR0000290</t>
  </si>
  <si>
    <t>PRATT &amp; WHITNEY - (PRATT &amp; WH)</t>
  </si>
  <si>
    <t>INTERNALLY SERIES-COOLED STATOR STAGES TO MAXIMIZE CYCLE THERMAL EFFICIENCY</t>
  </si>
  <si>
    <t>125511</t>
  </si>
  <si>
    <t>CERAMIC MATRIX COMPOSITE (CMC) ROTOR BLADES FOR PARTIAL OXIDATION GAS TURBINES (POGTs)</t>
  </si>
  <si>
    <t>125302</t>
  </si>
  <si>
    <t>DE-AR0000291</t>
  </si>
  <si>
    <t xml:space="preserve">CATALYST SUPPORT STRUCTURE, CATALYST INCLUDING THE STRUCTURE, REACTOR INCLUDING A CATALYST, AND METHODS OF FORMING SAME </t>
  </si>
  <si>
    <t>04/16/2015</t>
  </si>
  <si>
    <t>05/09/2017</t>
  </si>
  <si>
    <t>125690</t>
  </si>
  <si>
    <t>CATALYST, STRUCTURES, REACTORS, AND METHODS OF FORMING SAME</t>
  </si>
  <si>
    <t>15/527630</t>
  </si>
  <si>
    <t>05/17/2017</t>
  </si>
  <si>
    <t>125690-PCT</t>
  </si>
  <si>
    <t>PCT/US2015/061181</t>
  </si>
  <si>
    <t>11/07/2015</t>
  </si>
  <si>
    <t>125757</t>
  </si>
  <si>
    <t>DE-AR0000292</t>
  </si>
  <si>
    <t>UNIVERSITY OF PITTSBURGH - (UNIVEOFPIT)</t>
  </si>
  <si>
    <t>THICKENING COMPOSITIONS, AND RELATED MATERIALS AND PROCESSES</t>
  </si>
  <si>
    <t>14/683599</t>
  </si>
  <si>
    <t>142818</t>
  </si>
  <si>
    <t>NOVEL SURFACTANTS FOR CO2 IN OIL FOAMS</t>
  </si>
  <si>
    <t>142845</t>
  </si>
  <si>
    <t>ACETYLATED  CYCLIC SMALL MOLECULE CO2 VISCOSIFIERS</t>
  </si>
  <si>
    <t>142760</t>
  </si>
  <si>
    <t>COMPOSITIONS FOR, SOLUTIONS FOR, AND METHODS OF USE OF SILOXANE BASED AROMATIC TRISUREAS AS VISCOSIFIERS</t>
  </si>
  <si>
    <t>15/006201</t>
  </si>
  <si>
    <t>125678</t>
  </si>
  <si>
    <t>DE-AR0000293</t>
  </si>
  <si>
    <t>GE POWER AND WATER - (GEPAW)</t>
  </si>
  <si>
    <t>INFLATABLE AIRFOIL COMPONENETS FOR WIND BLADES</t>
  </si>
  <si>
    <t>01/22/2015</t>
  </si>
  <si>
    <t>125697</t>
  </si>
  <si>
    <t>USE OR UNIDIRECTIONAL FIBERS IN BOXBEAM TO PROVENT FF/IFF</t>
  </si>
  <si>
    <t>125531</t>
  </si>
  <si>
    <t>WIND TURBINE ROTOR BLADES WITH LOAD-TRANSFERRING EXTERIOR PANELS</t>
  </si>
  <si>
    <t>14/574523</t>
  </si>
  <si>
    <t>125658</t>
  </si>
  <si>
    <t>WIND TURBINE ROTOR BLADES WITH SUPPORT FLANGES</t>
  </si>
  <si>
    <t>14/574536</t>
  </si>
  <si>
    <t>125636</t>
  </si>
  <si>
    <t>A METHOD OF MODULARIZING WIND BLADE</t>
  </si>
  <si>
    <t>10/22/2014</t>
  </si>
  <si>
    <t>125577</t>
  </si>
  <si>
    <t>GE POWER SYSTEM - (CN0082)</t>
  </si>
  <si>
    <t>CENTRIFUGAL RATCHETING MECHANISM IN A WIND TURBINE</t>
  </si>
  <si>
    <t>14/251752</t>
  </si>
  <si>
    <t>9651024</t>
  </si>
  <si>
    <t>05/16/2017</t>
  </si>
  <si>
    <t>125583</t>
  </si>
  <si>
    <t>RAPID MANUFACTURE OF COMPOSITE AIRFOIL GEOMETRIES</t>
  </si>
  <si>
    <t>14/195073</t>
  </si>
  <si>
    <t>03/03/2014</t>
  </si>
  <si>
    <t>9505182</t>
  </si>
  <si>
    <t>125462</t>
  </si>
  <si>
    <t>DE-AR0000294</t>
  </si>
  <si>
    <t>ION CONCENTRATION POLARIZATION - ELECTROCOAGULATION HYBRID SYSTEM FOR WATER TREATMENT</t>
  </si>
  <si>
    <t>14/857133</t>
  </si>
  <si>
    <t>9850146</t>
  </si>
  <si>
    <t>12/26/2017</t>
  </si>
  <si>
    <t>125687</t>
  </si>
  <si>
    <t>NEXT-GENERATION MICROFILTER; LARGE-SCALE, CONTINUOUS MAMMALIAN CELL RETENTION FOR PERFUSION BIOREACTORS</t>
  </si>
  <si>
    <t>15/512003</t>
  </si>
  <si>
    <t>03/16/2017</t>
  </si>
  <si>
    <t>125692</t>
  </si>
  <si>
    <t xml:space="preserve">Purification of Ultra-High Saline and Contaminated Water by Multi-Stage Ion Concentration Polarization (ICP) Desalination </t>
  </si>
  <si>
    <t>125462-2</t>
  </si>
  <si>
    <t>15/815803</t>
  </si>
  <si>
    <t>11/17/2017</t>
  </si>
  <si>
    <t>10099945</t>
  </si>
  <si>
    <t>162855</t>
  </si>
  <si>
    <t>ULTRATHIN, CONDUCTIVE AND FOULING-RESISTANT ZWITTERIONIC POLYMER FILMS</t>
  </si>
  <si>
    <t>16/041169</t>
  </si>
  <si>
    <t>07/20/2018</t>
  </si>
  <si>
    <t>143163</t>
  </si>
  <si>
    <t>MULTISCALE-PORE ION EXCHANGE MEMBRANE FOR BETTER ENERGY EFFICIENCY</t>
  </si>
  <si>
    <t>125214</t>
  </si>
  <si>
    <t>DE-AR0000295</t>
  </si>
  <si>
    <t>TEXAS ENGINEERING EXPERIMENT STATION - (TEXENG)</t>
  </si>
  <si>
    <t>MULTI-STAGED THERMAL-POWER HYDRIDE GENERATOR</t>
  </si>
  <si>
    <t>05/19/2015</t>
  </si>
  <si>
    <t>142715</t>
  </si>
  <si>
    <t>DE-AR0000297</t>
  </si>
  <si>
    <t>SHARP LABORATORIES OF AMERICA, INC. - (SHARP)</t>
  </si>
  <si>
    <t>TRANSITION METAL HEXACYANOMETALLATE ELECTRODE WITH WATER-SOLUBLE BINDER</t>
  </si>
  <si>
    <t>142710</t>
  </si>
  <si>
    <t>HARD CARBON COMPOSITE MATEIALS FOR SODIUM-ION BATTERY APPLICATIONS</t>
  </si>
  <si>
    <t>142700</t>
  </si>
  <si>
    <t>SUPERCAPACITORS WITH METAL HEXACYANOMETALLATE ELECTRODE</t>
  </si>
  <si>
    <t>142720</t>
  </si>
  <si>
    <t>SODIUM AND POTASSIUM ION BATTERIES WITH HALOGEN SALTS</t>
  </si>
  <si>
    <t>14827001</t>
  </si>
  <si>
    <t>9455446</t>
  </si>
  <si>
    <t>142721</t>
  </si>
  <si>
    <t>ANTIMONY AND LAYERED CARBON NETWORK BATTERY ANODE</t>
  </si>
  <si>
    <t>14795834</t>
  </si>
  <si>
    <t>07/09/2015</t>
  </si>
  <si>
    <t>9431655</t>
  </si>
  <si>
    <t>142704</t>
  </si>
  <si>
    <t>SODIUM IRON(II)-HEXACYANOFERRATE(II) BATTERY ELECTRODE AND SYNTHESIS METHOD</t>
  </si>
  <si>
    <t>14067038</t>
  </si>
  <si>
    <t>10/30/2013</t>
  </si>
  <si>
    <t>9450224</t>
  </si>
  <si>
    <t>09/20/2016</t>
  </si>
  <si>
    <t>14/230882</t>
  </si>
  <si>
    <t>S-125695</t>
  </si>
  <si>
    <t>SYNTHESIS OF PRUSSIAN WHITE AS SUPERIOR ELECTRODE FOR METAL-ION BATTERIES</t>
  </si>
  <si>
    <t>S-125541</t>
  </si>
  <si>
    <t>Graphene-doped sucrose-derived hard carbon as anodes in sodium-ion batteries</t>
  </si>
  <si>
    <t>142703</t>
  </si>
  <si>
    <t xml:space="preserve">TRANSITION METAL HEXACYANOMETALLATE-CONDUCTIVE POLYMER COMPOSITE BATTERY </t>
  </si>
  <si>
    <t>14/059599</t>
  </si>
  <si>
    <t>142608</t>
  </si>
  <si>
    <t>SYNTHESIS OF METAL CYANOMETALLATES FOR METAL-ION BATTERY</t>
  </si>
  <si>
    <t>142609</t>
  </si>
  <si>
    <t>142610</t>
  </si>
  <si>
    <t>SYNTHESIS OF SODIUM IRON (II)-HEXACYANOFERRATE(II) (Na1+xFe2(CN)6,x=0 to 1) USING PRECIPITATION PROCESS</t>
  </si>
  <si>
    <t>142611</t>
  </si>
  <si>
    <t>A REACTIVE SEPARATOR FOR METAL-ION BATTERIES</t>
  </si>
  <si>
    <t>142612</t>
  </si>
  <si>
    <t>METAL-ION BATTERIES WITH BERLIN GREEN OF ITS ANALOGUE CATHODE AND METAL-LOADED MATERIAL</t>
  </si>
  <si>
    <t>142613</t>
  </si>
  <si>
    <t>NASICON-POLYMER COMPOSITE FOR SODIUM BATTERY</t>
  </si>
  <si>
    <t>142614</t>
  </si>
  <si>
    <t>A NOVEL STRUCTURE OF METL HEXACYANOMETALLATE (MHCM) ELECTRODE</t>
  </si>
  <si>
    <t>142615</t>
  </si>
  <si>
    <t>PROCESSING METAL-ION BATTERIES WITH METAL HEXAVYANOMETAILATE (MHCM) CATHODE AND NON-ION LOADED MATERIAL ANODE</t>
  </si>
  <si>
    <t>142616</t>
  </si>
  <si>
    <t>ANODE DEVELOPMENT FOR SODIUM/POTASSIUM BATTERIES FROM TIN/LEAD/ANTIMONY-ORGANIC COMPOUNDS</t>
  </si>
  <si>
    <t>142617</t>
  </si>
  <si>
    <t>ANODE MATERIALS WITH PRELOADED METALS FOR METAL-ION-BATTERIES</t>
  </si>
  <si>
    <t>142602</t>
  </si>
  <si>
    <t>A CATHODE CONSISTS OF TRANSITION METAL HEXACYANOFERRATE AND WATER- SOLUBLE BINDERS</t>
  </si>
  <si>
    <t>142707</t>
  </si>
  <si>
    <t>RECHARGEABLE METAL-ION BATTERIES WITH NON-AQUEOUS HYBRID ION ELECTROLYTES</t>
  </si>
  <si>
    <t>142604</t>
  </si>
  <si>
    <t>SYNTHESIS OF SODIUM IRON(II)-HEXACYANOFERRATE(II) (Na1+Fe2(C)6,X=0-1)WITH AN IMPROVED HYDROTHERMAL REACTION</t>
  </si>
  <si>
    <t>142605</t>
  </si>
  <si>
    <t>METAL HEXACYANOMETALATTATE- CONDUCTIVE POLYMER COMPOSTIE CATHODE</t>
  </si>
  <si>
    <t>142606</t>
  </si>
  <si>
    <t>ANODE PREPARATION FOR SODIUM/POTASSIUM BATTERIES</t>
  </si>
  <si>
    <t>142607</t>
  </si>
  <si>
    <t>HARD CARBON COMPOSITE MATERIALS FOR SODIUM-ION BATTERY APPLICATIONS</t>
  </si>
  <si>
    <t>143106</t>
  </si>
  <si>
    <t>VACUUM PRESSURE-ADJUSTING APPARATUS</t>
  </si>
  <si>
    <t>09/531003</t>
  </si>
  <si>
    <t>03/20/2000</t>
  </si>
  <si>
    <t>6321772</t>
  </si>
  <si>
    <t>11/27/2001</t>
  </si>
  <si>
    <t>143182</t>
  </si>
  <si>
    <t>ALKALI AND ALKALINE-EARTH -ION BATTERIES  WITH NON- METAL ANODE AND HEXACYANOMETALLATE CATHODE</t>
  </si>
  <si>
    <t>14/699962</t>
  </si>
  <si>
    <t>143183</t>
  </si>
  <si>
    <t>SODIUM IRON(II)-HEXACYANOFERRATE(II)BATTERY ELECTRODE</t>
  </si>
  <si>
    <t>15/218508</t>
  </si>
  <si>
    <t>07/25/2016</t>
  </si>
  <si>
    <t>9531003</t>
  </si>
  <si>
    <t>143184</t>
  </si>
  <si>
    <t>METAL-ION BATTERY WITH HEXACYANOMETALLATE ELECTRODE</t>
  </si>
  <si>
    <t>14/989602</t>
  </si>
  <si>
    <t>143185</t>
  </si>
  <si>
    <t>TRANSITION METAL HEXACYANOFERATE BATTERY WITH CARBONACEOUS ANODE</t>
  </si>
  <si>
    <t>15/173866</t>
  </si>
  <si>
    <t>06/06/2016</t>
  </si>
  <si>
    <t>9680152</t>
  </si>
  <si>
    <t>143186</t>
  </si>
  <si>
    <t>NON-METAL ANODE AIKAKI AND ALKALINE-EARTH ION BATTERIES WITH HEXACYANOMETALLATE CATHODE</t>
  </si>
  <si>
    <t>14/699918</t>
  </si>
  <si>
    <t>142781-PCT</t>
  </si>
  <si>
    <t>PLATING ALKALI METALS FROM A LIQUID ELECTROLYTE WITH A POROUS MEMBRANE</t>
  </si>
  <si>
    <t>PCT/US2017/021121</t>
  </si>
  <si>
    <t>142781</t>
  </si>
  <si>
    <t>15/452337</t>
  </si>
  <si>
    <t>142719</t>
  </si>
  <si>
    <t>ANTIMONY-BASED ANODE ON ALUMINUM CURRENT COLLECTOR</t>
  </si>
  <si>
    <t>14/823399</t>
  </si>
  <si>
    <t>05/05/2015</t>
  </si>
  <si>
    <t>142718</t>
  </si>
  <si>
    <t>PRUSSIAN BLUE ANALOGUE ELECTRODES WITHOUT ZEOLITHIC WATER CONTENT</t>
  </si>
  <si>
    <t>14/830838</t>
  </si>
  <si>
    <t>08/20/2015</t>
  </si>
  <si>
    <t>9478798</t>
  </si>
  <si>
    <t>142717</t>
  </si>
  <si>
    <t>ALKALI-ION BATTERY WITH ENHANCED TRANSITION METAL CYANOMETALLATE ELECTRODE STRUCTURE</t>
  </si>
  <si>
    <t>14/928559</t>
  </si>
  <si>
    <t>10/30/2015</t>
  </si>
  <si>
    <t>142708</t>
  </si>
  <si>
    <t>METHOD FOR THE SYNTHESIS OF IRON HEXACYANOFERRATE</t>
  </si>
  <si>
    <t>14/472228</t>
  </si>
  <si>
    <t>9546097</t>
  </si>
  <si>
    <t>142716</t>
  </si>
  <si>
    <t>ANODE FOR SODIUM-ION AND POTASSIUM-ION BATTERIES</t>
  </si>
  <si>
    <t>14/656808</t>
  </si>
  <si>
    <t>142709</t>
  </si>
  <si>
    <t>SHARP LABORATORIES OF AMERICA - (SHARPLAB)</t>
  </si>
  <si>
    <t>BATTERY ANODE WITH PRELOADED METALS</t>
  </si>
  <si>
    <t>14/198663</t>
  </si>
  <si>
    <t>9537131</t>
  </si>
  <si>
    <t>142589</t>
  </si>
  <si>
    <t>HARD CARBON COMPOSITE FOR ALKALI METAL-ION BATTERIES</t>
  </si>
  <si>
    <t>14/731667</t>
  </si>
  <si>
    <t>9735444</t>
  </si>
  <si>
    <t>08/15/2017</t>
  </si>
  <si>
    <t>142590</t>
  </si>
  <si>
    <t>RECHARGEABLE METAL-ION BATTERY WITH NON-AQUEOUS HYBRID ION ELECTROLYTE</t>
  </si>
  <si>
    <t>14/271498</t>
  </si>
  <si>
    <t>05/07/2014</t>
  </si>
  <si>
    <t>9419278</t>
  </si>
  <si>
    <t>142712</t>
  </si>
  <si>
    <t xml:space="preserve">ELECTROLYTE ADDITIVES FOR TRANSITION METAL CYANOMETALLATE ELECTRODE STABILIZATION </t>
  </si>
  <si>
    <t>14/320352</t>
  </si>
  <si>
    <t>06/30/2014</t>
  </si>
  <si>
    <t xml:space="preserve"> 9620815</t>
  </si>
  <si>
    <t>04/11/2017</t>
  </si>
  <si>
    <t>142714</t>
  </si>
  <si>
    <t xml:space="preserve">METAL CYANOMETALLATE ELECTRODE WITH SHIELD STRUCTURE </t>
  </si>
  <si>
    <t>14/193501</t>
  </si>
  <si>
    <t>9406919</t>
  </si>
  <si>
    <t>142593</t>
  </si>
  <si>
    <t xml:space="preserve">Hexacyanoferrate Battery Electrode Modified with Ferrocyanides or Ferricyanides </t>
  </si>
  <si>
    <t>13/897492</t>
  </si>
  <si>
    <t>9099719</t>
  </si>
  <si>
    <t>142711</t>
  </si>
  <si>
    <t>METAL CYANOMETALLATE SYNTHESIS METHOD</t>
  </si>
  <si>
    <t>14/731607</t>
  </si>
  <si>
    <t>9745202</t>
  </si>
  <si>
    <t>08/29/2017</t>
  </si>
  <si>
    <t>142595</t>
  </si>
  <si>
    <t xml:space="preserve">Protected Transition Metal Hexacyanoferrate Battery Electrode </t>
  </si>
  <si>
    <t>13/872673</t>
  </si>
  <si>
    <t>142596</t>
  </si>
  <si>
    <t xml:space="preserve">Metal-Doped Transition Metal Hexacyanoferrate (TMHCF) Battery Electrode </t>
  </si>
  <si>
    <t>13/907892</t>
  </si>
  <si>
    <t>06/01/2013</t>
  </si>
  <si>
    <t>8968925</t>
  </si>
  <si>
    <t>142702</t>
  </si>
  <si>
    <t>CYANOMETALLATE CATHODE BATTERY AND METHOD FOR FABRICATION</t>
  </si>
  <si>
    <t>14/174171</t>
  </si>
  <si>
    <t>9455431</t>
  </si>
  <si>
    <t>142705</t>
  </si>
  <si>
    <t xml:space="preserve">NASICON-Polymer Electrolyte Structure </t>
  </si>
  <si>
    <t>14/198755</t>
  </si>
  <si>
    <t>142701</t>
  </si>
  <si>
    <t xml:space="preserve">REACTIVE SEPARATOR FOR A METAL-ION BATTERY </t>
  </si>
  <si>
    <t>03/31/2014</t>
  </si>
  <si>
    <t>142722</t>
  </si>
  <si>
    <t>TRANSITION METAL CYANOMETALLATE CATHODE BATTERY WITH METAL PLATING ANODE</t>
  </si>
  <si>
    <t>14/668788</t>
  </si>
  <si>
    <t>09/29/2017</t>
  </si>
  <si>
    <t>9531002</t>
  </si>
  <si>
    <t>142699</t>
  </si>
  <si>
    <t>METHOD FOR THE SYNTHESIS OF METAL CYANOMETALLATES</t>
  </si>
  <si>
    <t>14/289746</t>
  </si>
  <si>
    <t>9484578</t>
  </si>
  <si>
    <t>142713</t>
  </si>
  <si>
    <t xml:space="preserve">FABRICATION METHOD FOR METAL BATTERY ELECTRODE WITH PYROLYZED COATING </t>
  </si>
  <si>
    <t>14/193782</t>
  </si>
  <si>
    <t>04/18/2017</t>
  </si>
  <si>
    <t>142706</t>
  </si>
  <si>
    <t>BATTERY WITH AN ANODE PRELOADED WITH CONSUMABLE METALS</t>
  </si>
  <si>
    <t>14/198702</t>
  </si>
  <si>
    <t>9583751</t>
  </si>
  <si>
    <t>142587</t>
  </si>
  <si>
    <t xml:space="preserve">SUPERCAPACITOR WITH METAL CYANOMETALLATE ANODE AND CARBONACEOUS CATHODE </t>
  </si>
  <si>
    <t>14/274686</t>
  </si>
  <si>
    <t>05/10/2014</t>
  </si>
  <si>
    <t>9443664</t>
  </si>
  <si>
    <t>125769</t>
  </si>
  <si>
    <t>DE-AR0000298</t>
  </si>
  <si>
    <t>LOW VOLTAGE DROP, CROSS-FIELD, GAS SWITCH AND METHOD OF OPERATION</t>
  </si>
  <si>
    <t>15/860225</t>
  </si>
  <si>
    <t>125578</t>
  </si>
  <si>
    <t>A GAS RESERVOIR AND A METHOD TO SUPPLY GAS TO PLASMA TUBES</t>
  </si>
  <si>
    <t>14/072911</t>
  </si>
  <si>
    <t>11/06/2013</t>
  </si>
  <si>
    <t>9557009</t>
  </si>
  <si>
    <t>143147</t>
  </si>
  <si>
    <t>COLD CATHODE SWITCHING DEVICE AND CONVERTER</t>
  </si>
  <si>
    <t>14/776758</t>
  </si>
  <si>
    <t>143188</t>
  </si>
  <si>
    <t xml:space="preserve">LOW SPUTTERING, CROSS-FIELD, GAS SWITCH METHOD OF OPERATION </t>
  </si>
  <si>
    <t>15/933602</t>
  </si>
  <si>
    <t>03/23/2018</t>
  </si>
  <si>
    <t>143147-pct</t>
  </si>
  <si>
    <t xml:space="preserve">RELIABLE HIGH-POWER GAS SWITCH WITH LIQUID CATHODE </t>
  </si>
  <si>
    <t>PCT/US2013/041987</t>
  </si>
  <si>
    <t>125675</t>
  </si>
  <si>
    <t xml:space="preserve">SYSTEMS AND METHODS FOR REGULATING PRESSURE OF A FILLED-IN GAS </t>
  </si>
  <si>
    <t>14/072889</t>
  </si>
  <si>
    <t>9330876</t>
  </si>
  <si>
    <t>05/03/2016</t>
  </si>
  <si>
    <t>143187</t>
  </si>
  <si>
    <t>VOLTAGE SOURCE HIGH VOLTAGE DIRECT CURRENT TRANSMISSION SYSTEMS WITH GAS TUBE SWITCH</t>
  </si>
  <si>
    <t>15/891539</t>
  </si>
  <si>
    <t>02/08/2018</t>
  </si>
  <si>
    <t>08/12/2015</t>
  </si>
  <si>
    <t>142648</t>
  </si>
  <si>
    <t>GAS TUBE-SWITCHED FLEXIBLE ALTERNATING CURRENT TRANSMISSION SYSTEM</t>
  </si>
  <si>
    <t>15/199367</t>
  </si>
  <si>
    <t>142643</t>
  </si>
  <si>
    <t>GAS TUBE SWITCH HIGH VOLTAGE DC POWER CONVERTER</t>
  </si>
  <si>
    <t>15/136375</t>
  </si>
  <si>
    <t>125908</t>
  </si>
  <si>
    <t>VOLTAGE SOURCE HIGH VOLTAGE DIRECT CURRENT TRANSMISSION SYSTEMS WITH GAS TUBE SWITCH_x000D_</t>
  </si>
  <si>
    <t>14/824752</t>
  </si>
  <si>
    <t>9520801</t>
  </si>
  <si>
    <t>12/13/2016</t>
  </si>
  <si>
    <t>125673</t>
  </si>
  <si>
    <t>GAS TUBE BASED CURRENT SOURCE HIGH VOLTAGE DC TRANSMISSION SYSTEM</t>
  </si>
  <si>
    <t>14/824657</t>
  </si>
  <si>
    <t>12/19/2014</t>
  </si>
  <si>
    <t>143478</t>
  </si>
  <si>
    <t>HIGH VOLTAGE PLASMA TUBE GRID CONTROL ELECTRONICS</t>
  </si>
  <si>
    <t>07/30/2018</t>
  </si>
  <si>
    <t>143237</t>
  </si>
  <si>
    <t>TRIPLE POINT PLUS GA RECYCLING SYSTEM FOR A GRID SWITCH WITH A LIQUID METAL (e.g. GA)</t>
  </si>
  <si>
    <t>143090</t>
  </si>
  <si>
    <t>DE-AR0000300</t>
  </si>
  <si>
    <t>ALVEO ENERGY - (ALVE)</t>
  </si>
  <si>
    <t>SURFACE-MODIFIED CYANIDE-BASED TRANSITION METAL COMPOUNDS</t>
  </si>
  <si>
    <t>14/880010</t>
  </si>
  <si>
    <t>10/09/2015</t>
  </si>
  <si>
    <t>9359219</t>
  </si>
  <si>
    <t>14/755607</t>
  </si>
  <si>
    <t>125202</t>
  </si>
  <si>
    <t>HOMOMETALLIC CYANIDE-CONTAINING INORGANIC POLYMERS AND RELATED COMPOUNDS</t>
  </si>
  <si>
    <t>14/523825</t>
  </si>
  <si>
    <t>10/24/2014</t>
  </si>
  <si>
    <t>9099740</t>
  </si>
  <si>
    <t>125203</t>
  </si>
  <si>
    <t>STABILIZATION OF BATTERY ELECTRODES</t>
  </si>
  <si>
    <t>13/892777</t>
  </si>
  <si>
    <t>05/13/2013</t>
  </si>
  <si>
    <t>9130234</t>
  </si>
  <si>
    <t>09/08/2015</t>
  </si>
  <si>
    <t>125204</t>
  </si>
  <si>
    <t xml:space="preserve">STABILIZAZTION OF BATTERY ELECTRODES USING POLYMER COATINGS </t>
  </si>
  <si>
    <t>13/892982</t>
  </si>
  <si>
    <t>125205</t>
  </si>
  <si>
    <t xml:space="preserve">PRUSSIAN BLUE ANALOGUE ANODES FOR AQUEOUS ELECROLYTE BATTERIES </t>
  </si>
  <si>
    <t>13/904874</t>
  </si>
  <si>
    <t>125234</t>
  </si>
  <si>
    <t xml:space="preserve">STABILIZATION OF BATTERY ELECTRODES USING PRUSSIAN BLUE ANALOGUE COATINGS </t>
  </si>
  <si>
    <t>13/893174</t>
  </si>
  <si>
    <t>9123966</t>
  </si>
  <si>
    <t>09/01/2015</t>
  </si>
  <si>
    <t>125235</t>
  </si>
  <si>
    <t>COSOLVENT ELECTROLYTES FOR ELECTROCHEMICAL DEVICES</t>
  </si>
  <si>
    <t>14/231571</t>
  </si>
  <si>
    <t>9287589</t>
  </si>
  <si>
    <t>125949</t>
  </si>
  <si>
    <t>SYNTHETIC METHODS FOR TRANSITION METAL COORDINATION COMPOUNDS</t>
  </si>
  <si>
    <t>15085881</t>
  </si>
  <si>
    <t>125948</t>
  </si>
  <si>
    <t>9299981</t>
  </si>
  <si>
    <t>125950</t>
  </si>
  <si>
    <t>OPEN FRAMEWORK ELECTRODE BATTERIES</t>
  </si>
  <si>
    <t>142810</t>
  </si>
  <si>
    <t>DE-AR0000303</t>
  </si>
  <si>
    <t>EXTERNAL FIELD ALIGNED GRAPHENE SHEETS PARTICULATE DEPOSIT FILMS/ELECTRODES</t>
  </si>
  <si>
    <t>143103</t>
  </si>
  <si>
    <t>MOLECULAR ENGINEERING OF AROMATIC AMINE SPACERS FOR HIGH-PERFORMANCE GRAPHENE-BASED SUPERCAPACITORS</t>
  </si>
  <si>
    <t>02/22/2016</t>
  </si>
  <si>
    <t>125368</t>
  </si>
  <si>
    <t>DE-AR0000304</t>
  </si>
  <si>
    <t>RENSSELAER POLYTECHNIC INST - (CN0312)</t>
  </si>
  <si>
    <t>METHOD OF SELECTIVE ETCHING OF HEAVILY DOPED WIDE-BANDGAP SEMINCONDUCTOR SUBSTRATES USING ELECTRO CHEMICAL ETCHING PROCESS FOR DIFFERENT DEVICE APPLICATIONS</t>
  </si>
  <si>
    <t>61/937736</t>
  </si>
  <si>
    <t>125613</t>
  </si>
  <si>
    <t>DE-AR0000305</t>
  </si>
  <si>
    <t>INTEGRAL CONSULTING INC. - (INTEGRALCONSULTINGINC)</t>
  </si>
  <si>
    <t>COST EFFECTIVE REAL TIME WAVE ASSESSMENT TOOL</t>
  </si>
  <si>
    <t>14/338259</t>
  </si>
  <si>
    <t>125614</t>
  </si>
  <si>
    <t>DE-AR0000307</t>
  </si>
  <si>
    <t>METHOD AND SYSTEM FOR LOW VOLTAGE ELECTROCHEMICAL GAS TO LIQUIDS PRODUCTION</t>
  </si>
  <si>
    <t>125265</t>
  </si>
  <si>
    <t>NON-FARADAIC ELECTROCHEMICAL PROMOTION OF CATALYTIC METHANE REFORMING FOR METHANOL PRODUCTION AND OTHERS</t>
  </si>
  <si>
    <t>14/076445</t>
  </si>
  <si>
    <t>11/11/2013</t>
  </si>
  <si>
    <t>9499917</t>
  </si>
  <si>
    <t>11/22/2016</t>
  </si>
  <si>
    <t>125222-CIP</t>
  </si>
  <si>
    <t>DE-AR0000308</t>
  </si>
  <si>
    <t>STRATEGIES FOR REDUCTION OF PROXIMITY EFFECT IN MOTOR WINDING</t>
  </si>
  <si>
    <t>14/573454</t>
  </si>
  <si>
    <t>125191</t>
  </si>
  <si>
    <t>MANIFOLD STRAND CROSS SECTIONS FOR HIGH FILL-FACTOR ELECTRIC MACHINE WINDINGS</t>
  </si>
  <si>
    <t>14/450520</t>
  </si>
  <si>
    <t>142898</t>
  </si>
  <si>
    <t>INTEGRATED HEAT DISSIPATIVE STRUCTURE FOR ADDITIVELY MANUFACTURED ELECTRIC MACHINES</t>
  </si>
  <si>
    <t>14/722347</t>
  </si>
  <si>
    <t>05/27/2015</t>
  </si>
  <si>
    <t>142899</t>
  </si>
  <si>
    <t>END WINDING DESIGN FOR HIGH EFFICIENCY, HIGH POWER DENSITY ELECTRIC  MACHINES</t>
  </si>
  <si>
    <t>142986</t>
  </si>
  <si>
    <t>METHOD ENABLING INFILTRATION OF CONDUCTOR MATERIAL INTO A DIELECTRIC  INSULATOR PRE-FORM</t>
  </si>
  <si>
    <t>04/14/2016</t>
  </si>
  <si>
    <t>125869</t>
  </si>
  <si>
    <t>DELAVAN, INC. - (DEL)</t>
  </si>
  <si>
    <t>14/936428</t>
  </si>
  <si>
    <t>11/09/2015</t>
  </si>
  <si>
    <t>125222</t>
  </si>
  <si>
    <t>WINDING DESIGN FOR LOW AC RESISTANCE</t>
  </si>
  <si>
    <t>14/325866</t>
  </si>
  <si>
    <t>07/08/2014</t>
  </si>
  <si>
    <t>142901</t>
  </si>
  <si>
    <t>SLOT TOPOLOGY CONFORMING RADIALLY STACKED CONDUCTING COILS FOR  HIGH FILL-FACTOR ELECGTRIC MACHINE WINDINGS</t>
  </si>
  <si>
    <t>125201</t>
  </si>
  <si>
    <t>METHOD OF PROVIDING A CONDUCTOR BUNDLE CORE FOR AN INDUCTION MOTOR STATOR USING A TEMPLATE PROCESSING TECHNIQUE</t>
  </si>
  <si>
    <t>125218</t>
  </si>
  <si>
    <t>ELECTRIC MACHINE COMPRISED OF JOINED COMPONENTS WITH INTEGRAL CONDUCTORS</t>
  </si>
  <si>
    <t>125477</t>
  </si>
  <si>
    <t>POWDER SPHEROIDIZING VIA FLUIDIZED BED</t>
  </si>
  <si>
    <t>14/911211</t>
  </si>
  <si>
    <t>07/30/2014</t>
  </si>
  <si>
    <t>125478</t>
  </si>
  <si>
    <t>ELECTRIC MACHINE END TURNS USING CO-FIRED LAMINATED LAYERS</t>
  </si>
  <si>
    <t>125651</t>
  </si>
  <si>
    <t>TREATMENT AND COATING OF COPPER POWDER FOR ADDITIVE MANUFACTURING</t>
  </si>
  <si>
    <t>14/822713</t>
  </si>
  <si>
    <t>08/10/2015</t>
  </si>
  <si>
    <t>125638</t>
  </si>
  <si>
    <t>CARBONACEOUS COATING OF FEEDSTOCK POWDER FOR ADDITIVELY MANUFACTURED PARTS</t>
  </si>
  <si>
    <t>14/822731</t>
  </si>
  <si>
    <t>125879</t>
  </si>
  <si>
    <t>CUSTOM ELECTRIC STEEL COMPONENTS VIA ADDITIVE MANUFACTURING</t>
  </si>
  <si>
    <t>15/349643</t>
  </si>
  <si>
    <t>11/11/2016</t>
  </si>
  <si>
    <t>125882</t>
  </si>
  <si>
    <t>ELECTRIC MACHINE COMPONENTS MADE BY MODIFIED INVESTMENT CASTING</t>
  </si>
  <si>
    <t>125466</t>
  </si>
  <si>
    <t>DE-AR0000309</t>
  </si>
  <si>
    <t>UNIVERSITY OF NORTH DAKOTA - (UNIVEOFNOR)</t>
  </si>
  <si>
    <t>POLYMER FILM HEAT EXCHANGER WITH INTEGRAL FLUID DISTRIBUTION MANIFOLDS</t>
  </si>
  <si>
    <t>14/600927</t>
  </si>
  <si>
    <t>143095</t>
  </si>
  <si>
    <t>DE-AR0000312</t>
  </si>
  <si>
    <t>CORNELL UNIVERSITY - (CORNELL UN)</t>
  </si>
  <si>
    <t>ULTRACOMPACT OPTOFLUIDIC PHOTOBIOREACTOR SYSTEM INCORPORATING WAVEGUIDES AND POROUS FIBERS</t>
  </si>
  <si>
    <t>14/770246</t>
  </si>
  <si>
    <t>144960</t>
  </si>
  <si>
    <t>PROTOBIOREACTOR APPARATUS, METHOD AND APPLICATION</t>
  </si>
  <si>
    <t>61/776083</t>
  </si>
  <si>
    <t>142853</t>
  </si>
  <si>
    <t>DE-AR0000313</t>
  </si>
  <si>
    <t>KYMA TECHNOLOGIES, INC. - (KYMA TECH)</t>
  </si>
  <si>
    <t>PROMOTER SCREEING VECTOR</t>
  </si>
  <si>
    <t>142852</t>
  </si>
  <si>
    <t>ARPA-E REBOTIC PLATFORM FOR PROTOPLASTS</t>
  </si>
  <si>
    <t>142647</t>
  </si>
  <si>
    <t>COLORADO SCHOOL OF MINES - (COLORADO MINES)</t>
  </si>
  <si>
    <t>SYNTHETIC REPRESSION OF GENE EXPRESSION IN PLANTS</t>
  </si>
  <si>
    <t>15/787562</t>
  </si>
  <si>
    <t>125756</t>
  </si>
  <si>
    <t>TRANSFORMATION AND REGENERATION OF IMPROVED SWITCHGRASS VARIETIES IN A LIQUID CULTURE SYSTEM FOR EFFICIENT PRODUCTION, RAPID PHENOTYPING, AND ENABLEMENT OF APPLICATION OF SYNTHETICBIOLOGY TOOLS AND SCREENING</t>
  </si>
  <si>
    <t>142815</t>
  </si>
  <si>
    <t>DE-AR0000316</t>
  </si>
  <si>
    <t>SPARK THERMIONICS, INC. - (SPARK)</t>
  </si>
  <si>
    <t>PASSIVELY COOLING WATER BELOW THE AMBIENT TEMPERATURE DURING THE DAY VIA RADIATIVE SKY COOLING</t>
  </si>
  <si>
    <t>125563</t>
  </si>
  <si>
    <t>RADIATIVE COLING OF SOLAR CELLS</t>
  </si>
  <si>
    <t>125303</t>
  </si>
  <si>
    <t>COLOR PRESERVING DAYTIME RADIATIVE COOLING</t>
  </si>
  <si>
    <t>14/540935</t>
  </si>
  <si>
    <t>03/20/2018</t>
  </si>
  <si>
    <t>10/25/2013</t>
  </si>
  <si>
    <t>142793</t>
  </si>
  <si>
    <t>DE-AR0000318</t>
  </si>
  <si>
    <t>BROWN UNIVERSITY - (BROWN UNIV)</t>
  </si>
  <si>
    <t>FRAMEWORK AND LIMITS ON POWER DENSITY IN WIND AND HYDROKINETIC DEVICE ARRAYS USING SYSTEMATIC FLOW MANIPULATION</t>
  </si>
  <si>
    <t>143009</t>
  </si>
  <si>
    <t>OPTIMAL PLACEMENT OF HYDROFOILS TO CAPTURE CONSTRUCTIVE INTERFACE</t>
  </si>
  <si>
    <t>125579</t>
  </si>
  <si>
    <t>KINETIC ENERGY HARVESTING USING CYBER-PHYSICAL SYSTEMS</t>
  </si>
  <si>
    <t>14/160337</t>
  </si>
  <si>
    <t>02/17/2014</t>
  </si>
  <si>
    <t>125559</t>
  </si>
  <si>
    <t>DE-AR0000319</t>
  </si>
  <si>
    <t>SUNFOLDING, INC. - (PRINCETON)</t>
  </si>
  <si>
    <t>BATTERIES INCORPORATING GRAPHENE MEMBRANES FOR EXTENDING THE CYCLE-LIFE OF LITHIUM-ION BATTERIES</t>
  </si>
  <si>
    <t>14/739184</t>
  </si>
  <si>
    <t>125735</t>
  </si>
  <si>
    <t>PRINCETON UNIVERSIT - (CN0536)</t>
  </si>
  <si>
    <t>ELECTROHYDRODYNAMIC DEPOSITION (EHD) OF GRAPHENE, GRAPHENE OXIDE, REDUCED GRAPHENE OXIDE, AND FUNCTIONALIZED GRAPHENE SHEETS</t>
  </si>
  <si>
    <t>16/086882</t>
  </si>
  <si>
    <t>09/20/2018</t>
  </si>
  <si>
    <t>125700</t>
  </si>
  <si>
    <t>ELECTRODES INCORPORATING COMPOSITIES OF GRAPHENE AND SELENIUM-SULFUR COMPOUNDS FOR IMPROVED RECHARGEABLE LITHIUM BATTERIES</t>
  </si>
  <si>
    <t>15/055505</t>
  </si>
  <si>
    <t>02/26/2016</t>
  </si>
  <si>
    <t>142753</t>
  </si>
  <si>
    <t>DE-AR0000321</t>
  </si>
  <si>
    <t>ENGINE REFORMER SYSTEMS FOR LOWER COST, SMALLER SCALE MANUFACTURING OF LIQUID FUELS</t>
  </si>
  <si>
    <t>125360</t>
  </si>
  <si>
    <t>DE-AR0000323</t>
  </si>
  <si>
    <t>UW-MADISON - (UW-MADISON)</t>
  </si>
  <si>
    <t>MEDICAL ISOTOPE PRODUCTION USING A URANIUM SALT REACTOR</t>
  </si>
  <si>
    <t>142563</t>
  </si>
  <si>
    <t>DE-AR0000324</t>
  </si>
  <si>
    <t>CO-EXTRUDED CONFORMAL BATTERY SEPARATOR AND ELECTRODE</t>
  </si>
  <si>
    <t>142695</t>
  </si>
  <si>
    <t>HIGH PERFORMANCE, TEMPERATURE RESISTANT, PRINTABLE SEPARATOR</t>
  </si>
  <si>
    <t>02/11/2015</t>
  </si>
  <si>
    <t>142694</t>
  </si>
  <si>
    <t>125617</t>
  </si>
  <si>
    <t>125195</t>
  </si>
  <si>
    <t>DE-AR0000325</t>
  </si>
  <si>
    <t>ELECTRON ENERGY CORP. - (ELEENCO)</t>
  </si>
  <si>
    <t>MANUFACTURING PERMANENT MAGNET USING FRICTION CONSOLIDATION METHOD</t>
  </si>
  <si>
    <t>142823</t>
  </si>
  <si>
    <t>DE-AR0000326</t>
  </si>
  <si>
    <t>BOEHMITE-BASED COATING FOR CONTROLLING WETTING PROPERTIES</t>
  </si>
  <si>
    <t>14/414207</t>
  </si>
  <si>
    <t>142824</t>
  </si>
  <si>
    <t>COLLOIDAL TEMPLATING METHODS</t>
  </si>
  <si>
    <t>14/414684</t>
  </si>
  <si>
    <t>125408-PCT</t>
  </si>
  <si>
    <t>ROBUST THERMALLY HEALABLE SLIPPERY COATINGS ON INDUSTRIAL METALS, GLASS, AND PLASTICS</t>
  </si>
  <si>
    <t>PCT/US2015/025422</t>
  </si>
  <si>
    <t>15/302315</t>
  </si>
  <si>
    <t>10/06/2016</t>
  </si>
  <si>
    <t>125408</t>
  </si>
  <si>
    <t>125763</t>
  </si>
  <si>
    <t>125752</t>
  </si>
  <si>
    <t>SELF-REPORTING SLIPS AND METHODS FOR PRODUCTION</t>
  </si>
  <si>
    <t>125768</t>
  </si>
  <si>
    <t xml:space="preserve">DESIGNS AND METHODS TO PRODUCE SLIPPERY SURFACES WITH HIERARCHICAL ASYMMETRIC STRUCTURES FOR ENHANCED PHASE </t>
  </si>
  <si>
    <t>15/522680</t>
  </si>
  <si>
    <t>125709</t>
  </si>
  <si>
    <t>NEW APPROACH FOR LOW ENERGY, ANTIFOULING AND DEGASSING MEMBRANE AND MICROFLUIDIC APPLICATIONS</t>
  </si>
  <si>
    <t>142825</t>
  </si>
  <si>
    <t>SELF-CLEANING AND SELF-REPLENISHING SLIPPERY LIQUID INFUSED OPTICAL COATINGS</t>
  </si>
  <si>
    <t>14/414668</t>
  </si>
  <si>
    <t>125765</t>
  </si>
  <si>
    <t>142822</t>
  </si>
  <si>
    <t>SWELLING SELF-LUBRICATED POLYMER SLIPS</t>
  </si>
  <si>
    <t>125766</t>
  </si>
  <si>
    <t>142631</t>
  </si>
  <si>
    <t>SLIPPERY ROUGH SURFACES</t>
  </si>
  <si>
    <t>15/568639</t>
  </si>
  <si>
    <t>10/23/2017</t>
  </si>
  <si>
    <t>14/414291</t>
  </si>
  <si>
    <t>142631-PCT</t>
  </si>
  <si>
    <t>PCT/US2016/028959</t>
  </si>
  <si>
    <t>143420</t>
  </si>
  <si>
    <t>15/549991</t>
  </si>
  <si>
    <t>08/09/2017</t>
  </si>
  <si>
    <t>143420-PCT</t>
  </si>
  <si>
    <t>PCT/US2016/017167</t>
  </si>
  <si>
    <t>162823</t>
  </si>
  <si>
    <t>DE-AR0000327</t>
  </si>
  <si>
    <t>REDOX CATALYSTS FOR CHEMICAL LOOPING - BASED OXIDATIVE DEHYDROGENATION OF LIGHT OLEFINS AND SELECTIVE HYDROGEN</t>
  </si>
  <si>
    <t>143211</t>
  </si>
  <si>
    <t>ETHYLENE YIELD IN OXIDATIVE DEHYDROGENATION OF ETHANE AND ETHANE CONTAINING HYDROCARBON MIXTURES</t>
  </si>
  <si>
    <t>15/422743</t>
  </si>
  <si>
    <t>02/02/2017</t>
  </si>
  <si>
    <t>125396</t>
  </si>
  <si>
    <t>BIO2 ELECTRIC, LLC - (BIO2 )</t>
  </si>
  <si>
    <t>IMPROVED ELECTROGENERATIVE PROCESS</t>
  </si>
  <si>
    <t>61/927220</t>
  </si>
  <si>
    <t>143247</t>
  </si>
  <si>
    <t>OXYGEN TRANSFER AGENTS FOR THE OXIDATIVE DEHYDROGENATION OF HYDROCARBONS AND SYSTEMS AND PROCESSES USING THE SAME</t>
  </si>
  <si>
    <t>15/514428</t>
  </si>
  <si>
    <t>09/23/2015</t>
  </si>
  <si>
    <t>11/27/2018</t>
  </si>
  <si>
    <t>143247-PCT</t>
  </si>
  <si>
    <t>PCT/US2017/013637</t>
  </si>
  <si>
    <t>03/24/2017</t>
  </si>
  <si>
    <t>142620</t>
  </si>
  <si>
    <t>SOLID AGENTS FOR THE OXIDATIVE DEHYDROGENATION OF HYDROCARBONS</t>
  </si>
  <si>
    <t>125547</t>
  </si>
  <si>
    <t>143247-PCT2</t>
  </si>
  <si>
    <t>143247-PCT3</t>
  </si>
  <si>
    <t>PCT/WO2016/049144</t>
  </si>
  <si>
    <t>03/24/2016</t>
  </si>
  <si>
    <t>143231</t>
  </si>
  <si>
    <t>ENHANCED OXYGEN TRANSFER AGENT SYSTEMS FOR OXIDATIVE DEHYDROGENTATION OF HYDROCARBONS AND METHODS OF USING THE</t>
  </si>
  <si>
    <t>125186</t>
  </si>
  <si>
    <t>DE-AR0000328</t>
  </si>
  <si>
    <t>CERAMATEC INC. - (CERMAT)</t>
  </si>
  <si>
    <t>SYSTEM AND PROCESS FOR COVERTING NATURAL GAS INTO SATURATED, CYCLIC HYDROCARBONS   [MAY BE PROJECT TITLE- METHOD AND APPARATUS FOR PRODUCTION OF CYCLIC HYDROCARBONS]</t>
  </si>
  <si>
    <t>14/248994</t>
  </si>
  <si>
    <t>125463</t>
  </si>
  <si>
    <t>DE-AR0000329</t>
  </si>
  <si>
    <t>UNIVERSITY OF WISCONSIN - MADISON - (UWIM)</t>
  </si>
  <si>
    <t>PLASMON-ENHANCED CO2 REDUCTION PROCESS</t>
  </si>
  <si>
    <t>14/248729</t>
  </si>
  <si>
    <t>125391</t>
  </si>
  <si>
    <t>PLASMON-ENHANCED WATER SPLITTING USING PHOTOELECTROCHEMICAL CELL USING AU/TIO2 BASED ELECTRODE</t>
  </si>
  <si>
    <t>143240</t>
  </si>
  <si>
    <t>DE-AR0000330</t>
  </si>
  <si>
    <t>SUNFOLDING PNEUMATIC ACTUATION CIRCUIT</t>
  </si>
  <si>
    <t>15/955506</t>
  </si>
  <si>
    <t>04/17/2018</t>
  </si>
  <si>
    <t>143241</t>
  </si>
  <si>
    <t>SUNFOLDING PNEUMATIC ACTUATION SYSTEM</t>
  </si>
  <si>
    <t>15/955044</t>
  </si>
  <si>
    <t>143242</t>
  </si>
  <si>
    <t>SUNFOLDING SOLAR TRACKER CONTROL SYSTEM</t>
  </si>
  <si>
    <t xml:space="preserve">15/955519 </t>
  </si>
  <si>
    <t>143243</t>
  </si>
  <si>
    <t>FLUIDIC ACTUATOR SYSTEM AND METHOD</t>
  </si>
  <si>
    <t>15/012715</t>
  </si>
  <si>
    <t>02/01/2016</t>
  </si>
  <si>
    <t>143243-PCT</t>
  </si>
  <si>
    <t>PCT/US2016/015857</t>
  </si>
  <si>
    <t>01/30/2016</t>
  </si>
  <si>
    <t>143244</t>
  </si>
  <si>
    <t>CSP SYSTEM UTILIZING SUNFOLDING ACTUATION</t>
  </si>
  <si>
    <t>14/064070</t>
  </si>
  <si>
    <t>9624911</t>
  </si>
  <si>
    <t>142804</t>
  </si>
  <si>
    <t>DE-AR0000331</t>
  </si>
  <si>
    <t>INDOOR REALITY, INC. - (INDOOR)</t>
  </si>
  <si>
    <t>METHOD FOR GENERATING AN ORDERED POINT CLOUD USING MOBILE SCANNING DATA</t>
  </si>
  <si>
    <t>15/820382</t>
  </si>
  <si>
    <t>11/01/2017</t>
  </si>
  <si>
    <t>142805</t>
  </si>
  <si>
    <t>METHODS FOR INDOOR 3D SURFACE RECONSTRUCTION AND 2D FLOOR PLAN RECOVERY UTILIZING SEGMENTATIONS OF BUILDING AND OBJECT ELEMENTS</t>
  </si>
  <si>
    <t>14/947869</t>
  </si>
  <si>
    <t>11/20/2015</t>
  </si>
  <si>
    <t>143027</t>
  </si>
  <si>
    <t>DE-AR0000332</t>
  </si>
  <si>
    <t>GLINT PHOTONICS, INC. - (GLINTPO)</t>
  </si>
  <si>
    <t>ASYMMETRIC LENSES FOR SOLAR CONCENTRATORS</t>
  </si>
  <si>
    <t>142972</t>
  </si>
  <si>
    <t>CUSTOMIZABLE LIGHTFIELD LUMINAIRE</t>
  </si>
  <si>
    <t>62/457819</t>
  </si>
  <si>
    <t>02/10/2017</t>
  </si>
  <si>
    <t>09/26/2016</t>
  </si>
  <si>
    <t>142972-POV2</t>
  </si>
  <si>
    <t>ADJUSTABLE-BEAM  LUMINAIRES</t>
  </si>
  <si>
    <t>62/399911</t>
  </si>
  <si>
    <t>142972-POV3</t>
  </si>
  <si>
    <t>OPTIMIZED EXTRACTION FEATURES FOR LIGHT GUIDES</t>
  </si>
  <si>
    <t>62/452381</t>
  </si>
  <si>
    <t>142972-POV4</t>
  </si>
  <si>
    <t>CONFIGURABLE LUMINAIRES</t>
  </si>
  <si>
    <t>62/462935</t>
  </si>
  <si>
    <t>02/24/2017</t>
  </si>
  <si>
    <t>DE-AR0000333</t>
  </si>
  <si>
    <t xml:space="preserve">KIRIGAMI-WRAP ASSEMBLED MICRO-OPTICAL SPECTRUM-SPLITTING PHOTOVOLTAIC MODULE </t>
  </si>
  <si>
    <t>143301</t>
  </si>
  <si>
    <t>DE-AR0000334</t>
  </si>
  <si>
    <t>HELIOTROPE TECHNOLOGIES, INC. - (HELIO)</t>
  </si>
  <si>
    <t>ELECTROCHROMIC DEVICE CONTAINING METAL OXIDE NANOPARTICLES AND ULTRAVIOLET BLOCKING MATERIALS</t>
  </si>
  <si>
    <t>14/882169</t>
  </si>
  <si>
    <t>10/13/2015</t>
  </si>
  <si>
    <t>20160139476</t>
  </si>
  <si>
    <t>125693</t>
  </si>
  <si>
    <t>DE-AR0000336</t>
  </si>
  <si>
    <t>SINGLE-BIASED ALL-OPTICAL EMITTER TURN-OFF THYRISTOR (ETO) CONFIGURATION ELIMINATING THE TURN-ON LEAKAGE CURRENT FOR FAST AND RELIABLE SWITCHING ACTION</t>
  </si>
  <si>
    <t>125652</t>
  </si>
  <si>
    <t>DE-AR0000337</t>
  </si>
  <si>
    <t>TAI-YANG RESEARCH COMPANY - (TAI-YANGRESCHCO)</t>
  </si>
  <si>
    <t>SUPERCONDUCTOR CABLE WITH CLOCKING FEATURE FOR MAGNETIC ENERGY STORAGE</t>
  </si>
  <si>
    <t>61/818994</t>
  </si>
  <si>
    <t>125761</t>
  </si>
  <si>
    <t>A NEW AQUEOUS ORGANIC REDOX FLOW BATTERY WITH "BI-FUYNCTIONAL" REDOX ACTIVE MATERIALS</t>
  </si>
  <si>
    <t>142947</t>
  </si>
  <si>
    <t>DE-AR0000338</t>
  </si>
  <si>
    <t>DIRECT SYNTHESIS OF HIGH-ASPECT RATIO ZEOLITE NANOSHEETS</t>
  </si>
  <si>
    <t>62/411987</t>
  </si>
  <si>
    <t>10/24/2016</t>
  </si>
  <si>
    <t>125597</t>
  </si>
  <si>
    <t>SILICA SUPPORT STRUCTURE FOR A ZEOLITE MEMBRANE</t>
  </si>
  <si>
    <t>14/327720</t>
  </si>
  <si>
    <t>07/10/2014</t>
  </si>
  <si>
    <t>142628</t>
  </si>
  <si>
    <t>PORE OPENED ZEOLITE NANOSHEETS AND THEIR SUSPENSIONS AND METHODS AND USES RELATED THERETO</t>
  </si>
  <si>
    <t>15/386217</t>
  </si>
  <si>
    <t>142821</t>
  </si>
  <si>
    <t>DE-AR0000339</t>
  </si>
  <si>
    <t>ALL CERAMIC PUMP AND VALVE FOR CIRCULATION OF HIGH TEMPERATURE LIQUID METALS</t>
  </si>
  <si>
    <t>15/677801</t>
  </si>
  <si>
    <t>125433</t>
  </si>
  <si>
    <t>THERMOSPHOTOVOLTAICS WITH STORAGE</t>
  </si>
  <si>
    <t>14/912219</t>
  </si>
  <si>
    <t>02/16/2016</t>
  </si>
  <si>
    <t>125433-PCT</t>
  </si>
  <si>
    <t>PCT/US2014/051064</t>
  </si>
  <si>
    <t>08/14/2014</t>
  </si>
  <si>
    <t>142809-PCT</t>
  </si>
  <si>
    <t>NOVEL INTERMEDIATE-TEMPERATURE FUEL CELL TAILORED FOR EFFICIENT UTILIZATION OF METHANE</t>
  </si>
  <si>
    <t>PC/US2017-042829</t>
  </si>
  <si>
    <t>07/19/2017</t>
  </si>
  <si>
    <t>142808</t>
  </si>
  <si>
    <t>METHANE CRACKING USING A HIGH TEMPERATURE LIQUID TIN BASED REACTOR/HEAT EXCHANGER</t>
  </si>
  <si>
    <t>15/799280</t>
  </si>
  <si>
    <t>142809</t>
  </si>
  <si>
    <t>16/318246</t>
  </si>
  <si>
    <t>01/16/2019</t>
  </si>
  <si>
    <t>144339</t>
  </si>
  <si>
    <t>PURDUE UNIVERSITY - (PURDUE UNI)</t>
  </si>
  <si>
    <t>METHOD FOR FABRICATING MECHANICALLY-ROBUST, THERMALLY-ROBUST, AND CHEMICALLY-ROBUST CERAMICS AND CERAMIC COMPOSITE MATERIALS FOR USE IN DEVICES IN HIGH-TEMPERATURE SYSTEMS, AND THE CERAMICS AND CERAMIC COMPOSTIE MATERIALS AND DEVICES MADE THEREBY</t>
  </si>
  <si>
    <t>62/324063</t>
  </si>
  <si>
    <t>144339-PCT</t>
  </si>
  <si>
    <t>METHODS FOR MANUFACTURING CERAMIC AND CERAMIC COMPOSITE COMPONENTS AND COMPONENTS MADE THEREBY</t>
  </si>
  <si>
    <t>PCT/US2017/028091</t>
  </si>
  <si>
    <t>143930</t>
  </si>
  <si>
    <t>DE-AR0000340</t>
  </si>
  <si>
    <t>CONTEXTUALLY SUPERVISED GENERATION STATE ESTIMATION (CSGSE)</t>
  </si>
  <si>
    <t>15/463749</t>
  </si>
  <si>
    <t>03/20/2017</t>
  </si>
  <si>
    <t>143225</t>
  </si>
  <si>
    <t>DOOSAN GRIDTECH, INC. - (DOOSAN)</t>
  </si>
  <si>
    <t>MICRO-PMU ADAPTIVE VOLTAGE CONTROL ALGORITHM</t>
  </si>
  <si>
    <t>125595</t>
  </si>
  <si>
    <t>METHOD AND APPARATUS FOR PRECISION PHASOR MEASUREMENTS THROUGH A MEDIUM VOLTAGE DISTRIBYRUIB TRANSFORMER</t>
  </si>
  <si>
    <t>62/028757</t>
  </si>
  <si>
    <t>07/25/2014</t>
  </si>
  <si>
    <t>162891</t>
  </si>
  <si>
    <t>DE-AR0000344</t>
  </si>
  <si>
    <t>UNIVERSITY OF CALIFORNIA SANTA BARBARA - (UNIVERSITYOFCALSABA)</t>
  </si>
  <si>
    <t>HIGH VOLTAGE REDOX ELECTROLYTES FOR ENHANCED ELECTROCHEMICAL CAPACITOR PERFORMANCE AND REDUCE SELF-DISCHARGE</t>
  </si>
  <si>
    <t>14/692695</t>
  </si>
  <si>
    <t>125579-CIP</t>
  </si>
  <si>
    <t>15/601811</t>
  </si>
  <si>
    <t>125971</t>
  </si>
  <si>
    <t>OREGON STATE UNIVERSITY - (OSU)</t>
  </si>
  <si>
    <t>A SELF-ACTIVATION PREPARATION METHOD FOR ACTIVATED CARBON</t>
  </si>
  <si>
    <t>10/26/2015</t>
  </si>
  <si>
    <t>125471</t>
  </si>
  <si>
    <t>HIGH VOLTAGE REDOX ELECTROLYTES FOR ENHANCED ELECTROCHEMICAL CAPACITOR PERFORMANCE AND REDUCED SELF-DISCHARGE</t>
  </si>
  <si>
    <t>143031</t>
  </si>
  <si>
    <t>DESIGN OF DUAL-REDOX-ACTIVE ELECTROLYTES FOR ELECTROCHEMICAL CAPACITORS; STABLE BROMINE CHARGE</t>
  </si>
  <si>
    <t>143008</t>
  </si>
  <si>
    <t>DE-AR0000345</t>
  </si>
  <si>
    <t>DIOXIDE MATERIALS INC - (DIOXIDEMATERIALS)</t>
  </si>
  <si>
    <t>METHOD OF MAKING AN ANION EXCHANGE MEMBRANE</t>
  </si>
  <si>
    <t>143236</t>
  </si>
  <si>
    <t>ION-CONDUCTING MEMBRANES</t>
  </si>
  <si>
    <t>14/704935</t>
  </si>
  <si>
    <t>142811</t>
  </si>
  <si>
    <t>142980</t>
  </si>
  <si>
    <t>ELECTROCATALYTIC PROCESS FOR CO2 CONVERSION</t>
  </si>
  <si>
    <t>142979</t>
  </si>
  <si>
    <t>ION CONDUCTING MEMBRANE</t>
  </si>
  <si>
    <t>15/400775</t>
  </si>
  <si>
    <t>142854</t>
  </si>
  <si>
    <t>ELECTROCHEMICAL DEVICES COMPRISING NOVEL CATALYST MIXTURES</t>
  </si>
  <si>
    <t>15/226894</t>
  </si>
  <si>
    <t>142945</t>
  </si>
  <si>
    <t>METHOD AND SYSTEM FOR ELECTROCHEMICAL PRODUCTION OF FORMIC ACID FROM CARBON DIOXIDE</t>
  </si>
  <si>
    <t xml:space="preserve">15/260213 </t>
  </si>
  <si>
    <t>09/08/2016</t>
  </si>
  <si>
    <t>142779</t>
  </si>
  <si>
    <t>15/090477</t>
  </si>
  <si>
    <t>04/04/2016</t>
  </si>
  <si>
    <t>125623</t>
  </si>
  <si>
    <t>ELECTROCHEMICAL DEVICE FOR CONVERTING CARBON DIOXIDE TO A REACTION PRODUCT</t>
  </si>
  <si>
    <t>14/704934</t>
  </si>
  <si>
    <t>125483</t>
  </si>
  <si>
    <t>DE-AR0000346</t>
  </si>
  <si>
    <t xml:space="preserve">DOUBLE-MEMBRANE TRIPLE-ELECTROLYTE REDOX FLOW BATTERY DESIGN </t>
  </si>
  <si>
    <t>03/13/2017</t>
  </si>
  <si>
    <t>125473</t>
  </si>
  <si>
    <t>MULTIPLE-MEMBRANSE MULTIPLE-ELECTROLYTE REDOX FLOW BATTERY DESIGN</t>
  </si>
  <si>
    <t>143048</t>
  </si>
  <si>
    <t>ION-SELECTIVE CERAMIC-MEMBRANE-BASED  ALL-AQUEOUS REDOX-FLOW-BATTERIES</t>
  </si>
  <si>
    <t>04/10/2017</t>
  </si>
  <si>
    <t>125228</t>
  </si>
  <si>
    <t>DE-AR0000347</t>
  </si>
  <si>
    <t>UNIVERSITY OF NEVADA - (UNV)</t>
  </si>
  <si>
    <t>METHOD OF MAKING A HYBRID LITHIUM-ION CELL USING SOLID ELECTROLYTE MATERIALS</t>
  </si>
  <si>
    <t>125266</t>
  </si>
  <si>
    <t>METHOD FOR GROWTH OF LI-RICH ANTI-PEROVSKITE ELECTROLYTE FILMS AND USE THEREOF</t>
  </si>
  <si>
    <t>125493</t>
  </si>
  <si>
    <t>TRANSISTION-METALS DOPED LITHIUM-RICH ANTI-PEROVSKITES FOR CATHODE APPLICATIONS</t>
  </si>
  <si>
    <t>15/545000</t>
  </si>
  <si>
    <t>125493-PCT</t>
  </si>
  <si>
    <t>PCT/US2016/017885</t>
  </si>
  <si>
    <t>125725-PCT</t>
  </si>
  <si>
    <t>DE-AR0000348</t>
  </si>
  <si>
    <t xml:space="preserve">HIGH PH ORGANIC FLOW BATTERY </t>
  </si>
  <si>
    <t>PCT/US2016/021253</t>
  </si>
  <si>
    <t>15/556140</t>
  </si>
  <si>
    <t>06/07/2018</t>
  </si>
  <si>
    <t>143425</t>
  </si>
  <si>
    <t>BLOCKED BENZOQUINONES FOR ENERGY STORAGE</t>
  </si>
  <si>
    <t>62/556805</t>
  </si>
  <si>
    <t>09/11/2017</t>
  </si>
  <si>
    <t>125725</t>
  </si>
  <si>
    <t>09/06/2017</t>
  </si>
  <si>
    <t>136330</t>
  </si>
  <si>
    <t>STRATEGIES FOR MITIGATING DEGRADATION OF ANTHRAQUINONE NEGOLYTES</t>
  </si>
  <si>
    <t>62/739575</t>
  </si>
  <si>
    <t>10/01/2018</t>
  </si>
  <si>
    <t>125419-CON</t>
  </si>
  <si>
    <t>SMALL ORGANIC MOLECULE FLOW BATTERY</t>
  </si>
  <si>
    <t>14/823546</t>
  </si>
  <si>
    <t>142846</t>
  </si>
  <si>
    <t>FERROCENE DERIVATIVES WITH HIGH STABILITY, REDUCTION POTENTIAL, AND WATER SOLUBILITY FOR USE AS ELECTROLYTES IN AQUEOUS REDOX FLO BATTERIES</t>
  </si>
  <si>
    <t>62/374075</t>
  </si>
  <si>
    <t>125402</t>
  </si>
  <si>
    <t>QUINONE AND HYDROQUINONE BASED FLOW BATTERY</t>
  </si>
  <si>
    <t>125419</t>
  </si>
  <si>
    <t>14/431175</t>
  </si>
  <si>
    <t>125377</t>
  </si>
  <si>
    <t>HARVARD SCHOOL OF ENGINEERING AND APPLIED SCIENCES - (HARVARDSCHOOLOFENGINEERING)</t>
  </si>
  <si>
    <t>NEW MOLECULES FOR FLOW BATTERY</t>
  </si>
  <si>
    <t>142632</t>
  </si>
  <si>
    <t>AQUEOUS ALLOXAZINE FLOW BATTERY</t>
  </si>
  <si>
    <t>125873</t>
  </si>
  <si>
    <t>FLOW BATTERY WITH ELECTROLYTE REBALANCING SYSTEM</t>
  </si>
  <si>
    <t>62/451336</t>
  </si>
  <si>
    <t>143373-PCT</t>
  </si>
  <si>
    <t>DE-AR0000349</t>
  </si>
  <si>
    <t>VITEROUS SOLID ELECTROLYTE SHEETS OF LI IION CONDUCTING SULFUR-BASED GLASS AND ASSOCIATED STRTUCTURES, CELLS AND METHODS</t>
  </si>
  <si>
    <t>PCT/US2015/063234</t>
  </si>
  <si>
    <t>143388-1</t>
  </si>
  <si>
    <t>ELECTROCHEMICAL DEVICE WITH PROTECTIVE MEMBRANE</t>
  </si>
  <si>
    <t>14/994011</t>
  </si>
  <si>
    <t>143385-1</t>
  </si>
  <si>
    <t>PROTECTED LITHIUM ELECTRODES HAVING A LIQUID ANALYTE RESERVOIR ARCHITECUTRE AND ASSOCIATGED RECHARGEABLE LITHIUM BATTERY CELLS</t>
  </si>
  <si>
    <t>15/956250</t>
  </si>
  <si>
    <t>04/18/2018</t>
  </si>
  <si>
    <t>METHODS OF MAKING AND INSPECTING A WEB OF VOTREOUS LITHIUM SULFIDE SEPARAATOR SHEET AND LITHIUM ELECTRODE ASSEMBLIES</t>
  </si>
  <si>
    <t>15/380989</t>
  </si>
  <si>
    <t>12/15/2015</t>
  </si>
  <si>
    <t>143373-02</t>
  </si>
  <si>
    <t>15/726302</t>
  </si>
  <si>
    <t>10/05/2017</t>
  </si>
  <si>
    <t>143386-01</t>
  </si>
  <si>
    <t>LITHIUM SULFUR BATTERIES AND ELECTROLYTES AND SULFUR CATHODES THEREOF</t>
  </si>
  <si>
    <t>15/582343</t>
  </si>
  <si>
    <t>04/28/2017</t>
  </si>
  <si>
    <t>143372</t>
  </si>
  <si>
    <t>STANDALONE SULFIDE BASED LITHIUM ION-CONDUCTING GLASS SOLID ELECTROLYTE AND ASSOCIATED STRUCTURES, CELLS AND METHODS</t>
  </si>
  <si>
    <t>14/954816</t>
  </si>
  <si>
    <t>143373</t>
  </si>
  <si>
    <t>14/954812</t>
  </si>
  <si>
    <t>143373-2</t>
  </si>
  <si>
    <t>METHODS OF MAKING AND INSPECTING A WEB OF VITEROUS LITHIUM SULFIDE SEPARATOR SHEET AND LITHIUM ELECTRODE ASSEMBLIES</t>
  </si>
  <si>
    <t>12/15/2016</t>
  </si>
  <si>
    <t>143373-3</t>
  </si>
  <si>
    <t>SOLID STATE BATTERY</t>
  </si>
  <si>
    <t>143383</t>
  </si>
  <si>
    <t>PROTECTED LITHIUM ELECTRODES HAVING A POROUS ELECTROLYTE INTERLAYER AND ASSOCIATED BATTERY CELLS</t>
  </si>
  <si>
    <t>14/156267</t>
  </si>
  <si>
    <t>143388</t>
  </si>
  <si>
    <t>13/938029</t>
  </si>
  <si>
    <t>9287573</t>
  </si>
  <si>
    <t>143385</t>
  </si>
  <si>
    <t>14/565249</t>
  </si>
  <si>
    <t>143384</t>
  </si>
  <si>
    <t>AQUEOUS ELECTROLYTE LITHIUM SULFUR BATTERIES</t>
  </si>
  <si>
    <t>14/334573</t>
  </si>
  <si>
    <t>143386</t>
  </si>
  <si>
    <t>14/657695</t>
  </si>
  <si>
    <t>9660265</t>
  </si>
  <si>
    <t>143387</t>
  </si>
  <si>
    <t>LITHIUM SULFUR BATTERY WITH HERMETICALLY SEALED ANODE</t>
  </si>
  <si>
    <t>13/864142</t>
  </si>
  <si>
    <t>8691444</t>
  </si>
  <si>
    <t>125558</t>
  </si>
  <si>
    <t>DE-AR0000350</t>
  </si>
  <si>
    <t>UNIVERSITY OF WASHINGTON - (UNIVEOFWAS)</t>
  </si>
  <si>
    <t>METHANOTROPHIC BACTERIA</t>
  </si>
  <si>
    <t>15/030144</t>
  </si>
  <si>
    <t>142621</t>
  </si>
  <si>
    <t>MICROBIAL CONVERSION OF METHANE</t>
  </si>
  <si>
    <t>125260</t>
  </si>
  <si>
    <t xml:space="preserve">BIO-GTL BIOLOGICAL CONVERSION OF NATURAL GAS INTO DIESEL FUEL: OVERALL PROCESS_x000D_
_x000D_
</t>
  </si>
  <si>
    <t>14/519075</t>
  </si>
  <si>
    <t>10/20/2014</t>
  </si>
  <si>
    <t>162860</t>
  </si>
  <si>
    <t>DE-AR0000351</t>
  </si>
  <si>
    <t>NON-TRANSGENIC PLANTS WITH MUTATED GLUTAMATE DECARBOXLASES FOR AGRONOMICX BENEFITS</t>
  </si>
  <si>
    <t>125587</t>
  </si>
  <si>
    <t>DE-AR0000352</t>
  </si>
  <si>
    <t>COPPER BASED FLOW BATTERIES</t>
  </si>
  <si>
    <t>62/051817</t>
  </si>
  <si>
    <t>125954</t>
  </si>
  <si>
    <t>COPPER HALIDE FLOW BATTERIES</t>
  </si>
  <si>
    <t>143151</t>
  </si>
  <si>
    <t>ELECTROCHEMICAL CELL FOR USE WITH SLURRY ELECTRODES</t>
  </si>
  <si>
    <t>14/122885</t>
  </si>
  <si>
    <t>125188</t>
  </si>
  <si>
    <t>IRON FLOW BATTERTY</t>
  </si>
  <si>
    <t>9559375</t>
  </si>
  <si>
    <t>142681</t>
  </si>
  <si>
    <t>COMPOSITE MEMBRANES FOR FLOW BATTERIES</t>
  </si>
  <si>
    <t>16/080080</t>
  </si>
  <si>
    <t>08/27/2018</t>
  </si>
  <si>
    <t>162841</t>
  </si>
  <si>
    <t>SEALED AQUEOUS  FLOW BATTERY SYSTEMS WITH IN-TANK REBLANCING</t>
  </si>
  <si>
    <t>143249</t>
  </si>
  <si>
    <t>143249-PCT</t>
  </si>
  <si>
    <t>PCT/US2012/040429</t>
  </si>
  <si>
    <t>142681-pct</t>
  </si>
  <si>
    <t>PCT/US2017/019644</t>
  </si>
  <si>
    <t>02/27/2017</t>
  </si>
  <si>
    <t>142921</t>
  </si>
  <si>
    <t>DE-AR0000353</t>
  </si>
  <si>
    <t>MATERIALS FOR HIGH-PERFORMANCE AQUEOUS ORGANIC REDOX FLOW BATTERIES</t>
  </si>
  <si>
    <t>15/723071</t>
  </si>
  <si>
    <t>10/02/2017</t>
  </si>
  <si>
    <t>143422-PCT</t>
  </si>
  <si>
    <t>CROSSOVER RESISTANT MATERIALS FOR ORGANIC REDOX FLOW BATTERIES</t>
  </si>
  <si>
    <t>PCT/US2019/021774</t>
  </si>
  <si>
    <t>03/12/2018</t>
  </si>
  <si>
    <t>62/641776</t>
  </si>
  <si>
    <t>03/12/2019</t>
  </si>
  <si>
    <t>143482-PCT</t>
  </si>
  <si>
    <t xml:space="preserve"> INEXPENSIVE METAL-FREE ORGANIC REDOX FLOW BATTERY (ORB) FOR GRID-SCALE STORAGE</t>
  </si>
  <si>
    <t>PCT/US2014/042775</t>
  </si>
  <si>
    <t>15/458500</t>
  </si>
  <si>
    <t>143422</t>
  </si>
  <si>
    <t>143482</t>
  </si>
  <si>
    <t>AN INEXPENSIVE METAL-FREE ORGANIC REDOX FLOW BATTERY (ORB) FOR GRID-SCALE STORAGE</t>
  </si>
  <si>
    <t>14/307030</t>
  </si>
  <si>
    <t>9614245</t>
  </si>
  <si>
    <t>143482-DIV</t>
  </si>
  <si>
    <t>03/14/2017</t>
  </si>
  <si>
    <t>143483</t>
  </si>
  <si>
    <t>A NEW STABLE POSITIVE SIDE MATERIAL FOR ALL-ORGANIC FLOW BATTERY</t>
  </si>
  <si>
    <t>125955</t>
  </si>
  <si>
    <t>125740</t>
  </si>
  <si>
    <t xml:space="preserve">MATERIALS FOR HIGH-PERFORMANCE AQUEOUS ORGANIC REDOX FLOW BATTERIES </t>
  </si>
  <si>
    <t>144933</t>
  </si>
  <si>
    <t>DE-AR0000360</t>
  </si>
  <si>
    <t>GAS INJECTOR FOR HIGH VOLUME, LOW COST SYSTEM FOR EPITAXIAL SILICON DEPOSITION</t>
  </si>
  <si>
    <t>13/721323</t>
  </si>
  <si>
    <t>144934</t>
  </si>
  <si>
    <t>DOORS FOR HIGH VOLUME, LOW COST SYSTEM FOR EPITAXIAL SILICON DEPOSITION</t>
  </si>
  <si>
    <t>13/721332</t>
  </si>
  <si>
    <t>143082</t>
  </si>
  <si>
    <t>DE-AR0000366</t>
  </si>
  <si>
    <t>HIGH CAPACITY V-BASED BCC HYDROGEN STORAGE ALLOYS AS NEGATIVE ELECTRODES FOR AQUEOUS BATTERIES WITH MODIFIED</t>
  </si>
  <si>
    <t>143191</t>
  </si>
  <si>
    <t>125956</t>
  </si>
  <si>
    <t>JET PROPULSION LABORATORY - (JTPRLAB)</t>
  </si>
  <si>
    <t>METAL HYDRIDE-AIR (MH-AIR) BATTERY FOR LOW COST ENERGY STORAGE APPLICATIONS</t>
  </si>
  <si>
    <t>149878</t>
  </si>
  <si>
    <t xml:space="preserve">HIGH CAPACITY CORROSION RESISTANT V-BASED METAL HYRIDE ELECTRODES FOR RECHARGEABLE METAL HYDRIDE BATTERIES </t>
  </si>
  <si>
    <t>15/996380</t>
  </si>
  <si>
    <t>06/01/2018</t>
  </si>
  <si>
    <t>125957</t>
  </si>
  <si>
    <t>DE-AR0000368</t>
  </si>
  <si>
    <t>NANOSD, INC. - (NANOSD)</t>
  </si>
  <si>
    <t>FOIL REGENERATOR</t>
  </si>
  <si>
    <t>143144</t>
  </si>
  <si>
    <t>DE-AR0000371</t>
  </si>
  <si>
    <t>DAIS ANALYTIC CORPORATION - (DAIS)</t>
  </si>
  <si>
    <t>EVAPORATIVE CHILLING SYSTEMS AND METHODS USING A SELECTIVE MEMBRANE</t>
  </si>
  <si>
    <t>125962</t>
  </si>
  <si>
    <t>DE-AR0000378</t>
  </si>
  <si>
    <t>TRUNCATED TETRAHEDRAL BATTERY CELL</t>
  </si>
  <si>
    <t>125960</t>
  </si>
  <si>
    <t>PORTABLE MECHANICAL IMPACTOR APPARATUS</t>
  </si>
  <si>
    <t>125959</t>
  </si>
  <si>
    <t>IMPACT RESISTANT BATTERY ENCLOSURE SYSTEMS</t>
  </si>
  <si>
    <t>125907</t>
  </si>
  <si>
    <t>CELLULAR BATTERY SYSTEM (CBA)</t>
  </si>
  <si>
    <t>125958</t>
  </si>
  <si>
    <t>CRUSHABLE COOLING COLUMN FOR GRANULAR BATTERY ASSEMBLY (GBA) IN ELECTRIC VEHICLE</t>
  </si>
  <si>
    <t>125961</t>
  </si>
  <si>
    <t>IMPACT MECHANICS OF TOPOLOGICALLY INTERLOCKED MATERIAL ASSEMBLIES</t>
  </si>
  <si>
    <t>125964</t>
  </si>
  <si>
    <t>BREAK-AWAY BUSBAR CURRENT INTERRUPT DEVICE</t>
  </si>
  <si>
    <t>143101</t>
  </si>
  <si>
    <t>GRANULAR BATTERY ASSEMBLY</t>
  </si>
  <si>
    <t>11/24/2014</t>
  </si>
  <si>
    <t xml:space="preserve"> 125775</t>
  </si>
  <si>
    <t>DE-AR0000379</t>
  </si>
  <si>
    <t>OPUS 12, INC. - (OPU)</t>
  </si>
  <si>
    <t>ELECTROCHEMICAL ENERGY STORAGE DEVICE BASED ON COMPRESSED GAS ELECTROLYTES</t>
  </si>
  <si>
    <t>15/036763</t>
  </si>
  <si>
    <t>05/13/2016</t>
  </si>
  <si>
    <t>125966</t>
  </si>
  <si>
    <t>DE-AR0000380</t>
  </si>
  <si>
    <t xml:space="preserve">Aqueous Energy Storage Devices with Organic Electrode Materials </t>
  </si>
  <si>
    <t>14/249671</t>
  </si>
  <si>
    <t>125965</t>
  </si>
  <si>
    <t>RECHARGEABLE ALKALINE BATTERY USING ORGANIC MATERIALS AS A NEGATIVE ELECTRODE</t>
  </si>
  <si>
    <t>143053</t>
  </si>
  <si>
    <t>DE-AR0000381</t>
  </si>
  <si>
    <t>FLOW BATTERY POWER STACK ASSEMBLY</t>
  </si>
  <si>
    <t>125809</t>
  </si>
  <si>
    <t>ZINC-BASED ELECTROLYTE COMPOSITIONS,AND RELATED ELECTROCHEMICAL PROCESSES AND ARTICLES</t>
  </si>
  <si>
    <t>14/720005</t>
  </si>
  <si>
    <t>9899695</t>
  </si>
  <si>
    <t>02/20/2018</t>
  </si>
  <si>
    <t>143046</t>
  </si>
  <si>
    <t>ZINC SALT SOLUTIONS OF HIGH CONCENTRATION AND NEUTRAL pH</t>
  </si>
  <si>
    <t>125809PCT</t>
  </si>
  <si>
    <t>DENDRITE FREE ZINC ELECTRODEPOSITION</t>
  </si>
  <si>
    <t>PCT/US16/18583</t>
  </si>
  <si>
    <t>02/19/2016</t>
  </si>
  <si>
    <t>143030</t>
  </si>
  <si>
    <t>DE-AR0000382</t>
  </si>
  <si>
    <t>BETTERGY CORP. - (BETT)</t>
  </si>
  <si>
    <t>LOW COST RECHARGEABLE BATTERY AND METHOD FOR MAKING THE SAME</t>
  </si>
  <si>
    <t>14/520513</t>
  </si>
  <si>
    <t>143096</t>
  </si>
  <si>
    <t>LOW COST  BATTERY AND METHOD FOR MAKING THE SAME</t>
  </si>
  <si>
    <t>15/378200</t>
  </si>
  <si>
    <t>03/29/2017</t>
  </si>
  <si>
    <t>125726-PCT</t>
  </si>
  <si>
    <t>DE-AR0000383</t>
  </si>
  <si>
    <t>SANDWICH PANELS WITH BATTERY CORES</t>
  </si>
  <si>
    <t>PCT/US2014/067700</t>
  </si>
  <si>
    <t>15/111602</t>
  </si>
  <si>
    <t>125726</t>
  </si>
  <si>
    <t>07/14/2016</t>
  </si>
  <si>
    <t>125661-PCT</t>
  </si>
  <si>
    <t>DE-AR0000384</t>
  </si>
  <si>
    <t>INTERFACIL LAYERS FOR SOLID-STATE BATTERIES AND METHODS OF MAKING SAME</t>
  </si>
  <si>
    <t>15/522459</t>
  </si>
  <si>
    <t>125661</t>
  </si>
  <si>
    <t>125677</t>
  </si>
  <si>
    <t>IMPROVED HIGH VOLTAGE CATHODE BY CHLORINE DOPING</t>
  </si>
  <si>
    <t>62/481898</t>
  </si>
  <si>
    <t>04/05/2017</t>
  </si>
  <si>
    <t>142580</t>
  </si>
  <si>
    <t>CONTROLLED FABRICATION OF MULTILAYER CERAMIC IONIC CONDUCTOR</t>
  </si>
  <si>
    <t>15/364528</t>
  </si>
  <si>
    <t>11/30/2016</t>
  </si>
  <si>
    <t>125704</t>
  </si>
  <si>
    <t>STRUCTURALLY INTEGRATED BATTERIES</t>
  </si>
  <si>
    <t>125968</t>
  </si>
  <si>
    <t>OPTIMIZATION OF LI CONTENT IN GARNET ELECTROLYTES</t>
  </si>
  <si>
    <t>143238</t>
  </si>
  <si>
    <t>LITHIUM METAL ANODE WITH THREE-DIMENSIONAL GARNET TRILAYER FRAMEWORK AND BATTERY OF THE SAME METHOD</t>
  </si>
  <si>
    <t>11/10/2017</t>
  </si>
  <si>
    <t>162934</t>
  </si>
  <si>
    <t>DE-AR0000386</t>
  </si>
  <si>
    <t>BASF CORPORATION - (BASF CORPO)</t>
  </si>
  <si>
    <t>METAL HYDRIDE COMPOSITIONS AND LITHIUM ION BATTERIES</t>
  </si>
  <si>
    <t>14/693332</t>
  </si>
  <si>
    <t>04/22/2015</t>
  </si>
  <si>
    <t>125857</t>
  </si>
  <si>
    <t>ALKALINE AND NON-AQUEOUS PROTON-CONDUCTING POUCH-CELL BATTERIES</t>
  </si>
  <si>
    <t>02/06/2015</t>
  </si>
  <si>
    <t>125858</t>
  </si>
  <si>
    <t>HIGHLY DISORDERED, HIGH CAPACITY, AND HIGH RATE METAL HYDRIDE ALLOY FOR ELECTROCHEMICAL APPLICATIONS</t>
  </si>
  <si>
    <t>125859</t>
  </si>
  <si>
    <t>NICKEL HYDROXIDE POSITIVE ELECTRODE FOR ALKALINE RECHARGEABLE BATTERY</t>
  </si>
  <si>
    <t>14/614753</t>
  </si>
  <si>
    <t>02/05/2015</t>
  </si>
  <si>
    <t>9935315</t>
  </si>
  <si>
    <t>04/03/2018</t>
  </si>
  <si>
    <t>125860</t>
  </si>
  <si>
    <t>ENGINEERED CORE-SHELL STRUCTURE FROM SINGLE-REACTOR</t>
  </si>
  <si>
    <t>125850</t>
  </si>
  <si>
    <t>NEW CATALYTIC PHASE FOR ELECTROCHEMICAL APPLICATION OF BCC ALLOYS</t>
  </si>
  <si>
    <t>125851</t>
  </si>
  <si>
    <t>14/693296</t>
  </si>
  <si>
    <t>9954222</t>
  </si>
  <si>
    <t>04/24/2018</t>
  </si>
  <si>
    <t>125852</t>
  </si>
  <si>
    <t>IMPROVEMENT IN CORROSION NATURE OF ELECTROLYTE IN ALKALINE BATTERY</t>
  </si>
  <si>
    <t>125853</t>
  </si>
  <si>
    <t>SALT ADDITIVES IN ALKALINE ELECTROLYTE</t>
  </si>
  <si>
    <t>125854</t>
  </si>
  <si>
    <t>DISORDERED ANODES FOR NI-METAL RECHARGEABLE BATTERY</t>
  </si>
  <si>
    <t>125847</t>
  </si>
  <si>
    <t>ACTIVATION OF LAVES PHASE-RELATED BCC METAL HYDRIDE ALLOY FOR ELECTROCHEMICAL APPLICATIONS</t>
  </si>
  <si>
    <t>09/19/2017</t>
  </si>
  <si>
    <t>125848</t>
  </si>
  <si>
    <t>CYCLE LIFE METAL HYDRIDE CELLS WAS GREATLY IMPROVED VIA HEAT TREATMENTS OF NICKEL HYDROXIDE ELECTRODES</t>
  </si>
  <si>
    <t>125849</t>
  </si>
  <si>
    <t>ELECTROCHEMICAL HYDROGEN STORAGE ELECTRODES AND CELLS</t>
  </si>
  <si>
    <t>15/142109</t>
  </si>
  <si>
    <t>06/12/2014</t>
  </si>
  <si>
    <t>125855</t>
  </si>
  <si>
    <t>MONO-VALENCE NICKEL HYDROXIDE USED IN ALKALINE RECHARGEABLE BATTERY</t>
  </si>
  <si>
    <t>125856</t>
  </si>
  <si>
    <t>ELECTROLYTE COMPOSITIONS COMPRISING IONIC LIQUIDS AND METAL HYDRIDE BATTERIES COMPRISING SAME</t>
  </si>
  <si>
    <t>14/669588</t>
  </si>
  <si>
    <t>142940</t>
  </si>
  <si>
    <t>DE-AR0000389</t>
  </si>
  <si>
    <t>HIGH ENERGY AQUEOUS ELECTROCHEMICAL CAPACITORS USING WATER-IN-SALT ELECTROLYTES</t>
  </si>
  <si>
    <t>143131</t>
  </si>
  <si>
    <t>HIGH VOLTAGE AQUEOUS ELECTROLYTE SYSTEM FOR LITHIUM METAL OR GRAPHITE ANODE</t>
  </si>
  <si>
    <t>62/550456</t>
  </si>
  <si>
    <t>08/25/2017</t>
  </si>
  <si>
    <t>142861</t>
  </si>
  <si>
    <t>STABLIZATION OF CATHODE BY ELECTROCHEMICAL OXIDATIVE ADDITIVIES IN AQUEOUS ALKAI-ION BATTERIES</t>
  </si>
  <si>
    <t>62/436702</t>
  </si>
  <si>
    <t>142861-PCT</t>
  </si>
  <si>
    <t>PCT/US2017/067647</t>
  </si>
  <si>
    <t>12/20/2017</t>
  </si>
  <si>
    <t>143341</t>
  </si>
  <si>
    <t xml:space="preserve">A HIGH ENERGY AQUEOUS BATTERY SYSTEM WITH AN EXCEPTIONALLY WIDE OPERATION TEMPERATURE FROM -100 TO +100c </t>
  </si>
  <si>
    <t>162799</t>
  </si>
  <si>
    <t>HIGH ENERGY AQUEOUS LI-ION BATTERY ENABLED BY HALOGEN CONVERSION-INTERCALATION CHEMISTRY IN GRAPHITE</t>
  </si>
  <si>
    <t>62/814618</t>
  </si>
  <si>
    <t>03/06/2019</t>
  </si>
  <si>
    <t>142939</t>
  </si>
  <si>
    <t>RECHARGEABLE ZINC-AIR BATTERY USING THE CONCENTRATED NEUTRAL ELECTROLYTE</t>
  </si>
  <si>
    <t>62/645669</t>
  </si>
  <si>
    <t>PCT/US2016/054155</t>
  </si>
  <si>
    <t>12/15/2014</t>
  </si>
  <si>
    <t>142939-PCT</t>
  </si>
  <si>
    <t>PCT/US2019/023170</t>
  </si>
  <si>
    <t>03/20/2019</t>
  </si>
  <si>
    <t>125972</t>
  </si>
  <si>
    <t>AQUEOUS AND HYBRID ELECTROLUTES WITH WIDE ELECTROCHEMICAL STABILITY WINDOWS</t>
  </si>
  <si>
    <t>15/763652</t>
  </si>
  <si>
    <t>03/27/2018</t>
  </si>
  <si>
    <t>125972-PCT</t>
  </si>
  <si>
    <t>162783</t>
  </si>
  <si>
    <t>DE-AR0000392</t>
  </si>
  <si>
    <t>CADENZA INNOVATION, LLC - (CADINN)</t>
  </si>
  <si>
    <t>LITHIUM ION BATTERY WITH MODULAR BUS BAR ASSMBLIES</t>
  </si>
  <si>
    <t>11/21/2018</t>
  </si>
  <si>
    <t>162784</t>
  </si>
  <si>
    <t>OVERCHARGE ELECTRICAL DISCONNECT FEATURE</t>
  </si>
  <si>
    <t>62/598252</t>
  </si>
  <si>
    <t>162785</t>
  </si>
  <si>
    <t>LITHIUM ION BATTERIES WITH MODULAR BUS BAR ASSEMBLIES</t>
  </si>
  <si>
    <t>62/561927</t>
  </si>
  <si>
    <t>162797</t>
  </si>
  <si>
    <t>LITHIUM ION BATTERY</t>
  </si>
  <si>
    <t>15/926433</t>
  </si>
  <si>
    <t>162785-PROV2</t>
  </si>
  <si>
    <t>61/050195</t>
  </si>
  <si>
    <t>143548-01</t>
  </si>
  <si>
    <t>LITHIUM ION BATTERERY</t>
  </si>
  <si>
    <t>15/840162</t>
  </si>
  <si>
    <t>06/07/2017</t>
  </si>
  <si>
    <t>143548</t>
  </si>
  <si>
    <t>15/616438</t>
  </si>
  <si>
    <t>9871236</t>
  </si>
  <si>
    <t>06/22/2017</t>
  </si>
  <si>
    <t>143549</t>
  </si>
  <si>
    <t>15/832110</t>
  </si>
  <si>
    <t>12/05/2017</t>
  </si>
  <si>
    <t>143547</t>
  </si>
  <si>
    <t>14/434848</t>
  </si>
  <si>
    <t>9685644</t>
  </si>
  <si>
    <t>162782</t>
  </si>
  <si>
    <t>143550</t>
  </si>
  <si>
    <t>125952</t>
  </si>
  <si>
    <t>ALCO , INC. - (ALCOIN)</t>
  </si>
  <si>
    <t>RUGGED ENCLOSURE FOR MULTIPLE LI ION BATTERIES</t>
  </si>
  <si>
    <t>143041</t>
  </si>
  <si>
    <t>LOW PROFILE PRESSURE DISCONNECT DEVICE FOR LITHIUM ION BATTERIES</t>
  </si>
  <si>
    <t>15/562792</t>
  </si>
  <si>
    <t>09/28/2017</t>
  </si>
  <si>
    <t>142640</t>
  </si>
  <si>
    <t>D&amp;I CAN CONCEPTS FOR Li ION BATTERIES IN AUTO CELLS</t>
  </si>
  <si>
    <t>62/236512</t>
  </si>
  <si>
    <t>142941</t>
  </si>
  <si>
    <t>CURRENT VENT/PRESSURE DISCONNECT DEVICE SYSTEM FOR LI-ION BATTERIES</t>
  </si>
  <si>
    <t>62/395050</t>
  </si>
  <si>
    <t>142633</t>
  </si>
  <si>
    <t>CURRENT INTERUPT AND VENT SYSTEMS FOR L-ION BATTERIES</t>
  </si>
  <si>
    <t>62/266813</t>
  </si>
  <si>
    <t>142819</t>
  </si>
  <si>
    <t>LITHIUM ION BATTERY WITH THERMAL RUNAWAY PROTECTION</t>
  </si>
  <si>
    <t>143042</t>
  </si>
  <si>
    <t>LITHIUM ION BATTERY WITH THERMAL RUNAWAY PROTECTION 2</t>
  </si>
  <si>
    <t>125937</t>
  </si>
  <si>
    <t>PASSIVE INSULTATION MATERIALS</t>
  </si>
  <si>
    <t>62/107845</t>
  </si>
  <si>
    <t>125936</t>
  </si>
  <si>
    <t>ELECTROCHEMICAL CELL WITH ENHANCED SAFETY</t>
  </si>
  <si>
    <t>62/107630</t>
  </si>
  <si>
    <t>125567</t>
  </si>
  <si>
    <t>DE-AR0000393</t>
  </si>
  <si>
    <t>LELAND STANFORD JR. UNIVERSITY - (LELAND STANFORD JR.)</t>
  </si>
  <si>
    <t>ROBUST MULTIFUNCTIONAL STRUCTURAL BATTERY CHASSIS FOR AUTOMOTIVE APPLICATIONS</t>
  </si>
  <si>
    <t>143066</t>
  </si>
  <si>
    <t>USE OF STICKY SEPARATOR FOR EASE OF ALIGNING ELECTRODE LAYERS IN STRUCTURAL BATTERIES WHICH</t>
  </si>
  <si>
    <t>143067</t>
  </si>
  <si>
    <t>SYSTEM INTEGRATION METHOD AND TECHNIQUE OF CONFIGURING MULTIFUNCTIONAL BATTERY CELLS</t>
  </si>
  <si>
    <t>142064</t>
  </si>
  <si>
    <t>CELL-LEVEL INTERLOCKING AND EXPANSION CONTROL FOR LI-ION BATTERY CYCLE LIFE IMPROVEMENT</t>
  </si>
  <si>
    <t>143065</t>
  </si>
  <si>
    <t>MESC OPTIMAL RIVET DISTRIBUTION PATTERN</t>
  </si>
  <si>
    <t>143049</t>
  </si>
  <si>
    <t>STRAIN-BASED MONITORING OF STATE OF CHARGE AND STATE OF HEALTH OF INTERCALATION BATTERIES</t>
  </si>
  <si>
    <t>142689</t>
  </si>
  <si>
    <t>DESIGN OF MULTIFUNCTIONAL STRUCTURAL BATTERIES WITH HEALTH MONITORING CAPABILITIES</t>
  </si>
  <si>
    <t>62/352655</t>
  </si>
  <si>
    <t>125566</t>
  </si>
  <si>
    <t>DE-AR0000396</t>
  </si>
  <si>
    <t>MITIGATING THERMAL RUNAWAY IN LITHIUM ION BATTERIES USING DAMAGE-INITIATING MATERIALS OR DEVICES</t>
  </si>
  <si>
    <t>14/893893</t>
  </si>
  <si>
    <t>11/24/2017</t>
  </si>
  <si>
    <t>125561</t>
  </si>
  <si>
    <t>RATE-SENSTITIVE AND SELF-RELEASING BATTEY CELLS AND BATTERY-CELL STRUCTURES AS STRUCTURAL AND/OR ENERGY-ABSORBING VEHICLE COMPONENTS</t>
  </si>
  <si>
    <t>14/893895</t>
  </si>
  <si>
    <t>01/24/2015</t>
  </si>
  <si>
    <t>125703</t>
  </si>
  <si>
    <t>MODIFIED CHARGE COLLECTORS AND CELL CASES FOR ENHANCED BATTERY-CELL ROBUSTNESS</t>
  </si>
  <si>
    <t>07/27/2017</t>
  </si>
  <si>
    <t>125561-PCT</t>
  </si>
  <si>
    <t>PCT/US2014/041035</t>
  </si>
  <si>
    <t>06/05/2014</t>
  </si>
  <si>
    <t>125566-PCT</t>
  </si>
  <si>
    <t>PCT/US2014/041051</t>
  </si>
  <si>
    <t>125703-PCT</t>
  </si>
  <si>
    <t>PCT/US2016/015736</t>
  </si>
  <si>
    <t>143450</t>
  </si>
  <si>
    <t>RECHARGEABLE BATTERY WITH VOLTAGE ACTIVATED CURRENT INTERRUPTER</t>
  </si>
  <si>
    <t>14/952762</t>
  </si>
  <si>
    <t>11/25/2015</t>
  </si>
  <si>
    <t>10020487</t>
  </si>
  <si>
    <t>07/10/2018</t>
  </si>
  <si>
    <t>143451</t>
  </si>
  <si>
    <t>RECHARGEABLE BATTERY WITH INTERNAL CURRENT LIMITER AND INTERRUPTER</t>
  </si>
  <si>
    <t>15/055576</t>
  </si>
  <si>
    <t>02/27/2016</t>
  </si>
  <si>
    <t>9905836</t>
  </si>
  <si>
    <t>143452</t>
  </si>
  <si>
    <t>14/714160</t>
  </si>
  <si>
    <t>143453</t>
  </si>
  <si>
    <t>RECHARGEABLE BATTERY WITH TEMPERATURE ACTIVATE CURRENT LIMITER</t>
  </si>
  <si>
    <t>14/952755</t>
  </si>
  <si>
    <t>143454</t>
  </si>
  <si>
    <t>RECHARGEABLE BATTERY WITH RESISTIVE LAYER FOR ENHANCED SAFETY</t>
  </si>
  <si>
    <t>14/952754</t>
  </si>
  <si>
    <t>07/10/2015</t>
  </si>
  <si>
    <t>142908</t>
  </si>
  <si>
    <t>DE-AR0000400</t>
  </si>
  <si>
    <t>HYPER-DENDRITIC NANOPOROUS ZINC FOAM ANODES</t>
  </si>
  <si>
    <t>125699</t>
  </si>
  <si>
    <t>ALKALINE BATTERY ELECTROLYTE USEFUL FOR A RECHARGEABLE ALKALINE ELECTROCHEMICAL CELL</t>
  </si>
  <si>
    <t>15/560599</t>
  </si>
  <si>
    <t>125739</t>
  </si>
  <si>
    <t>ACOUSTIC TIME OF FLIGHT DETERMINATION OF BATTERY PARAMETERS</t>
  </si>
  <si>
    <t>144961</t>
  </si>
  <si>
    <t>142801</t>
  </si>
  <si>
    <t>ALKALINE BATTERY ELECTROLYTE</t>
  </si>
  <si>
    <t>125537</t>
  </si>
  <si>
    <t>DE-AR0000402</t>
  </si>
  <si>
    <t>COOPERATIVE CHEMICAL ABSORPTION OF CARBON DIOXIDE IN METAL-ORGANIC FRAMEWORK</t>
  </si>
  <si>
    <t>15/297114</t>
  </si>
  <si>
    <t>125772</t>
  </si>
  <si>
    <t>DE-AR0000404</t>
  </si>
  <si>
    <t>APPARATUS AND METHOD FOR RECOVERY OF MATERIAL</t>
  </si>
  <si>
    <t>15/741159</t>
  </si>
  <si>
    <t>12/29/2017</t>
  </si>
  <si>
    <t>125676</t>
  </si>
  <si>
    <t>HYBRID SOLAR REACTOR AND HEAT STORAGE SYSTEM</t>
  </si>
  <si>
    <t>15/425755</t>
  </si>
  <si>
    <t>02/06/2017</t>
  </si>
  <si>
    <t>125772-PCT</t>
  </si>
  <si>
    <t>PCT/US2016/021044</t>
  </si>
  <si>
    <t>03/04/2016</t>
  </si>
  <si>
    <t>125657</t>
  </si>
  <si>
    <t>A HYBRID SOLARTHERMAL REACTOR</t>
  </si>
  <si>
    <t>142623</t>
  </si>
  <si>
    <t>CARBOTHERMAL REDUCTION REACTOR SYSTEM, COMPONENTS THEREOF</t>
  </si>
  <si>
    <t>125666</t>
  </si>
  <si>
    <t>COLLECTION OF MAGNESIUM VAPOR</t>
  </si>
  <si>
    <t>142860</t>
  </si>
  <si>
    <t>DE-AR0000405</t>
  </si>
  <si>
    <t>HANDHELD ALLOY IDENTIFICATION DEVICE</t>
  </si>
  <si>
    <t>08/15/2016</t>
  </si>
  <si>
    <t>142859</t>
  </si>
  <si>
    <t>15/650003</t>
  </si>
  <si>
    <t>07/14/2017</t>
  </si>
  <si>
    <t>125970</t>
  </si>
  <si>
    <t>ELECTROCHEMICAL METAL ALLOY DETECTOR AND METHOD</t>
  </si>
  <si>
    <t>14/576309</t>
  </si>
  <si>
    <t>142684</t>
  </si>
  <si>
    <t>ELECTROCHEMICAL SORTING OF METALS</t>
  </si>
  <si>
    <t>142725</t>
  </si>
  <si>
    <t>SYSTEM FOR ELECTROCHEMICAL SORTING OF METALS AND ALLOYS</t>
  </si>
  <si>
    <t>14/626092</t>
  </si>
  <si>
    <t>142693</t>
  </si>
  <si>
    <t>SYSTEMS FOR ELECTROCHEMICAL SORTING OF METALS AND ALLOYS</t>
  </si>
  <si>
    <t>14/626332</t>
  </si>
  <si>
    <t>142201</t>
  </si>
  <si>
    <t>DE-AR0000406</t>
  </si>
  <si>
    <t>ALCOA PRODUCTS, INC. - (ALCO PRODU)</t>
  </si>
  <si>
    <t>SYSTEMS AND METHODS OF ELECTROLUTIC PRODUCTION OF ALUMINUM</t>
  </si>
  <si>
    <t>04/02/2018</t>
  </si>
  <si>
    <t>143293</t>
  </si>
  <si>
    <t>125973</t>
  </si>
  <si>
    <t>DE-AR0000408</t>
  </si>
  <si>
    <t>DIRECT ELECTROWINNING OF TITANIUM-ALUMINUM-VANADIUM ALLOY</t>
  </si>
  <si>
    <t>143307</t>
  </si>
  <si>
    <t>DE-AR0000411</t>
  </si>
  <si>
    <t>UNDER THE BELT EDX METAL SCRAP SORTER</t>
  </si>
  <si>
    <t>143026-POV2</t>
  </si>
  <si>
    <t>VARIABLE FREQUENCY EDDY CURRENT METAL SORTER</t>
  </si>
  <si>
    <t>62/300429</t>
  </si>
  <si>
    <t>15/756535</t>
  </si>
  <si>
    <t>02/28/2018</t>
  </si>
  <si>
    <t>143026</t>
  </si>
  <si>
    <t>62/217005</t>
  </si>
  <si>
    <t>09/09/2016</t>
  </si>
  <si>
    <t>143026-PROV1</t>
  </si>
  <si>
    <t>143026-PROV2</t>
  </si>
  <si>
    <t>09/10/2015</t>
  </si>
  <si>
    <t>143026-PCT</t>
  </si>
  <si>
    <t>PCT/US2016/051124</t>
  </si>
  <si>
    <t>143034</t>
  </si>
  <si>
    <t>DE-AR0000412</t>
  </si>
  <si>
    <t>INFINIUM, INC. - (INFIN)</t>
  </si>
  <si>
    <t>METHOD AND ALUMINUM-SCANDIUM ALLOY PRODUCTION</t>
  </si>
  <si>
    <t>62/643301</t>
  </si>
  <si>
    <t>03/15/2018</t>
  </si>
  <si>
    <t>143034-PCT</t>
  </si>
  <si>
    <t>PCT/US2019/022575</t>
  </si>
  <si>
    <t>125978</t>
  </si>
  <si>
    <t>METHOD AND APPARATUS FOR PRODUCTION OF ALUMINUM AND OTHER METALS</t>
  </si>
  <si>
    <t>62/011652</t>
  </si>
  <si>
    <t>125975</t>
  </si>
  <si>
    <t>ALUMINUM CATHODE CURRENT COLLECTOR FOR ALUMINUM MOLTEN SALT ELECTROLYSIS</t>
  </si>
  <si>
    <t>125976</t>
  </si>
  <si>
    <t>METHODS AND APPARATUSES FOR INCREASING EFFICIENCY AND IMPROVING MEMBRANE ROBUSTNESS IN PRIMARY METAL PRODUCTION</t>
  </si>
  <si>
    <t>PCT/US14/63743</t>
  </si>
  <si>
    <t>125977</t>
  </si>
  <si>
    <t>CLEAN, EFFICIENT METAL ELECTROLYSIS VIA SOM ANODES</t>
  </si>
  <si>
    <t>PCT/US14/45762</t>
  </si>
  <si>
    <t>142858</t>
  </si>
  <si>
    <t>DE-AR0000413</t>
  </si>
  <si>
    <t>PHINIX, LLC - (PHINX)</t>
  </si>
  <si>
    <t>ELECTROEFINING OF MAGNESIUM FROM SCRAP METAL ALUMINUM OR MAGNESIUM  ALLOYS</t>
  </si>
  <si>
    <t>142812</t>
  </si>
  <si>
    <t>DE-AR0000414</t>
  </si>
  <si>
    <t>PARTICULATE HEAT TRANSFER FLUID</t>
  </si>
  <si>
    <t>125593</t>
  </si>
  <si>
    <t>DE-AR0000417</t>
  </si>
  <si>
    <t>ENERGY RESEARCH - (ENERGRESEA)</t>
  </si>
  <si>
    <t>ALUMINUM SORTING AND CASTING APPARATUS AND METHODS</t>
  </si>
  <si>
    <t>62/016484</t>
  </si>
  <si>
    <t>144930</t>
  </si>
  <si>
    <t>DE-AR0000419</t>
  </si>
  <si>
    <t>LIGHT METAL PRODUCTION</t>
  </si>
  <si>
    <t>14/168332</t>
  </si>
  <si>
    <t>9315914</t>
  </si>
  <si>
    <t>143180</t>
  </si>
  <si>
    <t>DE-AR0000420</t>
  </si>
  <si>
    <t>A METHOD FOR 3D PRINTING WITH POWDERS</t>
  </si>
  <si>
    <t>62/554257</t>
  </si>
  <si>
    <t>09/05/2017</t>
  </si>
  <si>
    <t>143180-pct</t>
  </si>
  <si>
    <t>PCT/IS2018/049587</t>
  </si>
  <si>
    <t>09/05/2018</t>
  </si>
  <si>
    <t>143226</t>
  </si>
  <si>
    <t>DIRECT REDUCTION OF TITANIUM SLAG - A NOVEL LOW COST METHOD FOR PRODUCTION OF TI</t>
  </si>
  <si>
    <t>14/912846</t>
  </si>
  <si>
    <t>143226-CIP</t>
  </si>
  <si>
    <t>14/935245</t>
  </si>
  <si>
    <t>142965</t>
  </si>
  <si>
    <t>METHODS OF DEOXYGENATING METALS HAVING OXYGEN DISSOLVED THEREIN IN A SOLID SOLUTION</t>
  </si>
  <si>
    <t>15/216549</t>
  </si>
  <si>
    <t>07/21/2016</t>
  </si>
  <si>
    <t>125946</t>
  </si>
  <si>
    <t>AN ENERGY EFFICIENT PROCESS FOR PRODUCTION OF TI PRIMARY METAL</t>
  </si>
  <si>
    <t>142559</t>
  </si>
  <si>
    <t>LOW COST METHOD FOR TITANIUM PRODUCTION FROM IIMENITE</t>
  </si>
  <si>
    <t>125979</t>
  </si>
  <si>
    <t>DE-AR0000421</t>
  </si>
  <si>
    <t>VALPARAISON UNIVERSITY - (VALP)</t>
  </si>
  <si>
    <t>THERMAL ELECTROLYTIC PRODUCTION</t>
  </si>
  <si>
    <t>14/865875</t>
  </si>
  <si>
    <t>09/25/2015</t>
  </si>
  <si>
    <t>02/26/2019</t>
  </si>
  <si>
    <t>142897</t>
  </si>
  <si>
    <t>DE-AR0000422</t>
  </si>
  <si>
    <t>UHV TECHNOLOGIES, INC. - (UHV)</t>
  </si>
  <si>
    <t>X-RAY FLUORESCENCE SORTING METAL ALLOY PLASTIC GLASS ALUMINUM STEEL COPPER</t>
  </si>
  <si>
    <t>DE-AR0000426</t>
  </si>
  <si>
    <t>125980</t>
  </si>
  <si>
    <t>GENETICALLY MODIFIED ORGANISMS</t>
  </si>
  <si>
    <t xml:space="preserve">14/963836 </t>
  </si>
  <si>
    <t>142807</t>
  </si>
  <si>
    <t>DE-AR0000428</t>
  </si>
  <si>
    <t>AUBURN UNIVERSITY - (AUBURN UNI)</t>
  </si>
  <si>
    <t>E;UCIDATION OF THE BIOSYNTHETIC PATHWAY FOR THE KEY COENZYME OF METHANOGENESIS AND ANAEROBIC METHANE OXIDATION</t>
  </si>
  <si>
    <t>15/588376</t>
  </si>
  <si>
    <t>05/05/2017</t>
  </si>
  <si>
    <t>142698</t>
  </si>
  <si>
    <t>DE-AR0000429</t>
  </si>
  <si>
    <t>UNIVERSITY OF CALIFORNIA SYS OFFICE/PRES - (UNCAL)</t>
  </si>
  <si>
    <t>BIOLOGICAL CONVERSION OF ETHYLENE TO N-BUTANOL AND OTHER CHEMICALS</t>
  </si>
  <si>
    <t>142988-PCT</t>
  </si>
  <si>
    <t>BIOLOGICAL CONVERSION OF ETHYLENE GLYCOL</t>
  </si>
  <si>
    <t>PCT/US2017/040223</t>
  </si>
  <si>
    <t>06/30/2017</t>
  </si>
  <si>
    <t>62/357901</t>
  </si>
  <si>
    <t>07/01/2016</t>
  </si>
  <si>
    <t>142988</t>
  </si>
  <si>
    <t>125981</t>
  </si>
  <si>
    <t>UNIVERSITY OF CALIFORNIA, DAVIS - (UCD)</t>
  </si>
  <si>
    <t>BACTERIA ENGINEERED FOR CONVERSION OF ETHYLENE TO NBUTANOL</t>
  </si>
  <si>
    <t>15/317656</t>
  </si>
  <si>
    <t>12/09/2016</t>
  </si>
  <si>
    <t>01/22/2019</t>
  </si>
  <si>
    <t>143467</t>
  </si>
  <si>
    <t>BIOLOGICAL CONVERSION OF ETHANE TO ETHANOL</t>
  </si>
  <si>
    <t>01/11/2018</t>
  </si>
  <si>
    <t>142677</t>
  </si>
  <si>
    <t>DE-AR0000430</t>
  </si>
  <si>
    <t>A NOVEL METHANOL DEHYDROGENASE ENZYME AND ITS ENGINEERED VARIANTS FROM CUPRIAVIDUS</t>
  </si>
  <si>
    <t>125983</t>
  </si>
  <si>
    <t>BUILDING CARBON-CARBON BONDS USING C1 FEEDSTOCKS</t>
  </si>
  <si>
    <t>142203</t>
  </si>
  <si>
    <t>RECOMBINANT MICROORGANISMS HAVING A METHANOL ELONGATION CYCLE (MEC)</t>
  </si>
  <si>
    <t>12/12/2016</t>
  </si>
  <si>
    <t>04/23/2019</t>
  </si>
  <si>
    <t>125984</t>
  </si>
  <si>
    <t>14/211415</t>
  </si>
  <si>
    <t>03/14/2014</t>
  </si>
  <si>
    <t>142195</t>
  </si>
  <si>
    <t>14/853946</t>
  </si>
  <si>
    <t>06/26/2018</t>
  </si>
  <si>
    <t>142682</t>
  </si>
  <si>
    <t>DE-AR0000431</t>
  </si>
  <si>
    <t>ENGINEERING METHANE PATHWAY TO LIQUID BIOFUELS</t>
  </si>
  <si>
    <t>125985</t>
  </si>
  <si>
    <t>METHANE-TO-ACETATE PATHWAY FOR PRODUCING LIQUID BIOFUELS</t>
  </si>
  <si>
    <t>142995-PROV2</t>
  </si>
  <si>
    <t>METHANE MICROBIAL FUEL CELLS</t>
  </si>
  <si>
    <t>62/445871</t>
  </si>
  <si>
    <t>01/13/2017</t>
  </si>
  <si>
    <t>62/425421</t>
  </si>
  <si>
    <t>10/28/2016</t>
  </si>
  <si>
    <t>142995-PCT</t>
  </si>
  <si>
    <t>PCT/US2017/063109</t>
  </si>
  <si>
    <t>11/22/2017</t>
  </si>
  <si>
    <t>142995</t>
  </si>
  <si>
    <t>142996</t>
  </si>
  <si>
    <t>DE-AR0000432</t>
  </si>
  <si>
    <t>NON-METHYLOTROPHIC ORGANISMS ENGINEERED TO GROW ON METHANOL AND FIX CARBON DIOXIDE</t>
  </si>
  <si>
    <t>142998</t>
  </si>
  <si>
    <t>ENGINEERED NON-METHYLOTROPHIC ORGANISMS TO USE AND GROW ON METHANOL AND FIX CARBON DIOXIDE</t>
  </si>
  <si>
    <t>142997</t>
  </si>
  <si>
    <t>ENGINEERED NON-METHYLOTROPHIC ORGANISMS GROWING ON METHANOL AND FIXING  CARBON DIOXIDE</t>
  </si>
  <si>
    <t>125461</t>
  </si>
  <si>
    <t>ENGINEERING ANAEROBIC OXIDATION OF METHANE FOR LIQUID FUEL  BIOSYNTHESIS</t>
  </si>
  <si>
    <t>61/940947</t>
  </si>
  <si>
    <t>02/18/2014</t>
  </si>
  <si>
    <t>142624</t>
  </si>
  <si>
    <t>142776</t>
  </si>
  <si>
    <t>142625</t>
  </si>
  <si>
    <t>LIQUID FUEL FROM NATURAL GAS USING SYNTHETIC BIOLOGY</t>
  </si>
  <si>
    <t>125427</t>
  </si>
  <si>
    <t>SYNTHETIC METHYLOTROPHY TO LIQUID FUELS AND CHEMICALS</t>
  </si>
  <si>
    <t>15/112364</t>
  </si>
  <si>
    <t>162910</t>
  </si>
  <si>
    <t xml:space="preserve">SYNTHETIC METHYLOTROPHY </t>
  </si>
  <si>
    <t>PCT/US2018/017913</t>
  </si>
  <si>
    <t>02/12/2018</t>
  </si>
  <si>
    <t>143474</t>
  </si>
  <si>
    <t>62/279066</t>
  </si>
  <si>
    <t>143474-PCT</t>
  </si>
  <si>
    <t>PCT/US2017/013413</t>
  </si>
  <si>
    <t>143308-PCT</t>
  </si>
  <si>
    <t>DE-AR0000433</t>
  </si>
  <si>
    <t>TUFTS UNIVERSITY - (TUFTS UNIV)</t>
  </si>
  <si>
    <t xml:space="preserve">OXIDATIVE CONVERSION OF METHANE TO OXYGENATES </t>
  </si>
  <si>
    <t>PCT/US2016/061064</t>
  </si>
  <si>
    <t>11/09/2016</t>
  </si>
  <si>
    <t>143308</t>
  </si>
  <si>
    <t>OXIDATIVE CONVERSION OF METHANE TO OXYGENATES ON RH/ZEOLITE CATALYSTS IN AN AQUEOUS MEDIUM</t>
  </si>
  <si>
    <t>05/09/2018</t>
  </si>
  <si>
    <t>143488</t>
  </si>
  <si>
    <t xml:space="preserve"> BIOREACTOR METHODS FOR HIGH YIELD BIOCONVERSION OF NATURAL GAS TO LIQUID FUELS</t>
  </si>
  <si>
    <t>125987</t>
  </si>
  <si>
    <t>A TWO-STAGE REACTOR SYSTEM FOR HIGH-YIELD BIOCONVERSION OF NATURAL GAS TO LIQUID FUEL</t>
  </si>
  <si>
    <t>125986</t>
  </si>
  <si>
    <t>DEEP WELL REACTOR SYSTEM</t>
  </si>
  <si>
    <t>142842</t>
  </si>
  <si>
    <t>INTEGRATED SYSTEM FOR UPGRADING WASTE STREAMS TO USEFUL CHEMICALS AND FUELS</t>
  </si>
  <si>
    <t>125748</t>
  </si>
  <si>
    <t>METHODS FOR CONVERSION OF FOOD WASTE TO CHEMICAL PRODUCTS</t>
  </si>
  <si>
    <t>143156</t>
  </si>
  <si>
    <t>CARBON DIOXIDE FIXATION BY FERMENTATION AT THE LIMIT OF AUTOTROPHY</t>
  </si>
  <si>
    <t>143152</t>
  </si>
  <si>
    <t>143153</t>
  </si>
  <si>
    <t>THREADING DISLOCATION DENSITY REDUCTION IN EPITAXY-GERMANIUM ON SI WAFERS THROUGH GE ETCHING AND OVERGROWTH</t>
  </si>
  <si>
    <t>06/26/2017</t>
  </si>
  <si>
    <t>143133</t>
  </si>
  <si>
    <t>SELECTIVE CONCENTRATION OF A MICROBIAL COMMUNITY ON AN ARTIFICIAL SUBSTRATE</t>
  </si>
  <si>
    <t>125729</t>
  </si>
  <si>
    <t>DE-AR0000435</t>
  </si>
  <si>
    <t>NORTHWESTERN UNIVERSITY - (NORTHUNIVE)</t>
  </si>
  <si>
    <t>ENGINEERED ENZYMES FOR METHANE OXIDATION</t>
  </si>
  <si>
    <t>142974</t>
  </si>
  <si>
    <t>DE-AR0000438</t>
  </si>
  <si>
    <t>LANZATECH, INC. - (LAN)</t>
  </si>
  <si>
    <t>SPACE FILLING HIGH THROUGHPUT MICROBUBBLE GENERATOR</t>
  </si>
  <si>
    <t>142955</t>
  </si>
  <si>
    <t>SYSTEM AND METHOD FOR LOW-COST CELL RECYCLING IN CONTINUOUS FERMENTATION</t>
  </si>
  <si>
    <t>142956</t>
  </si>
  <si>
    <t>DEVICE AND SYSTEM FOR ENERGY-EFFICIENT MICRO-JET GENERATION</t>
  </si>
  <si>
    <t>11/16/2016</t>
  </si>
  <si>
    <t>142957</t>
  </si>
  <si>
    <t>APPARATUS TO IMPROVE LIQUID AND GAS RESIDENCE TIME IN A JET-DRIVEN MICRO-BUBBLE COLUMN</t>
  </si>
  <si>
    <t>142958</t>
  </si>
  <si>
    <t>APPARATUS FOR PARTICULATE MATTER REMOVAL FROM A LIQUID STREAM</t>
  </si>
  <si>
    <t>143374</t>
  </si>
  <si>
    <t>DE-AR0000439</t>
  </si>
  <si>
    <t>SYSTEM AND METHOD OF ADDITIVE MANUFACTURING SELECTIVE COMPOSITIONS AND VARIABLE PROPERTIES</t>
  </si>
  <si>
    <t>125663PCT</t>
  </si>
  <si>
    <t>BIO-LAMINA-PLATES BIOREACTOR FOR ENHANCED MASS AND HEAT TRANSFER</t>
  </si>
  <si>
    <t>PCT/US2016/062297</t>
  </si>
  <si>
    <t>01/08/2015</t>
  </si>
  <si>
    <t>125663</t>
  </si>
  <si>
    <t>15/981753</t>
  </si>
  <si>
    <t>143000</t>
  </si>
  <si>
    <t>DE-AR0000442</t>
  </si>
  <si>
    <t>MONOLITH SEMICONDUCTOR INC. - (MONOLITH)</t>
  </si>
  <si>
    <t xml:space="preserve"> SEMICONDUCTOR DEVICES AND METHODS OF MAKING </t>
  </si>
  <si>
    <t>15/636712</t>
  </si>
  <si>
    <t>143001</t>
  </si>
  <si>
    <t xml:space="preserve"> HIGH-VOLTAGE MOSFET DEVICES AND METHODS OF MAKING THE DEVICES</t>
  </si>
  <si>
    <t>14/456110</t>
  </si>
  <si>
    <t>08/11/2014</t>
  </si>
  <si>
    <t>9214572</t>
  </si>
  <si>
    <t>143002-CON2</t>
  </si>
  <si>
    <t xml:space="preserve"> HIGH-VOLTAGE SEMICONDUCTOR  DEVICES AND METHODS OF MAKING THE DEVICES</t>
  </si>
  <si>
    <t>15/844766</t>
  </si>
  <si>
    <t>12/18/2017</t>
  </si>
  <si>
    <t>14/619742</t>
  </si>
  <si>
    <t>143002-PCT</t>
  </si>
  <si>
    <t>PCT/US2016/017518</t>
  </si>
  <si>
    <t>143001-DIV1</t>
  </si>
  <si>
    <t>14/963381</t>
  </si>
  <si>
    <t>143001-CIP</t>
  </si>
  <si>
    <t>14/966476</t>
  </si>
  <si>
    <t>12/11/2015</t>
  </si>
  <si>
    <t>143001-PCT</t>
  </si>
  <si>
    <t>PCT/US2014/056274</t>
  </si>
  <si>
    <t>143002-CON1</t>
  </si>
  <si>
    <t>15/412462</t>
  </si>
  <si>
    <t>01/23/2018</t>
  </si>
  <si>
    <t>143001-DIV2</t>
  </si>
  <si>
    <t>15/793532</t>
  </si>
  <si>
    <t>143003</t>
  </si>
  <si>
    <t>HIGH VOLTAGE SEMICONDUCTOR DEVICES AND METHODS OF MAKING THE DEVICES</t>
  </si>
  <si>
    <t>14/303019</t>
  </si>
  <si>
    <t>143002</t>
  </si>
  <si>
    <t>9583482</t>
  </si>
  <si>
    <t>143328</t>
  </si>
  <si>
    <t>DE-AR0000444</t>
  </si>
  <si>
    <t>HYPE GALLIUM AUTOFILLER APPARATUS</t>
  </si>
  <si>
    <t>02/26/2018</t>
  </si>
  <si>
    <t>144929</t>
  </si>
  <si>
    <t>DE-AR0000445</t>
  </si>
  <si>
    <t>SIXPOINT MATERIALS, INC. - (SIXPOINT)</t>
  </si>
  <si>
    <t>SEED SELECTION AND GROWTH FOR REDUCED CRACK GaN</t>
  </si>
  <si>
    <t>62/106709</t>
  </si>
  <si>
    <t>143278</t>
  </si>
  <si>
    <t>DE-AR0000446</t>
  </si>
  <si>
    <t>MICROLINK DEVICES - (MICROLINKDEVICES)</t>
  </si>
  <si>
    <t>DEEP PHOTOEHANCED WET ETCHING OF GAN USING HIGH-POWER UV LEDS</t>
  </si>
  <si>
    <t>143279</t>
  </si>
  <si>
    <t>PERFORATION PROCESS FOR GaN EPITAXIAL LIFT-OFF USING AN ETCH STOP LAYER</t>
  </si>
  <si>
    <t>01/26/2018</t>
  </si>
  <si>
    <t>142982POV2</t>
  </si>
  <si>
    <t>DE-AR0000447</t>
  </si>
  <si>
    <t>IBEAM MATERIALS, INC. - (IBEAM)</t>
  </si>
  <si>
    <t>IBAD-TEXTURED SUBSTRATES FOR GROWTH OF EPITAXIAL GROUP-III NITRIDE MATERIALS AND METHOD OF MAKING THE SAME</t>
  </si>
  <si>
    <t>62/114504</t>
  </si>
  <si>
    <t>02/10/2016</t>
  </si>
  <si>
    <t>142982PCT</t>
  </si>
  <si>
    <t>EPITAXIAL HEXAGONAL MATERIALS ON IBAD-TEXTURED SUBSTRATES</t>
  </si>
  <si>
    <t>PCT/US2016/017421</t>
  </si>
  <si>
    <t>142982UT</t>
  </si>
  <si>
    <t>15/041017</t>
  </si>
  <si>
    <t>9735318</t>
  </si>
  <si>
    <t>142982CIP</t>
  </si>
  <si>
    <t>GROUP-III NITRIDE DEVICES AND SYSTEMS ON IBAD-TEXTURED SUBSTRATES</t>
  </si>
  <si>
    <t>15/675598</t>
  </si>
  <si>
    <t>08/11/2017</t>
  </si>
  <si>
    <t>142982PROV3</t>
  </si>
  <si>
    <t>62/262815</t>
  </si>
  <si>
    <t>12/03/2015</t>
  </si>
  <si>
    <t>142982-PCT</t>
  </si>
  <si>
    <t>EPITAXIAL HEXAGONAL MATERIALS ON IBAD-TEXTURED</t>
  </si>
  <si>
    <t>PTC/US2016/01742</t>
  </si>
  <si>
    <t>142982-PROV2</t>
  </si>
  <si>
    <t>IBAD-TEXTURED SUBSTRATES FOR GROWTH OF EPITAXIAL GROUP - III NITRIDE MATERIALS AND METHOD OF MAKING THE SAME</t>
  </si>
  <si>
    <t>142982-PROV 1</t>
  </si>
  <si>
    <t>143300</t>
  </si>
  <si>
    <t>EDGE-LIT LED BACKLIGHT UNIT</t>
  </si>
  <si>
    <t>01/30/2017</t>
  </si>
  <si>
    <t>142982-PROV3</t>
  </si>
  <si>
    <t>142982POV1</t>
  </si>
  <si>
    <t>62/452285</t>
  </si>
  <si>
    <t>142903</t>
  </si>
  <si>
    <t>DE-AR0000450</t>
  </si>
  <si>
    <t>TUNNEL BARRIER SCHOTTKY</t>
  </si>
  <si>
    <t>04/07/2016</t>
  </si>
  <si>
    <t>143460</t>
  </si>
  <si>
    <t>METHOD OF FABRICATING GaN-BASED MICRO-CHANNELS FOR MICRO-FLUID DEVICES</t>
  </si>
  <si>
    <t>143461</t>
  </si>
  <si>
    <t>MG DOPED GATE DIELECTRICS FOR NITRIDE VERTICAL TRANSISTORS</t>
  </si>
  <si>
    <t>07/28/2017</t>
  </si>
  <si>
    <t>143057</t>
  </si>
  <si>
    <t>ILL-NITRIDE TRANSISTORS WITH TRENCH GATE</t>
  </si>
  <si>
    <t>125728</t>
  </si>
  <si>
    <t>A NEW METHOD FOR DEFECT FREE GALLIUM NITRIDE DRY ETCH WITH PROCESS FRIENDLY PROFILE</t>
  </si>
  <si>
    <t>142813</t>
  </si>
  <si>
    <t>DE-AR0000451</t>
  </si>
  <si>
    <t>III-NITRIDE VERTICAL TRANSISTOR WITH APERTURE REGION FORMED USING ION IMPLANTATION AS A PATH TO ACHIEVE SELECTIVE AREA DOPING</t>
  </si>
  <si>
    <t>143076</t>
  </si>
  <si>
    <t>III-NITRIDE VERTICAL TRANSISTOR WITH APERTURE REGION FORMED USING ION IMPLANTATION</t>
  </si>
  <si>
    <t>62/335460</t>
  </si>
  <si>
    <t>125533-2</t>
  </si>
  <si>
    <t>DE-AR0000452</t>
  </si>
  <si>
    <t>NEW STRUCTURE FOR GAN VERTICAL TRANSISTORS</t>
  </si>
  <si>
    <t>16/379138</t>
  </si>
  <si>
    <t>04/09/2019</t>
  </si>
  <si>
    <t>15/388963</t>
  </si>
  <si>
    <t>125533</t>
  </si>
  <si>
    <t>12/22/2016</t>
  </si>
  <si>
    <t>142967</t>
  </si>
  <si>
    <t>III-NITRIDE VERTICAL TRENCH-BASED POWER DEVICE</t>
  </si>
  <si>
    <t>142966</t>
  </si>
  <si>
    <t>COLUMBIA UNIVERSITY - (COLUMBIA)</t>
  </si>
  <si>
    <t>142761</t>
  </si>
  <si>
    <t>DE-AR0000453</t>
  </si>
  <si>
    <t>SAMPLE STAGE/HOLDER FOR IMPROVED THERMAL CONTROL AT ELEVATED GROWTH TEMPERATURES</t>
  </si>
  <si>
    <t>15/591671</t>
  </si>
  <si>
    <t>05/10/2017</t>
  </si>
  <si>
    <t>142649</t>
  </si>
  <si>
    <t>PHOSPHORUS INCORPORATION FOR N-TYPE DOPING OF DIAMOND WITH (100) AND RELATED SURFACE ORIENTATION</t>
  </si>
  <si>
    <t>143402</t>
  </si>
  <si>
    <t>CURRENT GENERATION FROM RADIATION WITH DIAMOND PIN DIODE DEVICES FOR DETECTION OR POWER GENERATION</t>
  </si>
  <si>
    <t>142844</t>
  </si>
  <si>
    <t>DIAMOND BASED CURRENT APERTURE VERTICAL TRANSISTOR AND METHODS OF MAKING AND USING THE SAME.</t>
  </si>
  <si>
    <t>15/824519</t>
  </si>
  <si>
    <t>11/28/2017</t>
  </si>
  <si>
    <t>10418475</t>
  </si>
  <si>
    <t>09/17/2019</t>
  </si>
  <si>
    <t>125554</t>
  </si>
  <si>
    <t>DE-AR0000454</t>
  </si>
  <si>
    <t>POLARIZATION INDUCED DOPED TRANSISTOR (formerly INTEGRATED VERTICAL POWER TRANSISTOR DEVICE)</t>
  </si>
  <si>
    <t>14/470569</t>
  </si>
  <si>
    <t>08/27/2014</t>
  </si>
  <si>
    <t>9362389</t>
  </si>
  <si>
    <t>142622</t>
  </si>
  <si>
    <t>COOPERATIVE CHEMICAL ADSORPTION OF CARBON DIOXIDE IN METAL-ORGANIC FRAMEWORKS</t>
  </si>
  <si>
    <t>142202</t>
  </si>
  <si>
    <t>DE-AR0000455</t>
  </si>
  <si>
    <t>THE MWPACVD GROWTH OF LARGE AREA, RIM FREE, AND STRESS FREE SINGLE CRYSTAL DIAMOND</t>
  </si>
  <si>
    <t>125991</t>
  </si>
  <si>
    <t>DE-AR0000457</t>
  </si>
  <si>
    <t>MOGENE GREEN CHEMICALS, LLC - (MOGGR)</t>
  </si>
  <si>
    <t>METABOLICALLY EMGINEERED METHANOTROPHIC PHOTOTROPHIC MICROORGANISMS</t>
  </si>
  <si>
    <t>14/513656</t>
  </si>
  <si>
    <t>125992</t>
  </si>
  <si>
    <t>DE-AR0000459</t>
  </si>
  <si>
    <t>REDOX ACTIVE POLYMER DEVICES AND METHODS OF USING AND MANUFACTURING THE SAME</t>
  </si>
  <si>
    <t>14/442087</t>
  </si>
  <si>
    <t>125539</t>
  </si>
  <si>
    <t>ELECTROCHEMICAL ENERGY STORAGE DEVICES COMPRISING SELF-COMPENSATING ZWITTERIONIC POLYMERS</t>
  </si>
  <si>
    <t>14/710509</t>
  </si>
  <si>
    <t>125569</t>
  </si>
  <si>
    <t>14/710367</t>
  </si>
  <si>
    <t>125812</t>
  </si>
  <si>
    <t>DE-AR0000460</t>
  </si>
  <si>
    <t>MULTI-ARC REACTOR WITH TWO BEDS</t>
  </si>
  <si>
    <t>125468</t>
  </si>
  <si>
    <t>A PROCESS FOR DIRECT, LOW COST PRODUCTION OF TI ALLOY PELLETS</t>
  </si>
  <si>
    <t>142791</t>
  </si>
  <si>
    <t>DE-AR0000462</t>
  </si>
  <si>
    <t>BLACKPAK, INC. - (BCKP)</t>
  </si>
  <si>
    <t>SORPTION PUMPS AND STORAGE FOR GASES</t>
  </si>
  <si>
    <t>125993</t>
  </si>
  <si>
    <t>SPACE-FILLING POLYHEDRAL SORBENTS</t>
  </si>
  <si>
    <t>14/506405</t>
  </si>
  <si>
    <t>9370765</t>
  </si>
  <si>
    <t>142789</t>
  </si>
  <si>
    <t>MICROPOROUS CARBON ADSORBENTS FROM NATURAL CARBOHYDRATES</t>
  </si>
  <si>
    <t>142790</t>
  </si>
  <si>
    <t>FLUID COMPRESSION SYSTEM</t>
  </si>
  <si>
    <t>125994</t>
  </si>
  <si>
    <t>SORPTION PUMPS AND STORAGE FOR GASES_x000D_</t>
  </si>
  <si>
    <t>15/209239</t>
  </si>
  <si>
    <t>07/13/2016</t>
  </si>
  <si>
    <t>142676</t>
  </si>
  <si>
    <t>DE-AR0000463</t>
  </si>
  <si>
    <t>UNIVERSITY OF TULSA - (UNIVOFTUL)</t>
  </si>
  <si>
    <t>HYDRID THERMAL AND ELECTRICALLY DRIVEN DESALINATION</t>
  </si>
  <si>
    <t>142675</t>
  </si>
  <si>
    <t>APPARATUS FOR CO-PRODUCTION OF HIGH TEMPERATURE THERMAL ENERGY AND ELECTRICAL ENERGY FROM SOLAR IRRADIANCE</t>
  </si>
  <si>
    <t>142675PCT</t>
  </si>
  <si>
    <t>PCT/US2017/016241</t>
  </si>
  <si>
    <t>125870</t>
  </si>
  <si>
    <t>DE-AR0000464</t>
  </si>
  <si>
    <t>HYBRID SOLAR RECEIVER</t>
  </si>
  <si>
    <t>16/049205</t>
  </si>
  <si>
    <t>142728</t>
  </si>
  <si>
    <t>HEAT TRANSFER FLUID</t>
  </si>
  <si>
    <t>15/187993</t>
  </si>
  <si>
    <t>143004</t>
  </si>
  <si>
    <t>HOT AND COLD ENERGY TRNASFER, TRANSPORT AND STORAGE</t>
  </si>
  <si>
    <t>15/463333</t>
  </si>
  <si>
    <t>125996</t>
  </si>
  <si>
    <t>DE-AR0000465</t>
  </si>
  <si>
    <t>SHARP LABORATORIES OF AMERICA - (SHALAB)</t>
  </si>
  <si>
    <t>HYBRID TROUGH SOLAR POWER SYSTEM USING PHOTOBOLTAIC TWO-STAGE LIGHT CONCENTRATION</t>
  </si>
  <si>
    <t>142991</t>
  </si>
  <si>
    <t>UNIVERSITY OF ARIZONA - (UNIVEOFARI)</t>
  </si>
  <si>
    <t>FLEXIBLE CURVED REFLECTOR ELEMENTS</t>
  </si>
  <si>
    <t>62/636783</t>
  </si>
  <si>
    <t>142925</t>
  </si>
  <si>
    <t>HYBRID TROUGH SOLAR POWER SYSTEM USING PHOTOVOLTAIC TWO-LIGHT CONCENTRATION</t>
  </si>
  <si>
    <t>14/503822</t>
  </si>
  <si>
    <t>10/01/2014</t>
  </si>
  <si>
    <t>9773934</t>
  </si>
  <si>
    <t>09/26/2017</t>
  </si>
  <si>
    <t>142991-PCT</t>
  </si>
  <si>
    <t>FLEXIBLE CURVED COMPONENTS FOR PROVIDING SPECTRAL CHARACTERISTICS FOR LARGE SURFACES</t>
  </si>
  <si>
    <t>2/28/2018</t>
  </si>
  <si>
    <t>142924</t>
  </si>
  <si>
    <t>SOLAR CONENTRATOR WITH ASYMMETRIC TRACKING-INTEGRATED OPTICS</t>
  </si>
  <si>
    <t>14/577842</t>
  </si>
  <si>
    <t>9787247</t>
  </si>
  <si>
    <t>DE-AR0000466</t>
  </si>
  <si>
    <t>NORTHROP GRUMMAN SYSTEMS CORPORATIONS - (NORTHR)</t>
  </si>
  <si>
    <t>TEMPERATURE-STAGED THERMAL ENERGY STORAGE ENABLING LOW THERMAL EXERGY LOSS REFLUX BOILING IN FULL SPECTRUM SOLAR SYSTEMS</t>
  </si>
  <si>
    <t>15/381698</t>
  </si>
  <si>
    <t>12/16/2016</t>
  </si>
  <si>
    <t>142645</t>
  </si>
  <si>
    <t>DE-AR0000467</t>
  </si>
  <si>
    <t>USE OF THERMAL BARRIER COATING TO INHIBIT COOLING IN TURBO-MACHINERY</t>
  </si>
  <si>
    <t>142642</t>
  </si>
  <si>
    <t>A RE-HEAT CYCLE UTILIZING STORED THERMAL ENERGY AS THE HEAT INPUT WITH A LARGE PRESSURE RATIO FROM BELOW AMBIENT CONDENSATION</t>
  </si>
  <si>
    <t>142855</t>
  </si>
  <si>
    <t>SLIDER LOCK CONCEPT USED TO CONNECT SPLIT CASES INSTEAD OF USING CONVENTIONAL BOLTED SPLIT FLANGES</t>
  </si>
  <si>
    <t>142904</t>
  </si>
  <si>
    <t>METHOD AND SYSTEM FOR CARBON DIOXIDE ENERGY STORAGE IN A POWER GENERATION SYSTEM</t>
  </si>
  <si>
    <t>15/367959</t>
  </si>
  <si>
    <t>142644</t>
  </si>
  <si>
    <t>METHOD OF CREATING AND USING AN INTERMEDIATE TEMPERATURE THERMAL STORAGE IN A PUMPED-HEAT ELECTRICAL STORAGE CYCLE</t>
  </si>
  <si>
    <t>15/603599</t>
  </si>
  <si>
    <t>05/24/2017</t>
  </si>
  <si>
    <t>142875</t>
  </si>
  <si>
    <t>DE-AR0000470</t>
  </si>
  <si>
    <t>METHOD OF INCREASING ILL-NITRIDE SEMICONDUCTOR GROWTH RATE AND REDUCED DAMAGING ION FLUX CONTENT</t>
  </si>
  <si>
    <t>15/738458</t>
  </si>
  <si>
    <t>06/16/2016</t>
  </si>
  <si>
    <t>125759</t>
  </si>
  <si>
    <t>DE-AR0000471</t>
  </si>
  <si>
    <t>THERMAL STABILITY STUDIES ON MULTIMETAL FILLED YSZ CERMET-BASED SPECTRALLY SELECTIVE SOLAR ABSORBERS BY TUNING OXYGEN DEFICIENCY IN YSZ</t>
  </si>
  <si>
    <t>143063</t>
  </si>
  <si>
    <t>ENERGY EFFICIENT, SOUNDPROOFING WINDOWS AND WINDOW RETROFITS</t>
  </si>
  <si>
    <t>16/394447</t>
  </si>
  <si>
    <t>04/25/2019</t>
  </si>
  <si>
    <t>04/05/2019</t>
  </si>
  <si>
    <t>142726</t>
  </si>
  <si>
    <t>SOLAR THERMAL AEROGEL RECEIVER AND MATERIALS THEREFOR</t>
  </si>
  <si>
    <t>16/079172</t>
  </si>
  <si>
    <t>08/23/2018</t>
  </si>
  <si>
    <t>142817</t>
  </si>
  <si>
    <t>DE-AR0000472</t>
  </si>
  <si>
    <t>GERMANIUM PHOTODETECTOR ON AMORPHOUS SUBSTRATES</t>
  </si>
  <si>
    <t>15/487182</t>
  </si>
  <si>
    <t>04/13/2017</t>
  </si>
  <si>
    <t>125724</t>
  </si>
  <si>
    <t>SELECTIVE EPITAXIAL GROWTH PATTERNS FOR DISLOCATION REDUCTION</t>
  </si>
  <si>
    <t>125998</t>
  </si>
  <si>
    <t>CONCENTRATED PHOTOVOLTAIC AND SOLAR THERMAL SYSTEM WITH SPECTRUM SPLITTING</t>
  </si>
  <si>
    <t>162852</t>
  </si>
  <si>
    <t>DE-AR0000473</t>
  </si>
  <si>
    <t>TULANE UNIVERSITY - (TULANEU)</t>
  </si>
  <si>
    <t>DIRECT FLUID COOLING SOLAR MODULE FOR HYBRID PHOTOVOLTAIC-SOLAR THERMAL ENERGY CONVERSERSION</t>
  </si>
  <si>
    <t>62/861769</t>
  </si>
  <si>
    <t>06/14/2019</t>
  </si>
  <si>
    <t>04/15/2019</t>
  </si>
  <si>
    <t>162853</t>
  </si>
  <si>
    <t>A SUNFLOWER RECEIVER FOR HYBRID CPV/T ENERGY CONVERSION</t>
  </si>
  <si>
    <t>62/861716</t>
  </si>
  <si>
    <t>142797</t>
  </si>
  <si>
    <t>TRANSPARENT ACTIVE AND PASSIVE COOLING FOR CONCENTRATED PHOTOVOLTAIC DEVICES</t>
  </si>
  <si>
    <t>09/27/2018</t>
  </si>
  <si>
    <t>143268</t>
  </si>
  <si>
    <t>CONCENTRATED SOLAR PHOTOVOLTAIC AND PHOTOTHERMAL SYSTEM FOR ENERGY GENERATION AND STORAGE</t>
  </si>
  <si>
    <t>62/463333</t>
  </si>
  <si>
    <t>143268-PCT</t>
  </si>
  <si>
    <t>PCT/US2018/019782</t>
  </si>
  <si>
    <t>125767</t>
  </si>
  <si>
    <t>INFARED-TRANSPARENT PHOTOVOLTAICS FOR COUPLING SOLAR ELECTRIC TO SOLAR THERMAL ENERGY GENERATION</t>
  </si>
  <si>
    <t>142729</t>
  </si>
  <si>
    <t>DE-AR0000474</t>
  </si>
  <si>
    <t>PARABOLIC TROUGH EMPLOYING SILICON SOLAR CELLS AS A WAVELENGTH-SELECTIVE MIRROR</t>
  </si>
  <si>
    <t>15/116442</t>
  </si>
  <si>
    <t>02/03/2015</t>
  </si>
  <si>
    <t>142878</t>
  </si>
  <si>
    <t>PARABOLIC TROUGH EMPLOYNG SILICON SOLAR CELLS AS A WAVELENGTH-SELECTIVE MIRROR</t>
  </si>
  <si>
    <t>142829</t>
  </si>
  <si>
    <t>WAVELENGTH-SELECTIVE SPECULARLY REFLECTING PHOTOVOLTAIC MODULE AND MANUFACTURE THEREOF</t>
  </si>
  <si>
    <t>15/683254</t>
  </si>
  <si>
    <t>08/22/2017</t>
  </si>
  <si>
    <t>143270</t>
  </si>
  <si>
    <t>DE-AR0000487</t>
  </si>
  <si>
    <t>COMPRESSOR-LESS COOLING SYSTEM</t>
  </si>
  <si>
    <t>143271</t>
  </si>
  <si>
    <t>DE-AR0000489</t>
  </si>
  <si>
    <t>UNIVERSITY OF TEXAS, AUSTIN - (UNTEAU)</t>
  </si>
  <si>
    <t>ELECTROCHROME DEVICES AND METHODS OF MAKING AND USE THEREOF</t>
  </si>
  <si>
    <t>PCT/US2017/048365</t>
  </si>
  <si>
    <t>08/24/2017</t>
  </si>
  <si>
    <t>16/328399</t>
  </si>
  <si>
    <t>142826</t>
  </si>
  <si>
    <t>62/379862</t>
  </si>
  <si>
    <t>142826PCT</t>
  </si>
  <si>
    <t>ELECTROCHROMIC DEVICES AND METHODS OF MAKING AND USE THEREOF</t>
  </si>
  <si>
    <t>125730-PCT</t>
  </si>
  <si>
    <t>METHOD FOR PRODUCING ELECTROCHROMIC FILMS BY LOW TEMPERATURTE ELECTRODEPOSITION OF POLYOXOMETALATES</t>
  </si>
  <si>
    <t>PCT/US2015/025785</t>
  </si>
  <si>
    <t>15/304177</t>
  </si>
  <si>
    <t>125730</t>
  </si>
  <si>
    <t>125616</t>
  </si>
  <si>
    <t xml:space="preserve"> ELECTROCHROMIC ELECTRODES AND METHODS OF MAKING AND USE THEREOF</t>
  </si>
  <si>
    <t>16/096418</t>
  </si>
  <si>
    <t>142826PV1</t>
  </si>
  <si>
    <t>125616-PCT</t>
  </si>
  <si>
    <t>PCT/US2017/030108</t>
  </si>
  <si>
    <t>143228</t>
  </si>
  <si>
    <t>DE-AR0000490</t>
  </si>
  <si>
    <t>ONBOARD DYNAMICS, INC. - (ONBOA)</t>
  </si>
  <si>
    <t>TURBOCHARGED PRE-COMPRESSION OF ENGINE-DRIVEN COMPRESSORS</t>
  </si>
  <si>
    <t>143229</t>
  </si>
  <si>
    <t>CROSS-HEAD PISTON TO COMPRESSION CONNECTING ROD INTERFACE FOR COMBINED ENGINE-COMPRESSORS</t>
  </si>
  <si>
    <t>143230</t>
  </si>
  <si>
    <t>COMPRESSION PISTON/COMPRESSION CONNECTING ROD INTERFACE FOR COMBINED ENGINE-COMPRESSORS</t>
  </si>
  <si>
    <t>142219</t>
  </si>
  <si>
    <t>CRANKCASE VENTILATION SYSTEMS</t>
  </si>
  <si>
    <t>03/17/2017</t>
  </si>
  <si>
    <t>142216</t>
  </si>
  <si>
    <t>DUAL ZONE COOLING SYSTEM FOR COMBINED ENGINE COMPRESSORS</t>
  </si>
  <si>
    <t>62/537722</t>
  </si>
  <si>
    <t>142217</t>
  </si>
  <si>
    <t>CRANKCASE VENTILATION SYSTEM WITH DEAD SPACE</t>
  </si>
  <si>
    <t>62/540001</t>
  </si>
  <si>
    <t>142214</t>
  </si>
  <si>
    <t>PURGING NATURAL GAS COMPRESSORS</t>
  </si>
  <si>
    <t>62/480261</t>
  </si>
  <si>
    <t>143215</t>
  </si>
  <si>
    <t>FLEXIBLE SUPPLY GAS ROUTING FOR GAS COMPRESSORS</t>
  </si>
  <si>
    <t>62/509403</t>
  </si>
  <si>
    <t>142218</t>
  </si>
  <si>
    <t>INTEGRATED HYDROGEN GENERATOR AND COMPRESSOR WITH RELATED METHOD</t>
  </si>
  <si>
    <t>62/482618</t>
  </si>
  <si>
    <t>04/06/2017</t>
  </si>
  <si>
    <t>142794</t>
  </si>
  <si>
    <t>DE-AR0000491</t>
  </si>
  <si>
    <t>SIENERGY SYSTEMS, LLC - (SIENSYS)</t>
  </si>
  <si>
    <t>CARBIDE ANODE SYSTEM FOR LOW TEMPERATURE DIRECT HYDRICARBON SOLID OXIDE FUEL CELLS</t>
  </si>
  <si>
    <t>62175706</t>
  </si>
  <si>
    <t>142928</t>
  </si>
  <si>
    <t>DE-AR0000493</t>
  </si>
  <si>
    <t>HELION ENERGY,  INC. - (HELION)</t>
  </si>
  <si>
    <t>ZR AND Y CO-DOPED PEROVSKITE AS A STABLE, HIGH PERFORMANCE CATHODE FOR SOLID OXIDE FUEL CELLS BELOW 500C</t>
  </si>
  <si>
    <t>143302-PROV</t>
  </si>
  <si>
    <t>COST-EFFECTIVE SOLIDS STATE REACTIVE SINTERING METHOD FOR PROTONIC CERAMIC FUEL CELLS</t>
  </si>
  <si>
    <t>62/101285</t>
  </si>
  <si>
    <t>143302-PROV2</t>
  </si>
  <si>
    <t>TRIPLE CONDUCTING CATHODE MATERIAL FOR INTERMEDIATE TEMPERATURE PROTONIC CERAMIC ELECTROCHEMICAL DEVICES</t>
  </si>
  <si>
    <t>14/991027</t>
  </si>
  <si>
    <t>01/08/2016</t>
  </si>
  <si>
    <t>143302-CIP</t>
  </si>
  <si>
    <t>CATHODE MATERIAL FOR LOW TEMPERATURE SOLID OXIDE FUEL CELLS</t>
  </si>
  <si>
    <t>15/184425</t>
  </si>
  <si>
    <t>143463</t>
  </si>
  <si>
    <t>DE-AR0000494</t>
  </si>
  <si>
    <t>REDOX POWER SYSTEMS, LLC - (REDOX)</t>
  </si>
  <si>
    <t>SETTER PLATES AND MANUFACTURING METHODS FOR ALL-CERAMIC ANODE BASED SOLID OXIDE FUEL CELLS</t>
  </si>
  <si>
    <t>143512</t>
  </si>
  <si>
    <t>LOWER TEMPERATURE SOLID OXIDE FUEL CELL STACK DESIGN</t>
  </si>
  <si>
    <t>143513</t>
  </si>
  <si>
    <t>STABLE HIGH CONDUCTIVITY OXIDE ELECTROLYTE</t>
  </si>
  <si>
    <t>142674</t>
  </si>
  <si>
    <t>SOLID OXIDE FUEL CELLS CATHODE FUNCTIONAL LAYER</t>
  </si>
  <si>
    <t>142827-PCT</t>
  </si>
  <si>
    <t>DE-AR0000495</t>
  </si>
  <si>
    <t>NANOFIBERS DECORATED WITH NANOPARTICLES AND METHODS OF THEIR MANUFACTURE</t>
  </si>
  <si>
    <t>PCT/US2017/037534</t>
  </si>
  <si>
    <t>15/623220</t>
  </si>
  <si>
    <t>142994</t>
  </si>
  <si>
    <t>SAFECELL, INC. - (SAFE)</t>
  </si>
  <si>
    <t>NANOFIBERS DECORATED WITH NANOPARTICLES BY THE ELECTROSPINNING PROCESS</t>
  </si>
  <si>
    <t>142827</t>
  </si>
  <si>
    <t>143325</t>
  </si>
  <si>
    <t>DE-AR0000498</t>
  </si>
  <si>
    <t>PRBA0-55R0-5CO1.505+D</t>
  </si>
  <si>
    <t>143421</t>
  </si>
  <si>
    <t>REVERSIBLE PrBa0.55r0.5Co1.5Fe0.505+d BaZr0.4Ce0.4Yb0.1</t>
  </si>
  <si>
    <t>125698</t>
  </si>
  <si>
    <t>PROTON CONDUCTING SOLID OXIDE FUEL CELL STACK WITH INTERNAL FUEL REFORMING</t>
  </si>
  <si>
    <t>143297</t>
  </si>
  <si>
    <t>DE-AR0000499</t>
  </si>
  <si>
    <t>TENNESSEE, UNIVERSITY O - (CN0489)</t>
  </si>
  <si>
    <t>CARBON NANOTUBE-CSH2PD4 COMPOSITE ENABLING HIGH PERFORMANCE SOLID ACID FUEL CELL ELECTRODES WITH LOW PRECIOUS</t>
  </si>
  <si>
    <t>14/946031</t>
  </si>
  <si>
    <t>125755</t>
  </si>
  <si>
    <t>DE-AR0000500</t>
  </si>
  <si>
    <t>A FLOWING ELECTROLYTE FUEL CELL WITH IMPROVED PERFORMANCE AND STABILITY</t>
  </si>
  <si>
    <t>142856</t>
  </si>
  <si>
    <t>OXYGEN ION CONDUCTING POLYH (IONIC) LIQUID MEMBRANE FOR ELECTROCHEMICAL APPL</t>
  </si>
  <si>
    <t>142932</t>
  </si>
  <si>
    <t>DE-AR0000501</t>
  </si>
  <si>
    <t>FUEL CELL WITH DYNAMIC RESPONSE CAPABILITY BASED ON ENERGY SGTORAGE ELECTRODES</t>
  </si>
  <si>
    <t>16/345643</t>
  </si>
  <si>
    <t>04/26/2019</t>
  </si>
  <si>
    <t>142932-pct</t>
  </si>
  <si>
    <t>PCT/US2017/058826</t>
  </si>
  <si>
    <t>125999</t>
  </si>
  <si>
    <t>DE-AR0000502</t>
  </si>
  <si>
    <t>FABRICATION AND ASSEMBLY OF HOLLOW CERAMIC NANOFIBER BASED ELECTRODES FOR ENERGY CONVERSION BY SOLID OXIDE FUELS CELLS.</t>
  </si>
  <si>
    <t>143092</t>
  </si>
  <si>
    <t>DE-AR0000506</t>
  </si>
  <si>
    <t>DESIGN AND OPERATION OF AN INTERNAL COMBUSTION ENGINE TO PRODUCE SYNTHESIS GAS FROM GASEOUS HYDROCARBON FEEDS</t>
  </si>
  <si>
    <t>125686</t>
  </si>
  <si>
    <t>DE-AR0000507</t>
  </si>
  <si>
    <t>MULTIPLE-ELECTRON AQUEOUS BATTERY</t>
  </si>
  <si>
    <t>15/114997</t>
  </si>
  <si>
    <t>07/28/2016</t>
  </si>
  <si>
    <t>01/28/2015</t>
  </si>
  <si>
    <t>125686-PCT</t>
  </si>
  <si>
    <t>PCT/2015/013322</t>
  </si>
  <si>
    <t>143261</t>
  </si>
  <si>
    <t>DE-AR0000514</t>
  </si>
  <si>
    <t xml:space="preserve">MEASUREMENT OF WAVE AND CURRENT MOTION </t>
  </si>
  <si>
    <t>03/21/2018</t>
  </si>
  <si>
    <t>162832</t>
  </si>
  <si>
    <t>REAL-TIME METOCEAN SENSOR ARRAYS</t>
  </si>
  <si>
    <t>143005</t>
  </si>
  <si>
    <t>DE-AR0000523</t>
  </si>
  <si>
    <t>ELECTROCHEMICAL LIQUID PHASE EPITAXY</t>
  </si>
  <si>
    <t>62/444083</t>
  </si>
  <si>
    <t>01/09/2017</t>
  </si>
  <si>
    <t>143023-PROV1</t>
  </si>
  <si>
    <t>DE-AR0000526</t>
  </si>
  <si>
    <t>SYRACUSE UNIVERSITY - (SYRACUNIVE)</t>
  </si>
  <si>
    <t>MICRO ENVIRONMENTAL CONTROL SYSTEM</t>
  </si>
  <si>
    <t>62/091728</t>
  </si>
  <si>
    <t>62/042012</t>
  </si>
  <si>
    <t>143023-PROV2</t>
  </si>
  <si>
    <t>08/26/2014</t>
  </si>
  <si>
    <t>143442</t>
  </si>
  <si>
    <t>METHOD FOR ESTIMATING THE STATE OF CHARGE IN A LATEST HEAT THERMAL STORAFGE DEVICE</t>
  </si>
  <si>
    <t>62/735589</t>
  </si>
  <si>
    <t>09/25/2018</t>
  </si>
  <si>
    <t>143062-PCT</t>
  </si>
  <si>
    <t>SCROLL-TYPE MACHINE</t>
  </si>
  <si>
    <t>PCT/US2018/012872</t>
  </si>
  <si>
    <t>62/444962</t>
  </si>
  <si>
    <t>143062</t>
  </si>
  <si>
    <t>01/11/2017</t>
  </si>
  <si>
    <t>143176</t>
  </si>
  <si>
    <t>DE-AR0000527</t>
  </si>
  <si>
    <t>UNIV OF MARYLAND, COLLEGE PARK - (UNIVOFMD)</t>
  </si>
  <si>
    <t>METHOD FOR NONDESTRUCTIVE DISPERSION OF CARBON NANOMATERIALS IN WATER</t>
  </si>
  <si>
    <t>62/526193</t>
  </si>
  <si>
    <t>143493-pct</t>
  </si>
  <si>
    <t>META FIBERS AND METHODS OF MANUFACTURING THE FIBERS, YARNS, AND FABRICS</t>
  </si>
  <si>
    <t>PCT/US2019/029781</t>
  </si>
  <si>
    <t>04/30/2019</t>
  </si>
  <si>
    <t>62/746347</t>
  </si>
  <si>
    <t>143493</t>
  </si>
  <si>
    <t>143263</t>
  </si>
  <si>
    <t>3D PRINTED THERMAL REGULATION TEXTILES</t>
  </si>
  <si>
    <t>62/629566</t>
  </si>
  <si>
    <t>143176-PROV2</t>
  </si>
  <si>
    <t>62/716156</t>
  </si>
  <si>
    <t>08/08/2018</t>
  </si>
  <si>
    <t>162882</t>
  </si>
  <si>
    <t>142757</t>
  </si>
  <si>
    <t>COMPOSITE MATERIALS WITH SELF-REGULATED INFRARED EMISSIVITY</t>
  </si>
  <si>
    <t>15/159666</t>
  </si>
  <si>
    <t>143025</t>
  </si>
  <si>
    <t>A METHOD FOR SOLVENT-DRIVEN SELECTIVE COATING OF NANOPARTICLES ON MULTICOMPONENT FIBERS</t>
  </si>
  <si>
    <t>143532</t>
  </si>
  <si>
    <t>A DESIGN OF AN ENVIRONMENT-CONTROLLED CHAMBER FOR OPTICAL SPECTROSCOPY AND A CALIBRATION METHOD FOR OPTICAL</t>
  </si>
  <si>
    <t>143040</t>
  </si>
  <si>
    <t>DE-AR0000528</t>
  </si>
  <si>
    <t>IN VIVO ELECTROMAGNETIC NEAR-FIELD COHERENT SENSING</t>
  </si>
  <si>
    <t>162810</t>
  </si>
  <si>
    <t xml:space="preserve">SEAT INTEGRATION OF RF VITAL-SIGN MONITORING </t>
  </si>
  <si>
    <t>62/824268</t>
  </si>
  <si>
    <t>143500</t>
  </si>
  <si>
    <t>BRANCHED TUBE NETWORK AND TEMPERATURE REGULATING GARMENT WITH BRANCHED TUBE NETWORK</t>
  </si>
  <si>
    <t>16/073700</t>
  </si>
  <si>
    <t>07/27/2018</t>
  </si>
  <si>
    <t>143500-PCT</t>
  </si>
  <si>
    <t>PCT/US2017/015641</t>
  </si>
  <si>
    <t>142833</t>
  </si>
  <si>
    <t>DE-AR0000529</t>
  </si>
  <si>
    <t>TOW-POINT ANS MULTIPLE-POINT SPOT HEATING AND COOLING</t>
  </si>
  <si>
    <t>62/551860</t>
  </si>
  <si>
    <t>08/30/2017</t>
  </si>
  <si>
    <t>142833-PCT</t>
  </si>
  <si>
    <t>PCT/US2018/048895</t>
  </si>
  <si>
    <t>08/30/2018</t>
  </si>
  <si>
    <t>125760-PCT</t>
  </si>
  <si>
    <t>DE-AR0000530</t>
  </si>
  <si>
    <t xml:space="preserve">COMFORTER UNIT AND SYSTEM, METHODS, AND DEVICES FOR USE THEREOF </t>
  </si>
  <si>
    <t>PCT/US2016/037103</t>
  </si>
  <si>
    <t>06/11/2016</t>
  </si>
  <si>
    <t>125760</t>
  </si>
  <si>
    <t>15/735538</t>
  </si>
  <si>
    <t>142798</t>
  </si>
  <si>
    <t>ROVING COMFORTER (RoCo)  PERSONAL COOLING/HEATING DEVICE</t>
  </si>
  <si>
    <t>142802</t>
  </si>
  <si>
    <t>PERSONALIZED THERMAL COMFORT INPUT TECHNOLOGY</t>
  </si>
  <si>
    <t>142831</t>
  </si>
  <si>
    <t>DE-AR0000531</t>
  </si>
  <si>
    <t>STATE UNIVERSITY NEW YORK STONY BROOK - (NEWYOST)</t>
  </si>
  <si>
    <t>A LOW-FREQUENCY BROADBAND VIBRATIONAL ENERGY HARVESTER WITH CONTRACTLESSLY COUPLED RECTILINEAR-ROTARY OSCILLATIONS AND INTRINSIC FREQUENCY UP-CONVERSION</t>
  </si>
  <si>
    <t>08/17/2016</t>
  </si>
  <si>
    <t>143028</t>
  </si>
  <si>
    <t>METHOD AND APPRATUS FOR OCCUPANCY-DRIVEN SMA-ACTUATED REGISTERS</t>
  </si>
  <si>
    <t>62/483566</t>
  </si>
  <si>
    <t>143028-PCT</t>
  </si>
  <si>
    <t>SYSTEM AND METHOD FOR OCCUPANCY-DRIVEN REGISTER AIRFLOW CONTROL</t>
  </si>
  <si>
    <t>PCT/US2018/026864</t>
  </si>
  <si>
    <t>04/10/2018</t>
  </si>
  <si>
    <t>142990-PCT</t>
  </si>
  <si>
    <t>CHOPPED PASSIVE INFRARED SENSOR APPARATUS AND METHOD FOR STATIONARY AND MOVING OCCUPANT DETECTION</t>
  </si>
  <si>
    <t>PCT/US2018/013281</t>
  </si>
  <si>
    <t>62/403395</t>
  </si>
  <si>
    <t>142883</t>
  </si>
  <si>
    <t>THE PEDAMBLE SHOES: TURNING MOTION INTO PHONE CHARGE</t>
  </si>
  <si>
    <t>142990</t>
  </si>
  <si>
    <t>CHOPPED PIR SENSOR FOR STATIONARY AND MOVING OCCUPANT DETECTION</t>
  </si>
  <si>
    <t>16/475444</t>
  </si>
  <si>
    <t>142920</t>
  </si>
  <si>
    <t>AN AIRFOIL-BASED PIEZOELECTRIC - INDUCTIVE TRANSDUCTION MECHANISM PROMOTING LOW PROFILE HIGH EFFICENCY</t>
  </si>
  <si>
    <t>10/03/2016</t>
  </si>
  <si>
    <t>142990-pct</t>
  </si>
  <si>
    <t>07/02/2019</t>
  </si>
  <si>
    <t>143531</t>
  </si>
  <si>
    <t>DE-AR0000532</t>
  </si>
  <si>
    <t>INTEGRATED COIOLING AND MOISTURE REMOVAL USING LIGHTWEIGHT GRAPHITE STRUCTURES</t>
  </si>
  <si>
    <t>01/15/2019</t>
  </si>
  <si>
    <t>143523</t>
  </si>
  <si>
    <t>SHIRTS, BLOUSES, AND COATSX WITH COOLING MECHANISMS</t>
  </si>
  <si>
    <t>143530</t>
  </si>
  <si>
    <t>EHANCED AIRFLOW FOR OSCILLATING FANS</t>
  </si>
  <si>
    <t>143024</t>
  </si>
  <si>
    <t>ELECTROCALORIC HEAT PUMP WITH ELECTROSTATIC CONTROL OF THERMAL CONTACT</t>
  </si>
  <si>
    <t>143021</t>
  </si>
  <si>
    <t>ELECTROCALORIC COOLING WITH ELECTROSTATIC ACTUATION</t>
  </si>
  <si>
    <t>62/502251</t>
  </si>
  <si>
    <t>143344</t>
  </si>
  <si>
    <t>INTERGRATED COOLING FOOTWEAR</t>
  </si>
  <si>
    <t>142755</t>
  </si>
  <si>
    <t>WEARABLE PERSONAL THERMAL COMFORT SYSTEM</t>
  </si>
  <si>
    <t>142754</t>
  </si>
  <si>
    <t>DE-AR0000533</t>
  </si>
  <si>
    <t>143303</t>
  </si>
  <si>
    <t>A SPECTRALLY SELECTIVE TEXTILE USING INORGANIC-ORGANIC MATRIX FOR PASSIVE RADIATIVE OUTDOOR PERSONAL COOLING</t>
  </si>
  <si>
    <t>16/267242</t>
  </si>
  <si>
    <t>02/04/2019</t>
  </si>
  <si>
    <t>142876-PCT</t>
  </si>
  <si>
    <t>INFRARED-TRANSPARENT NANOPOROUS POLYMER FIBER-BASED WOVEN TEXTILE FOR HUMAN BODY COOLING</t>
  </si>
  <si>
    <t>PCT/US2017/053305</t>
  </si>
  <si>
    <t>09/25/2017</t>
  </si>
  <si>
    <t>62/399974</t>
  </si>
  <si>
    <t>142876</t>
  </si>
  <si>
    <t>143303-PCT</t>
  </si>
  <si>
    <t>PCT/US2019/016554</t>
  </si>
  <si>
    <t>142762-PCT</t>
  </si>
  <si>
    <t>INFRARED-TRANSPARENT POROUS POLYMER FILM AS TEXTILE FOR HUMAN BODY COOLING AND HEATING</t>
  </si>
  <si>
    <t>PCT/US2017/018420</t>
  </si>
  <si>
    <t>16/066247</t>
  </si>
  <si>
    <t>142762</t>
  </si>
  <si>
    <t>143456</t>
  </si>
  <si>
    <t>DE-AR0000534</t>
  </si>
  <si>
    <t>ADAPTIVE REFLECTING MATERIALS AND SYSTEMS</t>
  </si>
  <si>
    <t>143136</t>
  </si>
  <si>
    <t>MATERIAL FOR THERMAL REGULATION</t>
  </si>
  <si>
    <t>143462</t>
  </si>
  <si>
    <t>DE-AR0000535</t>
  </si>
  <si>
    <t>AXALUME, INC - (AXALUM)</t>
  </si>
  <si>
    <t>DISTRIBUTED NEWTON ALGORITHM FOR RESOURCE ALLOCATION</t>
  </si>
  <si>
    <t>143292</t>
  </si>
  <si>
    <t>ADAPTIVE SMART TEXTITLES, METHOD OF PRODUCING THEM, AND APPLICATION THEREOF</t>
  </si>
  <si>
    <t>143294</t>
  </si>
  <si>
    <t xml:space="preserve"> 142877</t>
  </si>
  <si>
    <t>DIMENSION-CHANGEABLE AND LIGHT-REFLECTION-CHANGEABLE  SMART TEXTILES, FABRICATION METHODS , ASSMBLED STRUCTURES, AND APPLICATIONS THEREOF</t>
  </si>
  <si>
    <t xml:space="preserve"> 142884</t>
  </si>
  <si>
    <t>REDOX FLOW BATTERIES BASED ON A FLAVIN MONONUCLEOTIDE</t>
  </si>
  <si>
    <t>142918</t>
  </si>
  <si>
    <t>CREEP-RESISTANT, DIMENSIONAL - ALTERABLE POLYMER BILAYERS, AND FABRICATIN METHODS THEREFOR</t>
  </si>
  <si>
    <t>143124</t>
  </si>
  <si>
    <t>HIGH PERFORMANCE SCREEN-PRINTED THERMOELECTRIC FILMS ON FABRICS</t>
  </si>
  <si>
    <t>143296</t>
  </si>
  <si>
    <t>LOW LATENCY CONNECTIVITY IN RECONFIGURABLE NETWORKS</t>
  </si>
  <si>
    <t xml:space="preserve"> 143224</t>
  </si>
  <si>
    <t>ARTICLE COMPRISING FLEXIBLE AND STRETCHABLE THERMOELECTRIC DEVICES FABRICATION METHODS AND APPLICATIONS</t>
  </si>
  <si>
    <t xml:space="preserve"> 142782</t>
  </si>
  <si>
    <t>THICKNESS-CHANGEABLE SMART FABRICS, ASSEMBLED STRUCTURES,  METHODS OF ASSEMBLY, AND APPLICATIONS</t>
  </si>
  <si>
    <t xml:space="preserve"> 142783</t>
  </si>
  <si>
    <t>ARTICLE COMPRISING POROSITY-GENERATING SMART TEXTILES, ASSEMBLED STRUCTURES, METHODS OF ASSEMBLY, AND APPLICATIONS</t>
  </si>
  <si>
    <t xml:space="preserve"> 143437</t>
  </si>
  <si>
    <t>ARTICLE COMPRISING ADAPTIVE SMART TEXTILES MADE OF SHAPE MEMORY MATERIALS, METHOD FOR PRODUCING THEM, AND APPLICATIONS THEREOF</t>
  </si>
  <si>
    <t>15/780551</t>
  </si>
  <si>
    <t>05/31/2018</t>
  </si>
  <si>
    <t xml:space="preserve"> 142885</t>
  </si>
  <si>
    <t>HYPERELASTIC BINDER FOR PRINTED, STRETCHABLE ELECTRONICS</t>
  </si>
  <si>
    <t>15/820284</t>
  </si>
  <si>
    <t>11/21/2017</t>
  </si>
  <si>
    <t>143295</t>
  </si>
  <si>
    <t>ALL-PRINTED MAGNETICALLY SELF-HEALING DEVICES</t>
  </si>
  <si>
    <t>PCT/US2017/056414</t>
  </si>
  <si>
    <t>10/12/2017</t>
  </si>
  <si>
    <t>143119</t>
  </si>
  <si>
    <t>DE-AR0000536</t>
  </si>
  <si>
    <t>COILED ACTUATOR SYSTEM AND METHOD</t>
  </si>
  <si>
    <t>15/949881</t>
  </si>
  <si>
    <t>143234</t>
  </si>
  <si>
    <t>THERMALLY ADAPTIVE THREE-DIMENSIONAL STRUCTURES AND METHODS OF MAKING SAME</t>
  </si>
  <si>
    <t>143233</t>
  </si>
  <si>
    <t>THERMALLY ADAPTIVE FABRICS AND METHODS OF MAKING SAME</t>
  </si>
  <si>
    <t>62/638495</t>
  </si>
  <si>
    <t>03/05/2018</t>
  </si>
  <si>
    <t>143119-PCT</t>
  </si>
  <si>
    <t>PCT/US2018/026941</t>
  </si>
  <si>
    <t>143045-PCT</t>
  </si>
  <si>
    <t>DE-AR0000537</t>
  </si>
  <si>
    <t>LI-COR BIOSCIENCES, INC. - (LI-COR)</t>
  </si>
  <si>
    <t>MODE MATCHING METHOD FOR CAVITY ENHANCED ABSORPTION SPECTROSCOPY (CEAS)</t>
  </si>
  <si>
    <t>PCT/US2018/025331</t>
  </si>
  <si>
    <t>03/30/2018</t>
  </si>
  <si>
    <t>15/596695</t>
  </si>
  <si>
    <t>143045</t>
  </si>
  <si>
    <t>143499</t>
  </si>
  <si>
    <t>DE-AR0000538</t>
  </si>
  <si>
    <t>PRAEVIUM RESEARCH, INC. - (PRAVI)</t>
  </si>
  <si>
    <t>ELECTRICALLY PUMPED VERTICAL CAVITY LASER</t>
  </si>
  <si>
    <t>143134</t>
  </si>
  <si>
    <t>MID-INFRARED VERTICAL CAVITY LASER</t>
  </si>
  <si>
    <t xml:space="preserve">16/037850 </t>
  </si>
  <si>
    <t>07/17/2018</t>
  </si>
  <si>
    <t>143227</t>
  </si>
  <si>
    <t>RICE UNIVERSITY - (RICE UNIV)</t>
  </si>
  <si>
    <t>FOUR AND THREE SPHERICAL MIRRORS MULTIPASS CELL ACHIEVING DENSE ASTIGMATIC-LIKE SPOT PATTERNS</t>
  </si>
  <si>
    <t>07/31/2017</t>
  </si>
  <si>
    <t>143364</t>
  </si>
  <si>
    <t>DE-AR0000539</t>
  </si>
  <si>
    <t>TRACE GAS LEAK DETECTION USING OPEN PATH LASER MEASUREMENTS</t>
  </si>
  <si>
    <t>62/795996</t>
  </si>
  <si>
    <t>01/23/2019</t>
  </si>
  <si>
    <t>142977</t>
  </si>
  <si>
    <t>DETERMING A LOCATION AND SIZE OF A GAS SOURCE WITH A SPECTROMETER GAS</t>
  </si>
  <si>
    <t>15/729079</t>
  </si>
  <si>
    <t>125754-CON</t>
  </si>
  <si>
    <t>HUB AND SPOKE SYSTEM FOR DETECTING AND LOCATING GAS LEAKS</t>
  </si>
  <si>
    <t>16/263540</t>
  </si>
  <si>
    <t>05/11/2016</t>
  </si>
  <si>
    <t>125754</t>
  </si>
  <si>
    <t>FREQUENCY COMB-BASED TRACE GAS OBSERVATION NETWORK</t>
  </si>
  <si>
    <t>15/152543</t>
  </si>
  <si>
    <t>143050</t>
  </si>
  <si>
    <t>DE-AR0000540</t>
  </si>
  <si>
    <t>IBM THOMAS J. WASTON RESEARCH CENTER - (IBM THOMAS)</t>
  </si>
  <si>
    <t>A BAYESIAN APPROACH TO FUGITIVE GAS LEAK LOCALIZAIGTON IN OIL WELL PADS USING A SPATIALLY DISGTRUBTED SENSOR NETWORK.</t>
  </si>
  <si>
    <t>143282</t>
  </si>
  <si>
    <t>AN ETALON MODEL-HARDWARE CORRELATION FOR ACCELERATED LARGE-SCLAE ACCAURACY ASSESSMENT IN LASER-BASED ABSORPTION</t>
  </si>
  <si>
    <t>143280</t>
  </si>
  <si>
    <t>AN OPTICAL FRINGE SUPPERSION METHOD FOR ON-CHIP SPECTROSCOPIC SENSORS</t>
  </si>
  <si>
    <t>143281</t>
  </si>
  <si>
    <t>CORRECTING LASER RAMPING NONLINEARITIES USING AN IN-LINE FREQUENCY CALIBRATION REFERENCE FOR tunable diode laser absorption spectroscopy systems.</t>
  </si>
  <si>
    <t>143283</t>
  </si>
  <si>
    <t>FUGITIVE GAS SENSING ENCLOSURE WITH SHORT INTEGRATION TIME</t>
  </si>
  <si>
    <t>143098</t>
  </si>
  <si>
    <t>ON-CHIP SPECTROSCOPIC SENSORS WITH OPTICAL FRINGE SUPPRESSION</t>
  </si>
  <si>
    <t>15/914455</t>
  </si>
  <si>
    <t>03/07/2018</t>
  </si>
  <si>
    <t>162926</t>
  </si>
  <si>
    <t>162927</t>
  </si>
  <si>
    <t>SYSTEM AND METHOD TO DETECT METHANE GAS LEAKS USING AN UNMANNED AERIAL VEHICLE</t>
  </si>
  <si>
    <t>162928</t>
  </si>
  <si>
    <t>ADAPTIVE SENSING FOR METHANE GAS LEAK DETECTION</t>
  </si>
  <si>
    <t>143239</t>
  </si>
  <si>
    <t>FOURIER DOMAIN DYNAMIC CORRECTION METHOD FOR COMPLEX OPTICAL FRINGES IN LASERSPECTROMETERS</t>
  </si>
  <si>
    <t>15/981467</t>
  </si>
  <si>
    <t>147295</t>
  </si>
  <si>
    <t>INTERNATIONAL BUSINESS MACHINES (IBM) - (IBM)</t>
  </si>
  <si>
    <t>HEURISTIC BASED ANALYTICS FOR CH4 LEAK SOURCE IDENTIFICATION</t>
  </si>
  <si>
    <t>143486</t>
  </si>
  <si>
    <t>HOUSING FOR SENSITIVE GAS SENSOR</t>
  </si>
  <si>
    <t>143485</t>
  </si>
  <si>
    <t>METHODS AND APPARATUS FOR AUTONOMOUS GAS PLUMBE SENSING IN STATIONARY AND MOBILE APPLICATIONS</t>
  </si>
  <si>
    <t>142866</t>
  </si>
  <si>
    <t>142869</t>
  </si>
  <si>
    <t>SELF-ALIGNMENT FEATURES FOR III-V RIDGE-PROCESS AND/OR ANGLED FACET DIE</t>
  </si>
  <si>
    <t>142868</t>
  </si>
  <si>
    <t>UNTUNED, RESONANT TRACE GAS SENSING</t>
  </si>
  <si>
    <t>142872</t>
  </si>
  <si>
    <t>METHOD FOR IDENTIFYING POSSIBLE LOCATIONS OF METHANE LEAKS IN A GAS FIELD</t>
  </si>
  <si>
    <t>142923</t>
  </si>
  <si>
    <t>143481</t>
  </si>
  <si>
    <t>A FOURIER DOMAIN DYNAMIC CORRECTION METHOD FOR COMPLEX OPTICAL FRINGES IN LASER SPECTROMETERS</t>
  </si>
  <si>
    <t>143055</t>
  </si>
  <si>
    <t>WIRELESS SENSOR NETWORK FOR PREDICTIVE MAINTENANCE ON A GAS WELL PAD</t>
  </si>
  <si>
    <t>143051</t>
  </si>
  <si>
    <t xml:space="preserve">SYSTEM AND METHOD TO TIME SYNCHRONIZE MEASUREMENT FOR CHEMCIAL PLUMED CHARACTERIZATION </t>
  </si>
  <si>
    <t>143054</t>
  </si>
  <si>
    <t>CALIBRATION OF METHANE SENSORS</t>
  </si>
  <si>
    <t>143245</t>
  </si>
  <si>
    <t>AN ADAPTABLE REAL-TIME DATA ACQUISITION ARCHITECTURE FOR LINE-SCANNED TUNABLE DIODE LASER ABSORPTION SPECTROSCOPY</t>
  </si>
  <si>
    <t>143052</t>
  </si>
  <si>
    <t>METHOD AND APPARATUS FOR EVENT DRIVEN FUGITIVE GAS SENSING AND SOURCE ATTRIBUTION</t>
  </si>
  <si>
    <t>147323</t>
  </si>
  <si>
    <t>FUGATIVE GAS SENSING ENCLOSURE WITH SHORT INTEGRATION TIME</t>
  </si>
  <si>
    <t>142867</t>
  </si>
  <si>
    <t>143277</t>
  </si>
  <si>
    <t>DE-AR0000541</t>
  </si>
  <si>
    <t>REBELLION PHOTONICS, INC. - (REBELL)</t>
  </si>
  <si>
    <t>MOBILE GAS AND CHEMICAL IMAGING CAMERA</t>
  </si>
  <si>
    <t>62/584684</t>
  </si>
  <si>
    <t>142954</t>
  </si>
  <si>
    <t>142954-PCT</t>
  </si>
  <si>
    <t>PCT/US2017/057725</t>
  </si>
  <si>
    <t>142954-PROV</t>
  </si>
  <si>
    <t>62/584076</t>
  </si>
  <si>
    <t>11/09/2017</t>
  </si>
  <si>
    <t>142196</t>
  </si>
  <si>
    <t>DE-AR0000542</t>
  </si>
  <si>
    <t>PRINTED METHANE SENSOR ANNEALED NANPARTICLES</t>
  </si>
  <si>
    <t>15/853432</t>
  </si>
  <si>
    <t>12/22/2017</t>
  </si>
  <si>
    <t>142959</t>
  </si>
  <si>
    <t>METHOD TO CREATE HIGH FIDELITY MACHINE LEARNING TRAINING DATA FOR GAS LEAK QUANTIFICATION USING LASER SHEET IMAGE</t>
  </si>
  <si>
    <t>15/472018</t>
  </si>
  <si>
    <t>142960</t>
  </si>
  <si>
    <t>META-ANTENNA</t>
  </si>
  <si>
    <t>15/669725</t>
  </si>
  <si>
    <t>08/04/2017</t>
  </si>
  <si>
    <t>142961</t>
  </si>
  <si>
    <t>NANOPARTICLE-BASED PRINTED METHANE SENSOR</t>
  </si>
  <si>
    <t>15/582172</t>
  </si>
  <si>
    <t>143081</t>
  </si>
  <si>
    <t>COMPACT AND EFFICIENT MEMBRANE-BASED DEHUMIDIFIER OF GAS STREAMS</t>
  </si>
  <si>
    <t>125797</t>
  </si>
  <si>
    <t>DE-AR0000543</t>
  </si>
  <si>
    <t>MICROSTRUCTURED FIBER DESIGN FOR HOLLOW CORE GAS SENSING WITH SIDE HOLES</t>
  </si>
  <si>
    <t>142851</t>
  </si>
  <si>
    <t>METHOD FOR INSTALLATION OF OPTICAL FIBER FOR TUBE SENSING</t>
  </si>
  <si>
    <t>143246</t>
  </si>
  <si>
    <t xml:space="preserve">MULTI-POINT REMOTE SENSOR  </t>
  </si>
  <si>
    <t>143080</t>
  </si>
  <si>
    <t>GAS SENSOR NODE USING HOLLOW CORE FIBER OPTIC</t>
  </si>
  <si>
    <t>62/665218</t>
  </si>
  <si>
    <t>05/01/2018</t>
  </si>
  <si>
    <t>142220</t>
  </si>
  <si>
    <t>GAS SENSOR NODE PACKAGE DESIGN</t>
  </si>
  <si>
    <t>143145</t>
  </si>
  <si>
    <t xml:space="preserve">SENSOR TUBE FABRICATION </t>
  </si>
  <si>
    <t>142734</t>
  </si>
  <si>
    <t>METHODS FOR LOCALIZATION OF GAS LEAKS USING HOLLOW CORE FIBER</t>
  </si>
  <si>
    <t xml:space="preserve">15/154509 </t>
  </si>
  <si>
    <t>142796</t>
  </si>
  <si>
    <t>HOLLOW CORE FIBER DISTRIBUTED PIPELINE LEAK DETECTION SYSTEM FOR METHANE</t>
  </si>
  <si>
    <t>142973</t>
  </si>
  <si>
    <t>COMPACT SENSOR NODES AND SENSOR TUBE DESIGNS FOR PIPELINE AND PERIMETER GAS LEAK DETECTION</t>
  </si>
  <si>
    <t>62/665211</t>
  </si>
  <si>
    <t>142641</t>
  </si>
  <si>
    <t>LOCALIZATION OF CHEMICAL LEAKS USING THE PHENOMENON OF PHOTOACOUSTIC SIGNAL GENERATION IN HOLLOW-CORE FIBER</t>
  </si>
  <si>
    <t xml:space="preserve">14/977820 </t>
  </si>
  <si>
    <t>142913</t>
  </si>
  <si>
    <t>DE-AR0000544</t>
  </si>
  <si>
    <t>C.A. GOUDEY &amp; ASSOCIATES - (CA GOUDEY)</t>
  </si>
  <si>
    <t>GAS-MAPPING 3D IMAGER MEASUREMENT TECHNIQUES AND DATA PROCESSING</t>
  </si>
  <si>
    <t>10/05/2016</t>
  </si>
  <si>
    <t>142914</t>
  </si>
  <si>
    <t>HIGH-SENSITIVITY GAS-MAPPING 3D IMAGER AND METHOD OF OPERATION</t>
  </si>
  <si>
    <t>162872</t>
  </si>
  <si>
    <t>METHODS FOR HIGH CONFIDENCE AND HIGH SENSITIVITY LIDAR DECTECTION OF ANOMALOUS GAS CONCENTRATIONS</t>
  </si>
  <si>
    <t>11/14/2017</t>
  </si>
  <si>
    <t>162873</t>
  </si>
  <si>
    <t>METHODS FOR USING LIDAR MEASUREMENTS TO DETERMINE GAS FLUX</t>
  </si>
  <si>
    <t xml:space="preserve"> 143272</t>
  </si>
  <si>
    <t>DE-AR0000546</t>
  </si>
  <si>
    <t>DUKE UNIVERSITY - (DUKE UNIVE)</t>
  </si>
  <si>
    <t>COMPOUND-SPECIFIC CODING FOR MASS SPECTROMETRY</t>
  </si>
  <si>
    <t xml:space="preserve"> 143287</t>
  </si>
  <si>
    <t>AN AUTONOMOUS CODED APERTURE MINI MASS SPECTROMETER (AUTOCAMS) BASED METHANE SENSING SYSTEM</t>
  </si>
  <si>
    <t>143250</t>
  </si>
  <si>
    <t>CONSTANT CURRENT SOURCE BETWEEN POSITIVE AND NEGATIVE VOLTAGE</t>
  </si>
  <si>
    <t>142922</t>
  </si>
  <si>
    <t>MAGNETIC ASSEMBLY WITH HOLLOW ENCLOSURE WITH IMPROVED FIELD UNIFORMITY</t>
  </si>
  <si>
    <t>142912</t>
  </si>
  <si>
    <t>AN AUTONOMOUS CODES APERTURE MINI MASS SPECTROMETER (AUTOCAMMS) BASED METHANE SENSING SYSTEM</t>
  </si>
  <si>
    <t>142629-PCT2</t>
  </si>
  <si>
    <t>MAGNETIC ASSEMBLY WITH IMPROVED FIELD UNIFORMITY AND METHODS OF MAKING AND USING THE SAME</t>
  </si>
  <si>
    <t>62/566581</t>
  </si>
  <si>
    <t>16/206800</t>
  </si>
  <si>
    <t>142629</t>
  </si>
  <si>
    <t>11/30/2018</t>
  </si>
  <si>
    <t>143327</t>
  </si>
  <si>
    <t>DE-AR0000547</t>
  </si>
  <si>
    <t>MAXION TECHNOLOGIES, INC. - (MAXIONTECH)</t>
  </si>
  <si>
    <t>DISTRIBUTED FEDBACK INTERBAND CASCADE LASERS WITH CORRUGATED SIDEWALL</t>
  </si>
  <si>
    <t>62/503063</t>
  </si>
  <si>
    <t>05/08/2017</t>
  </si>
  <si>
    <t>142910-pct</t>
  </si>
  <si>
    <t>DE-AR0000556</t>
  </si>
  <si>
    <t xml:space="preserve"> MOLECULAR RHEOSTAT FOR COFACTOR BALANCE</t>
  </si>
  <si>
    <t>PCT/US2017/057156</t>
  </si>
  <si>
    <t>62/409731</t>
  </si>
  <si>
    <t>142910</t>
  </si>
  <si>
    <t>142906</t>
  </si>
  <si>
    <t>METHOD AND APPARATUS FOR REAL-TIME MEASUREMENT OF FUEL GAS COMPOSITIONS AND HEATING VALUES</t>
  </si>
  <si>
    <t>13/887563</t>
  </si>
  <si>
    <t>9291610</t>
  </si>
  <si>
    <t>162839</t>
  </si>
  <si>
    <t xml:space="preserve"> STABLE ENZYMES FOR BIOPROCESSING</t>
  </si>
  <si>
    <t>03/05/2019</t>
  </si>
  <si>
    <t>162840</t>
  </si>
  <si>
    <t xml:space="preserve"> A METHOD FOR PRODUCING  MALONATE-DERIVED CHEMICALS</t>
  </si>
  <si>
    <t>162845</t>
  </si>
  <si>
    <t xml:space="preserve"> CELL-FREE PATHWAYS FOR GENERATING TERPENDOID AND POLYKETIDE PRODUCTS</t>
  </si>
  <si>
    <t>125771</t>
  </si>
  <si>
    <t>A HYBRID PATHWAY FOR THE IN VITRO CONVERSION OF GLUCOSE TO ACETYL-COA DERIVED PRODUCTS</t>
  </si>
  <si>
    <t>143545</t>
  </si>
  <si>
    <t>BIOSYNTHESIS OF INSECT PHEROMONES AND PRECURSORS THEREOF</t>
  </si>
  <si>
    <t>162833</t>
  </si>
  <si>
    <t>DE-AR0000563</t>
  </si>
  <si>
    <t>MONOLITHIC HIGH FIELD MAGNETS FOR PLASMA TARGET COMPRESION</t>
  </si>
  <si>
    <t>143072</t>
  </si>
  <si>
    <t>DE-AR0000571</t>
  </si>
  <si>
    <t>FUSION POWER REACTOR BASED ON THE SHEAR-FLOW-STABILIZED Z-PINCH</t>
  </si>
  <si>
    <t>62/516508</t>
  </si>
  <si>
    <t>142989</t>
  </si>
  <si>
    <t>PRODUCTION OF SHEARED FLOW Z-PINCH PLASMAS</t>
  </si>
  <si>
    <t>143072-pct</t>
  </si>
  <si>
    <t>PCT/US2018/036388</t>
  </si>
  <si>
    <t>142975</t>
  </si>
  <si>
    <t>DE-AR0000573</t>
  </si>
  <si>
    <t>TAPERED NOZZLE FOR FUSED FILAMENT FAVRICATION WITH FILLED MATERIALS</t>
  </si>
  <si>
    <t>143262</t>
  </si>
  <si>
    <t>EXPANSION NOZZLE FOR REORIENTATION OF FILLERS IN MATERIAL EXTRUSTION ADDITIVE MANUFACTURING</t>
  </si>
  <si>
    <t>143458</t>
  </si>
  <si>
    <t>3D STRUCTURES AND METHODS THEREFOR</t>
  </si>
  <si>
    <t>16/193733</t>
  </si>
  <si>
    <t>143459</t>
  </si>
  <si>
    <t>THERMALLY CONDUCTIVE POLYMER COMPOSITE FOR 3D PRINTING</t>
  </si>
  <si>
    <t>142646</t>
  </si>
  <si>
    <t>DE-AR0000575</t>
  </si>
  <si>
    <t>CONDENSING FLUE GAS FOR SUB-AMBIENT EVAPORATIVE COOLING AND COOL STORAGE</t>
  </si>
  <si>
    <t>15/293723</t>
  </si>
  <si>
    <t>10/14/2016</t>
  </si>
  <si>
    <t>143189</t>
  </si>
  <si>
    <t>DE-AR0000576</t>
  </si>
  <si>
    <t>SOLAR SCREEN FOR RADIATIVE COOLING APPLICATIONS</t>
  </si>
  <si>
    <t>143449</t>
  </si>
  <si>
    <t>DE-AR0000577</t>
  </si>
  <si>
    <t>PHASE CHANGE THERMAL ENERGY STORAGE AS THERMALMANAGEMENT SOLUTION FOR COMPUTING PLATFORMS AND HIGH HEAT FLUX DEVICES</t>
  </si>
  <si>
    <t>62/743892</t>
  </si>
  <si>
    <t>10/24/2018</t>
  </si>
  <si>
    <t>143204</t>
  </si>
  <si>
    <t>MATERIALS FORMULATIONS USING ZINC NITRATE HEXAHYDRATE FOR ENERGY STORAGE APPLICATIONS</t>
  </si>
  <si>
    <t>62/656964</t>
  </si>
  <si>
    <t>04/12/2018</t>
  </si>
  <si>
    <t>142944</t>
  </si>
  <si>
    <t>DE-AR0000578</t>
  </si>
  <si>
    <t xml:space="preserve">METHOD FOR CRYSTALLIZATION CONTROL IN LITHIUM BROMIDE CHILLER USING A CRYSTALLIZATION INHIBITOR </t>
  </si>
  <si>
    <t>142944PCT</t>
  </si>
  <si>
    <t>ABSORPTION CYCLE APPARATUS AND RELATED METHOD</t>
  </si>
  <si>
    <t>PCT/US2017/026218</t>
  </si>
  <si>
    <t>142724</t>
  </si>
  <si>
    <t>DE-AR0000580</t>
  </si>
  <si>
    <t>RADICOOL SURFACES AND RADICOLD MODULES</t>
  </si>
  <si>
    <t>15/056680</t>
  </si>
  <si>
    <t>142949</t>
  </si>
  <si>
    <t>DE-AR0000581</t>
  </si>
  <si>
    <t>TDA RESEARCH, INC. - (TDA RESEAR)</t>
  </si>
  <si>
    <t>NOVEL COOLING FOR DRY COOLING POWER PLANTS</t>
  </si>
  <si>
    <t>15/149152</t>
  </si>
  <si>
    <t>11/02/2016</t>
  </si>
  <si>
    <t>142909</t>
  </si>
  <si>
    <t>DE-AR0000582</t>
  </si>
  <si>
    <t>ADVANCED COOLING TECHNOLOGIES, INC. - (ADVAN)</t>
  </si>
  <si>
    <t>PHASE CHANGE MATERIAL WITH TUNABLE PHASE CHANGE TEMPERATURE</t>
  </si>
  <si>
    <t>15/689245</t>
  </si>
  <si>
    <t>142896</t>
  </si>
  <si>
    <t xml:space="preserve">HEAT PIPE - THERMAL STORAGE MEDIUM BASED COOL STORAGE SYSTEM </t>
  </si>
  <si>
    <t>15/270083</t>
  </si>
  <si>
    <t>143536</t>
  </si>
  <si>
    <t>143537</t>
  </si>
  <si>
    <t>142857</t>
  </si>
  <si>
    <t>DE-AR0000583</t>
  </si>
  <si>
    <t>SPRAY ON COATINGS FOR COOLING A SURFACE BY PASSIVE RADIATIVE COOLING</t>
  </si>
  <si>
    <t>15/444029</t>
  </si>
  <si>
    <t>06/18/2019</t>
  </si>
  <si>
    <t>142927</t>
  </si>
  <si>
    <t>DE-AR0000584</t>
  </si>
  <si>
    <t>HEAT EXCHANGER AND METHOD OF FABRICATION</t>
  </si>
  <si>
    <t>143104</t>
  </si>
  <si>
    <t>DE-AR0000585</t>
  </si>
  <si>
    <t>INTEGRATING ABSORPTION CHILLER TO DIRECT ACC FOR POWER PLANT COOLING</t>
  </si>
  <si>
    <t>143206</t>
  </si>
  <si>
    <t>DE-AR0000593</t>
  </si>
  <si>
    <t>MANUAL ADJUSTMENT TOOL FOR ROW LENGTH, PLOT BOUNDARIES, AND HEAT MAP OF FIELD IMAGES</t>
  </si>
  <si>
    <t>143178</t>
  </si>
  <si>
    <t>BORESIGHT CALIBRATION OF GNSS/INS-ASSISTED PUSH-BROM SCANER; CONCEPT, METHODOLOGY, AND IMPLEMENTATION</t>
  </si>
  <si>
    <t>143179</t>
  </si>
  <si>
    <t>REGULARIZED MULTI-METRIC ACTIVE LEARNING FOR CLASSIFICATION</t>
  </si>
  <si>
    <t>142926</t>
  </si>
  <si>
    <t>IMPROVING ORTHO-RECTIFICATGIONOF UAV-BASED PUSH-BROOM SCANNER IMAGERY USING DERIVED OTHPHOTOS FROM FRAME CAMERAS</t>
  </si>
  <si>
    <t>15/714481</t>
  </si>
  <si>
    <t>142926-CON</t>
  </si>
  <si>
    <t>METHOD OF PROCESSING AN IMAGE</t>
  </si>
  <si>
    <t>16/233005</t>
  </si>
  <si>
    <t>12/26/2018</t>
  </si>
  <si>
    <t>143479</t>
  </si>
  <si>
    <t>UNMANNED AERIAL VEHICLED (UAV) - BASED DETERMINATION OF PLANT STAND COUNTS, SPACING, LOCATION, AND LEAF AREA</t>
  </si>
  <si>
    <t>16/103909</t>
  </si>
  <si>
    <t>08/14/2018</t>
  </si>
  <si>
    <t>162890</t>
  </si>
  <si>
    <t>DE-AR0000594</t>
  </si>
  <si>
    <t>METHOD FOR IMPROVING COLD-TOLERANCE OF PLANTS THROUGH ALLECLIC VARIATION IN PLASTOCYANIN</t>
  </si>
  <si>
    <t>62/831026</t>
  </si>
  <si>
    <t>04/08/2019</t>
  </si>
  <si>
    <t>142838</t>
  </si>
  <si>
    <t>GLITTER IMAGING FOR POSE ESTIMATION</t>
  </si>
  <si>
    <t>143043</t>
  </si>
  <si>
    <t>INTEGRATED FIELD PHENOTYPING AND MANAGEMENT PLATFORM FOR CROP DEVELOPMENT AND PRECISION AGRICULTURE</t>
  </si>
  <si>
    <t>162830</t>
  </si>
  <si>
    <t>DE-AR0000595</t>
  </si>
  <si>
    <t>STALKNET: A DEEP LEARNING ARCHITECTURE FOR IMAGE BASED PLANT PHENOTYPING</t>
  </si>
  <si>
    <t>162829</t>
  </si>
  <si>
    <t>THE ROBOTANIST AND A STEREO IMAGER WITH LED FLASH DESIGNED FOR AGRICULTURAL USE</t>
  </si>
  <si>
    <t>143289</t>
  </si>
  <si>
    <t>CLEMSON SORGHUM VARIETY, 16FL229</t>
  </si>
  <si>
    <t>PV201900299</t>
  </si>
  <si>
    <t>07/25/2019</t>
  </si>
  <si>
    <t>143290</t>
  </si>
  <si>
    <t>16FL193</t>
  </si>
  <si>
    <t>143288</t>
  </si>
  <si>
    <t>16FL201</t>
  </si>
  <si>
    <t>162850</t>
  </si>
  <si>
    <t>CLEMSON SORGHUM BREEDING GERMPLASM PIPELINE</t>
  </si>
  <si>
    <t>143207</t>
  </si>
  <si>
    <t>DE-AR0000598</t>
  </si>
  <si>
    <t>METHOD AND ALGORITUMS FOR LIDAR BASED ROW-FOLLOWING AUTONOMOUS NAVIGATION OF A AGRICULTURAL ROBOTS</t>
  </si>
  <si>
    <t>143440</t>
  </si>
  <si>
    <t>MULTIPURPOSE DEXTEROUS SOFT AND CONTINUUM MANIPULATORS FOR AG-BOTS</t>
  </si>
  <si>
    <t>143403</t>
  </si>
  <si>
    <t>AUTOMATED ANALYSIS OF PHOTOGRAPHS TO ESTIMATE LEAF AREA INDEX</t>
  </si>
  <si>
    <t>142983</t>
  </si>
  <si>
    <t>METHOD FOR DETECTING STEM WIDTH OF PLANTS ON A MOVING PLATFORM OF SENSORS</t>
  </si>
  <si>
    <t>62/408069</t>
  </si>
  <si>
    <t>142984</t>
  </si>
  <si>
    <t>METHOD FOR ESTIMATING PLANT HEIGHT ON A MOVING PLATFORM</t>
  </si>
  <si>
    <t>62/408072</t>
  </si>
  <si>
    <t>142985</t>
  </si>
  <si>
    <t>62/413985</t>
  </si>
  <si>
    <t>143177</t>
  </si>
  <si>
    <t>METHOD AND ALGORITUMS FOR ROBOT BASED PLANT PHENOTYPING USING CAMERAS AND MACHINE LEARNING</t>
  </si>
  <si>
    <t>143015</t>
  </si>
  <si>
    <t>MOBILE IN-FIELD AGRICULTRAL CROP INTERACTION ROBOT</t>
  </si>
  <si>
    <t>143014</t>
  </si>
  <si>
    <t>APPROACH FOR CONTROL OF ENVIRONMENTAL CONDITIONS IN SCIENTIFIC EQUIPMENT</t>
  </si>
  <si>
    <t>143166</t>
  </si>
  <si>
    <t>ROBOT-BASED PHENOTYPING USING DEEP LEARNING</t>
  </si>
  <si>
    <t>PCT/US2018/047947</t>
  </si>
  <si>
    <t>08/24/2018</t>
  </si>
  <si>
    <t>143338</t>
  </si>
  <si>
    <t>ROBOT-BASED CROP STEM WIDTH ESTIMATION IN HIGHLY CLUTTERED FIELD ENVIRONMENT</t>
  </si>
  <si>
    <t>143326</t>
  </si>
  <si>
    <t>DE-AR0000600</t>
  </si>
  <si>
    <t>THERMAL BARRIER COATINGS CONTAINING ALUMINOSILICATE PARTICLES</t>
  </si>
  <si>
    <t>16/036364</t>
  </si>
  <si>
    <t>07/16/2018</t>
  </si>
  <si>
    <t>143375</t>
  </si>
  <si>
    <t>ENGINE WITH COMPACT VALVETRAIN</t>
  </si>
  <si>
    <t>143376</t>
  </si>
  <si>
    <t>ENGINE WINSULATING COATING</t>
  </si>
  <si>
    <t>162826</t>
  </si>
  <si>
    <t>DE-AR0000603</t>
  </si>
  <si>
    <t>SMALL CLOSED CYCLE BRAYTON WITH INTERNAL COMBUSTION</t>
  </si>
  <si>
    <t>162827</t>
  </si>
  <si>
    <t>1 kWe BRAYTON CYCLE CHIP</t>
  </si>
  <si>
    <t>162805</t>
  </si>
  <si>
    <t>DE-AR0000604</t>
  </si>
  <si>
    <t>PRECISION COMBUSTION, INC. - (PCI)</t>
  </si>
  <si>
    <t>TWO STAGE COMBUSTOR</t>
  </si>
  <si>
    <t>62/813785</t>
  </si>
  <si>
    <t>03/27/2019</t>
  </si>
  <si>
    <t>142630</t>
  </si>
  <si>
    <t>SUNPOWER, INC. - (SUNPOINC)</t>
  </si>
  <si>
    <t>CYLINDER ATTACHMENT METHOD FOR STIRLING MACHINES</t>
  </si>
  <si>
    <t>143335</t>
  </si>
  <si>
    <t>DE-AR0000608</t>
  </si>
  <si>
    <t>WEST VIRGINIA UNIVERSITY - (WEST VIRGI)</t>
  </si>
  <si>
    <t>OSCILLATING LINEAR MACHINE</t>
  </si>
  <si>
    <t>162876</t>
  </si>
  <si>
    <t>RESONANCE  LINEAR ELECTRIC MACHINE</t>
  </si>
  <si>
    <t>05/31/2019</t>
  </si>
  <si>
    <t>143408</t>
  </si>
  <si>
    <t>DE-AR0000611</t>
  </si>
  <si>
    <t>PERSONALIZED RECOMMENDATIONS USING DISCRETE CHOICE MODELS WITH INTER- AND INTRA-CONSUMER HETEROGENEITY</t>
  </si>
  <si>
    <t>143170</t>
  </si>
  <si>
    <t>DE-AR0000612</t>
  </si>
  <si>
    <t>SYSTEM AND METHOD FOR CHOOSING A COLLABORATIVELY OPTIMAL TRANSPORT PLAN</t>
  </si>
  <si>
    <t>143171</t>
  </si>
  <si>
    <t xml:space="preserve">PRODUCTIVE TRANSPORTATION </t>
  </si>
  <si>
    <t>143172</t>
  </si>
  <si>
    <t>RIDE MATCHING FOR SOCIAL ADVANTAGE</t>
  </si>
  <si>
    <t>143173</t>
  </si>
  <si>
    <t>TRANSPORTATION BEHAVIOR INFLUENCE</t>
  </si>
  <si>
    <t>143169</t>
  </si>
  <si>
    <t>COLLABORATIVE ECO-DRIVING</t>
  </si>
  <si>
    <t>143480</t>
  </si>
  <si>
    <t>DE-AR0000615</t>
  </si>
  <si>
    <t>INCEN TRIP</t>
  </si>
  <si>
    <t>09/13/2018</t>
  </si>
  <si>
    <t>142751</t>
  </si>
  <si>
    <t>DE-AR0000616</t>
  </si>
  <si>
    <t>JOHNS HOPKINS UNIVERSITY - (JOHNS HOPK)</t>
  </si>
  <si>
    <t>METHOD OF CARBON DIOXIDE-FREE HYDROGEN PRODUCTION FROM HYDROCARBON DECOMPOSITION OVER METAL SALTS</t>
  </si>
  <si>
    <t xml:space="preserve">9776860 </t>
  </si>
  <si>
    <t>142946-PCT</t>
  </si>
  <si>
    <t>DE-AR0000618</t>
  </si>
  <si>
    <t>COLORADO STATE UNIVERSITY - (COLORADO UNIV)</t>
  </si>
  <si>
    <t>MULTISTAGE MATCHING NETWORK AND RELATED TECHNIQUES</t>
  </si>
  <si>
    <t>PCT/US2017/039307</t>
  </si>
  <si>
    <t>15/636639</t>
  </si>
  <si>
    <t>143078-PCT</t>
  </si>
  <si>
    <t>MATCHING NETWORKS FOR WIRELESS POWER TRANSFER AND RELATED TECHNIQUES</t>
  </si>
  <si>
    <t>PCT/US2017/03932</t>
  </si>
  <si>
    <t>15/633668</t>
  </si>
  <si>
    <t>143138</t>
  </si>
  <si>
    <t>MULTI-MODULAR CAPACITIVE WIRELESS POWER TRANSFER CIRCUIT AND RELATED TECHNIQUES</t>
  </si>
  <si>
    <t>PCT/US2018/044879</t>
  </si>
  <si>
    <t>08/01/2018</t>
  </si>
  <si>
    <t>143222</t>
  </si>
  <si>
    <t>CAPACITIVE WIRELESS POWER TRANSFER CIRCUIT AND RELATED TECHNIQUES</t>
  </si>
  <si>
    <t>16/239420</t>
  </si>
  <si>
    <t>01/03/2019</t>
  </si>
  <si>
    <t>143222-PCT</t>
  </si>
  <si>
    <t>PCT/US2019/012213</t>
  </si>
  <si>
    <t>01/09/2019</t>
  </si>
  <si>
    <t>142946</t>
  </si>
  <si>
    <t>143078</t>
  </si>
  <si>
    <t>DE-AR0000621</t>
  </si>
  <si>
    <t xml:space="preserve">DETERMATION OF CHARACTERISTICS OF ELECTROCHEMICAL SYSTEMS USING ACOUSTIC SIGNALS </t>
  </si>
  <si>
    <t>16/117421</t>
  </si>
  <si>
    <t>143149</t>
  </si>
  <si>
    <t>143150</t>
  </si>
  <si>
    <t>SPATIAL HOMOGENEITY DETECTION OF LITHIUM ION BATTERIES WITH ELECTROCHEMICAL - ACOUSTIC ANALYSIS</t>
  </si>
  <si>
    <t>142907-PCT</t>
  </si>
  <si>
    <t>DE-AR0000625</t>
  </si>
  <si>
    <t>BROADBAND AND OMINDIRECTIONAL POLYMER ANTIREFLECTION COATINGS</t>
  </si>
  <si>
    <t>PCT/US2018/012913</t>
  </si>
  <si>
    <t>142907</t>
  </si>
  <si>
    <t>16/465641</t>
  </si>
  <si>
    <t>143190</t>
  </si>
  <si>
    <t>DE-AR0000626</t>
  </si>
  <si>
    <t>BROADBAND AND OMNIDIRECTIONAL POLYMER ANTIREFLECTION COATINGS</t>
  </si>
  <si>
    <t>143514</t>
  </si>
  <si>
    <t>CONCENTRATING PHOTOVOLTAIC DAYLIGHTING</t>
  </si>
  <si>
    <t>162817</t>
  </si>
  <si>
    <t>DE-AR0000627</t>
  </si>
  <si>
    <t>DIRECTIONAL AND COUPLED LUMINOPHORE EMISSION IN NANOSTRUCTURED OPTICAL ENVIROMENTS</t>
  </si>
  <si>
    <t>143159</t>
  </si>
  <si>
    <t>LUMINESCENT SOLAR CONCENTRATORS AND RELATED METHODS OF MANUFACTURING</t>
  </si>
  <si>
    <t>16/113844</t>
  </si>
  <si>
    <t>142969</t>
  </si>
  <si>
    <t>DE-AR0000631</t>
  </si>
  <si>
    <t>TRANSPARENT OPTICAL COUPLER ACTIVE MATRIX ARRAY</t>
  </si>
  <si>
    <t>15/582296</t>
  </si>
  <si>
    <t>142970</t>
  </si>
  <si>
    <t>A HIGH REGISTRATION PARTICLES TRANSFERING SYSTEM</t>
  </si>
  <si>
    <t>15/591959</t>
  </si>
  <si>
    <t>143431</t>
  </si>
  <si>
    <t>REGISTERED VACUUM TRANSFER</t>
  </si>
  <si>
    <t>143464</t>
  </si>
  <si>
    <t>PARALLED 2D MATERIAL ASSEMBLY USDING SACRIFICIAL CHIPLETS</t>
  </si>
  <si>
    <t>142061</t>
  </si>
  <si>
    <t>DE-AR0000633</t>
  </si>
  <si>
    <t>UNIVERSITY OF ROCHESTER - (UNIVEOFROC)</t>
  </si>
  <si>
    <t>MULTIPLE LAYER OPTICS FOR LIGHT COLLECTING AND EMITTING APPARATUS</t>
  </si>
  <si>
    <t>15/372975</t>
  </si>
  <si>
    <t>12/08/2016</t>
  </si>
  <si>
    <t>143061</t>
  </si>
  <si>
    <t>143006</t>
  </si>
  <si>
    <t>DE-AR0000646</t>
  </si>
  <si>
    <t>THERMAL AND MECHANICAL DESIGN OF ENERGY STORAGE DEVICE</t>
  </si>
  <si>
    <t>142795</t>
  </si>
  <si>
    <t>NOVEL ELECTROCHEMICAL ENERGY STORAGE DEVICE</t>
  </si>
  <si>
    <t>143492</t>
  </si>
  <si>
    <t>DE-AR0000647</t>
  </si>
  <si>
    <t>Sencera Energy Inc. - (Sencera)</t>
  </si>
  <si>
    <t xml:space="preserve"> POLYMER AEROGELS WITH DECOUPLED PORE SIZE AND PROSITY </t>
  </si>
  <si>
    <t>10/29/2018</t>
  </si>
  <si>
    <t>143490</t>
  </si>
  <si>
    <t xml:space="preserve"> A RECUPERATING COAXIAL BURNING OPERATION INSIDE OF A CYLINDRICAL HEAT EXCHANGER</t>
  </si>
  <si>
    <t>143260</t>
  </si>
  <si>
    <t>DE-AR0000648</t>
  </si>
  <si>
    <t>DUAL GENERATOR CO-ROTATING OLDHAM RING SCROLL COMPRESSOR</t>
  </si>
  <si>
    <t>143258</t>
  </si>
  <si>
    <t>SCROLL COMPRESSOR, EXPANDER OR VACUM PUMP WITH CANNED MOTOR OR GENERATOR</t>
  </si>
  <si>
    <t>162836</t>
  </si>
  <si>
    <t>DE-AR0000650</t>
  </si>
  <si>
    <t>UNIVERESITY OF ROCHESTER - (MOLECULE)</t>
  </si>
  <si>
    <t>REACTOR FOR HYDROTHERMAL GROWTH OF STRUCTURED MATERIALS</t>
  </si>
  <si>
    <t>16/235655</t>
  </si>
  <si>
    <t>12/28/2018</t>
  </si>
  <si>
    <t>162837</t>
  </si>
  <si>
    <t>PROCESS AND APPARATUS FOR CONTINUOUS PRODUCTION OF POROUS STRUCTURES</t>
  </si>
  <si>
    <t>16/235178</t>
  </si>
  <si>
    <t>143284</t>
  </si>
  <si>
    <t>DE-AR0000653</t>
  </si>
  <si>
    <t>HYBRID ELECTROLYTES FOR SOLID STATE LITHIUM BATTERIES</t>
  </si>
  <si>
    <t>143285</t>
  </si>
  <si>
    <t xml:space="preserve">PHYSICAL MODEL-GUIDED MACHINE LEARNING FRAMEWORK FOR ENERGY MANAGEMENT OF RANGE-EXTENDED HYBRID ELECTRIC DELIVERY VEHICLE </t>
  </si>
  <si>
    <t>62/743321</t>
  </si>
  <si>
    <t>10/09/2018</t>
  </si>
  <si>
    <t>143359</t>
  </si>
  <si>
    <t>DE-AR0000654</t>
  </si>
  <si>
    <t>STABLE SOLID STATE ELECTROLYTE FOR SODIUM BATTERY</t>
  </si>
  <si>
    <t>143305</t>
  </si>
  <si>
    <t>DE-AR0000655</t>
  </si>
  <si>
    <t>CUMMINS, INC - (CUMM)</t>
  </si>
  <si>
    <t>ADAPTIVE PLATOONING FOR FAST WARM-UP THERMAL MANAGEMENT</t>
  </si>
  <si>
    <t>62/579331</t>
  </si>
  <si>
    <t>142879</t>
  </si>
  <si>
    <t>ALUMINUM ALLOYS PISTON BODY WITH CAST IN CROWN INSERT AND INSULATING CORE I</t>
  </si>
  <si>
    <t>142880</t>
  </si>
  <si>
    <t>STEP-FILLED PISTON HEAD DESIGN</t>
  </si>
  <si>
    <t>142881</t>
  </si>
  <si>
    <t>CAPPED PISTON WITH FOUR BOLT DESIGN AND LOW THERMAL CONDUCTIVITY</t>
  </si>
  <si>
    <t>143256</t>
  </si>
  <si>
    <t>EXHAUST WATER INJECTION TO REDUCE TURBOCHARGER TURBINE INLET TEMPERATURES</t>
  </si>
  <si>
    <t>162824</t>
  </si>
  <si>
    <t>DE-AR0000657</t>
  </si>
  <si>
    <t>ACHATES POWER, INC. - (UNVOFCALBER)</t>
  </si>
  <si>
    <t>SHROUDED/INERTIAL TYPE CRANK CASE VENTILATION OIL SEPARATOR INTEGRATED IN TAIL OF CRANKSHAFT</t>
  </si>
  <si>
    <t>03/21/2019</t>
  </si>
  <si>
    <t>162825</t>
  </si>
  <si>
    <t>A VARIETY OF PORT DESIGNS</t>
  </si>
  <si>
    <t>03/28/2019</t>
  </si>
  <si>
    <t>143212</t>
  </si>
  <si>
    <t>OVAL PULLEY FOR AN OPPOSED-PISTON ENGINE</t>
  </si>
  <si>
    <t>143213</t>
  </si>
  <si>
    <t>LIPLESS PISTON BOWL SHAPE IN AN OPPOSED-PISTON ENGINE</t>
  </si>
  <si>
    <t>142832</t>
  </si>
  <si>
    <t>GASOLINE COMPRESSION IGNITION ENGINE COMBUSTION NOISE COUTERMEASURE</t>
  </si>
  <si>
    <t>142836</t>
  </si>
  <si>
    <t>THREE PIECE BI-AXIAL BEARING SHELL</t>
  </si>
  <si>
    <t>142834</t>
  </si>
  <si>
    <t>2-SPEED SUPERCHARGER NBELT DRIVE</t>
  </si>
  <si>
    <t>143427</t>
  </si>
  <si>
    <t>CYLINDER PORT (ROOF AND FLOOR) DESIGN IN OPPOSED-PISTON TWO-STROKE ENGINES</t>
  </si>
  <si>
    <t>143428</t>
  </si>
  <si>
    <t>ECU CONTROLLED OPPOSED-PISTON THERMAL MANAGEMENT SYSTEM</t>
  </si>
  <si>
    <t>143429</t>
  </si>
  <si>
    <t>UNFILTERED PISTON COOLING OIL LAYOUT</t>
  </si>
  <si>
    <t>143430</t>
  </si>
  <si>
    <t>CYLINDER LINER TANGENTIAL FLOW GEOMETRY</t>
  </si>
  <si>
    <t>142971</t>
  </si>
  <si>
    <t>PISTON UNDERCROWN COOLING FEATURE FOR UNIFORM RING GROOVE TEMPERATURES</t>
  </si>
  <si>
    <t>142835</t>
  </si>
  <si>
    <t>INDIVIDUAL PLUNGER PUMP LAYOUT ON OP ENGINES</t>
  </si>
  <si>
    <t>142951</t>
  </si>
  <si>
    <t>CYLINDER LINER PORT BRIDGE OPENING SHAPE IN OP25 ENGINES</t>
  </si>
  <si>
    <t>143356</t>
  </si>
  <si>
    <t>OPPOSED PISTON AIR SYSTEM LAYOUT PACKAGED WITHIN A VEHICLE ENGINE BAY</t>
  </si>
  <si>
    <t>16/414082</t>
  </si>
  <si>
    <t>05/16/2019</t>
  </si>
  <si>
    <t>143356-PROV2</t>
  </si>
  <si>
    <t>OPPOSED PISTON ENGINE IN LIGHT-DUTY TRUCK</t>
  </si>
  <si>
    <t>62/693217</t>
  </si>
  <si>
    <t>07/02/2018</t>
  </si>
  <si>
    <t>142862-PCT</t>
  </si>
  <si>
    <t>GEAR TRAIN FOR OPPOSED-PISTON ENGINES</t>
  </si>
  <si>
    <t>PCT/US2017/057017</t>
  </si>
  <si>
    <t>142862</t>
  </si>
  <si>
    <t>16/382022</t>
  </si>
  <si>
    <t>04/11/2019</t>
  </si>
  <si>
    <t>142863</t>
  </si>
  <si>
    <t>PISTON COMBINATIONS FOR OPPOSED-PISTON ENGINES</t>
  </si>
  <si>
    <t>16/445558</t>
  </si>
  <si>
    <t>06/19/2019</t>
  </si>
  <si>
    <t>143356-PCT</t>
  </si>
  <si>
    <t>PCT/US2019/032618</t>
  </si>
  <si>
    <t>143334</t>
  </si>
  <si>
    <t>DE-AR0000658</t>
  </si>
  <si>
    <t>OCEAN RENEWABLE POWER COMPANY - (ORPC)</t>
  </si>
  <si>
    <t xml:space="preserve">AUTONOMOUS UNDERWATER VEHICLES  </t>
  </si>
  <si>
    <t>143286</t>
  </si>
  <si>
    <t>AUTONOMOUS VEHICLE FOR MARINE OPERATIONS</t>
  </si>
  <si>
    <t>62/456817</t>
  </si>
  <si>
    <t>02/09/2017</t>
  </si>
  <si>
    <t>162885</t>
  </si>
  <si>
    <t>NOISE REDUCTION AT BLADE RATE FREQUENCY USING CLOCKING OF ACOUSTIC SOURCES</t>
  </si>
  <si>
    <t>143465</t>
  </si>
  <si>
    <t>DE-AR0000660</t>
  </si>
  <si>
    <t>UNIVERSITY OF TENNESSEE SYSTEM - (UNIVTEN)</t>
  </si>
  <si>
    <t>DEVELOPMENT OF AN EPISOMAL PLASMID (MINICIRCLE) PLANT ENGINEERING SYSTEM</t>
  </si>
  <si>
    <t>143210</t>
  </si>
  <si>
    <t>DE-AR0000664</t>
  </si>
  <si>
    <t xml:space="preserve">SMALL GAP DEVICE SYSTEM AND METHOD OF FABRICATON </t>
  </si>
  <si>
    <t>143208</t>
  </si>
  <si>
    <t>LIQUID METAL DROPLETS FOR MICROSCALE DROPLET SPRING INTERCONNECTS</t>
  </si>
  <si>
    <t>143164</t>
  </si>
  <si>
    <t>MEMS VACUUM SEAL RING</t>
  </si>
  <si>
    <t>162798</t>
  </si>
  <si>
    <t>SYSTEM AND METHOD FOR THERMIONIC ENERGY CONVERSION</t>
  </si>
  <si>
    <t>143209-PROV3</t>
  </si>
  <si>
    <t>WAFER-SCALE ALD STANDOFFS FOR MICROGAP THERMIONIC ENERGY CONVERSION</t>
  </si>
  <si>
    <t>62/536202</t>
  </si>
  <si>
    <t>07/24/2017</t>
  </si>
  <si>
    <t>143205</t>
  </si>
  <si>
    <t>DOD/DARPA - (DOD)</t>
  </si>
  <si>
    <t>SYSTEM AND METHOD FOR WORK FUNCTION REDUCTION AND THERMIONIC ENERGY CONVERSION</t>
  </si>
  <si>
    <t>143209</t>
  </si>
  <si>
    <t>SMALL GAP DEVICE SYSTEM AND METHOD OF FABRICATION</t>
  </si>
  <si>
    <t>16/044215</t>
  </si>
  <si>
    <t>143209-PCT</t>
  </si>
  <si>
    <t>PCT/US2018/043541</t>
  </si>
  <si>
    <t>143209-PROV2</t>
  </si>
  <si>
    <t>62/692512</t>
  </si>
  <si>
    <t>143205-PROV2</t>
  </si>
  <si>
    <t>143331</t>
  </si>
  <si>
    <t>DE-AR0000665</t>
  </si>
  <si>
    <t>SCALABLE CONTROLLER FOR COMMUNITY-BASED MICROGRID WITH DYNMIC BOUNDARY</t>
  </si>
  <si>
    <t>142200</t>
  </si>
  <si>
    <t>PROTECTION SCHEME FOR INVERTER-DOMINATED MICROGRID WITH DYNAMIC BOUNDARIES</t>
  </si>
  <si>
    <t>162851</t>
  </si>
  <si>
    <t>A PROTECTION SCHEME FOR A MICROGRID WITH DYNAMIC POINT OF COMMON COUPLING</t>
  </si>
  <si>
    <t>143077</t>
  </si>
  <si>
    <t>A MICROGRID WITH MULTIPLE UTILITY FEEDERS AND DYNAMIC BOUNDARIES</t>
  </si>
  <si>
    <t>162901</t>
  </si>
  <si>
    <t>DE-AR0000667</t>
  </si>
  <si>
    <t>UNIVERSITY OF VIRGINIA - (UNIVEOFVIR)</t>
  </si>
  <si>
    <t>SUPER-RATED OPERATION OF A WIND TURBINE USING ENERGY STORAGE</t>
  </si>
  <si>
    <t>142978</t>
  </si>
  <si>
    <t>DE-AR0000668</t>
  </si>
  <si>
    <t>DATA ANALYTICS FOR VIRTUAL ENERGY AUDITS AND VALUE CAPTURE ASSESSMENTS OF BUILDINGS</t>
  </si>
  <si>
    <t>62/669774</t>
  </si>
  <si>
    <t>05/10/2018</t>
  </si>
  <si>
    <t>162877</t>
  </si>
  <si>
    <t>DE-AR0000671</t>
  </si>
  <si>
    <t>LASER DIODE WITH TUNNEL JUNCTION CONTRACT SURFACE GRATING</t>
  </si>
  <si>
    <t>05/28/2019</t>
  </si>
  <si>
    <t>162883</t>
  </si>
  <si>
    <t>WAVELENGTH SELECTIVE PHOSPHOR COATING FOR LASER LIGHTING DEVICES</t>
  </si>
  <si>
    <t>143304</t>
  </si>
  <si>
    <t>LASER LIGHTING SYSTEM INCORPORATING ADDITIONAL SCATTERED LASER</t>
  </si>
  <si>
    <t>62/626810</t>
  </si>
  <si>
    <t>02/06/2018</t>
  </si>
  <si>
    <t>142828-PCT</t>
  </si>
  <si>
    <t>CE:YAG/AL203 COMPOSITIES FOR LASER-EXCITED SOLID-STATE WHITE LIGHTING</t>
  </si>
  <si>
    <t>PCT/US2017/044724</t>
  </si>
  <si>
    <t>143515</t>
  </si>
  <si>
    <t>DISTRIBUTED FEEDBACK LASER WITH TRANSPARENT CONDUCTING OXIDE GRATING</t>
  </si>
  <si>
    <t>142828</t>
  </si>
  <si>
    <t>16/320295</t>
  </si>
  <si>
    <t>01/24/2019</t>
  </si>
  <si>
    <t>143510</t>
  </si>
  <si>
    <t>WAFER BONDING FOR EMBEDDING ACTIVE REGIONS WITH RELAXED NANOFEATURES</t>
  </si>
  <si>
    <t>142850-PCT</t>
  </si>
  <si>
    <t>MONOLITHIC TRANSLUCENT BAMGA11017:EU2+ PHOSPHORS FOR LASER-DRIVEN SOLID STATE LIGHTING</t>
  </si>
  <si>
    <t>PCT/US2017/050512</t>
  </si>
  <si>
    <t>09/07/2017</t>
  </si>
  <si>
    <t>62/384622</t>
  </si>
  <si>
    <t>09/07/2016</t>
  </si>
  <si>
    <t>142850</t>
  </si>
  <si>
    <t>142194</t>
  </si>
  <si>
    <t>LASER SYSTEM FOR HORTICULTURAL LIGHTING</t>
  </si>
  <si>
    <t>143352-PCT</t>
  </si>
  <si>
    <t>DE-AR0000672</t>
  </si>
  <si>
    <t>QUANTUM DOT LASERS AND METHODS FOR MAKING THE SAME</t>
  </si>
  <si>
    <t>PCT/US2019/033980</t>
  </si>
  <si>
    <t>05/24/2019</t>
  </si>
  <si>
    <t>62/676109</t>
  </si>
  <si>
    <t>05/24/2018</t>
  </si>
  <si>
    <t>143351-PCT</t>
  </si>
  <si>
    <t>MONOLITHIC INTEGRATED QUANTUM DOT PHOTONIC INTEGRATED CIRCUITS</t>
  </si>
  <si>
    <t>PCT/US2019/033990</t>
  </si>
  <si>
    <t>62/676127</t>
  </si>
  <si>
    <t>143351</t>
  </si>
  <si>
    <t>143352</t>
  </si>
  <si>
    <t>143079-P1</t>
  </si>
  <si>
    <t>DE-AR0000674</t>
  </si>
  <si>
    <t>SYSTEM AND METHODS FOR CHARGE BALANCED SUPER-JUNCTION SEMICONDUCTOR POWER DEVICES WITH FAST SWITCHING CAPABILITY</t>
  </si>
  <si>
    <t>62/561592</t>
  </si>
  <si>
    <t>143079</t>
  </si>
  <si>
    <t>SYSTEMS AND METHOD FOR CHARGE BALANCED SEMICONDUCTOR POWER DEVICES WITH FAST SWITCHING CAPABILITY</t>
  </si>
  <si>
    <t>15/953037</t>
  </si>
  <si>
    <t>04/13/2018</t>
  </si>
  <si>
    <t>143416</t>
  </si>
  <si>
    <t>METHOD OF MASKING HIGH ENERGY IMPLANATION INTO SIC LAYER</t>
  </si>
  <si>
    <t>162843</t>
  </si>
  <si>
    <t>DE-AR0000676</t>
  </si>
  <si>
    <t>IMPLEMENTATION OF NON-STOICHIOMETRIC A103 TO METAL-INSULATOR-METAL INFRARED RECTENNAS</t>
  </si>
  <si>
    <t>62/847238</t>
  </si>
  <si>
    <t>05/13/2019</t>
  </si>
  <si>
    <t>143223</t>
  </si>
  <si>
    <t>METHANE SENSOR FOR GAS WELL PUMP HEADS</t>
  </si>
  <si>
    <t>162897</t>
  </si>
  <si>
    <t>TRANSITION METAL OXIDE NANOWIRE TERAERTZ (THZ) RECTIFIERS</t>
  </si>
  <si>
    <t>143093</t>
  </si>
  <si>
    <t>DE-AR0000677</t>
  </si>
  <si>
    <t>TIBBAR PLASMA TECHNOLOGIES, INC. - (TIBB)</t>
  </si>
  <si>
    <t>DC TO DC ELECTRICAL TRANSFORMER</t>
  </si>
  <si>
    <t>15/601899</t>
  </si>
  <si>
    <t>05/30/2017</t>
  </si>
  <si>
    <t>143094</t>
  </si>
  <si>
    <t>THREE-PHASE AC TO DC ELECTRICAL TRANSFORMER</t>
  </si>
  <si>
    <t>15/602298</t>
  </si>
  <si>
    <t>142916</t>
  </si>
  <si>
    <t xml:space="preserve">A VISION OF AN ELECTROCHEMICAL  CELL TO PRODUCE CLEAN TITANIUM </t>
  </si>
  <si>
    <t>15/339774</t>
  </si>
  <si>
    <t>10/31/2016</t>
  </si>
  <si>
    <t>142917</t>
  </si>
  <si>
    <t>DC-DC ELECTRICAL TRANSFORMER</t>
  </si>
  <si>
    <t>15/336508</t>
  </si>
  <si>
    <t>142919</t>
  </si>
  <si>
    <t>DC-AC ELECTRICAL TRANSFORMER</t>
  </si>
  <si>
    <t>15/338197</t>
  </si>
  <si>
    <t>143354</t>
  </si>
  <si>
    <t>DE-AR0000679</t>
  </si>
  <si>
    <t>MICROSCALE CORONA REACTOR</t>
  </si>
  <si>
    <t>62/483799</t>
  </si>
  <si>
    <t>142943</t>
  </si>
  <si>
    <t>DE-AR0000681</t>
  </si>
  <si>
    <t>RECIPROCATING ENGINE AS CHEMICAL REACTOR OR SEPARATOR</t>
  </si>
  <si>
    <t>142847-PCT</t>
  </si>
  <si>
    <t>DE-AR0000683</t>
  </si>
  <si>
    <t>ORGANIC PHOTOCATALYSTS FOR THE SYNTHESIS OF MOLECULES AND MATERIALS</t>
  </si>
  <si>
    <t>PCT/US2016/058245</t>
  </si>
  <si>
    <t>143266</t>
  </si>
  <si>
    <t>STRUCTURE-PROPERTY RELATIONSHIPS FOR TAILORING PHENOXAZINES AS REDUCING PHOTOREDOX CATALYSTS</t>
  </si>
  <si>
    <t>142847</t>
  </si>
  <si>
    <t>COMPOSITIONS AND METHODS OF PROMOTING ORGANIC PHOTOCATALYSIS</t>
  </si>
  <si>
    <t>15/960086</t>
  </si>
  <si>
    <t>04/23/2018</t>
  </si>
  <si>
    <t>142847-PCT1</t>
  </si>
  <si>
    <t>143276</t>
  </si>
  <si>
    <t>PHOTOCATALYST-FREE LIGHT-INDUCED CROSS-COUPLING REACTIONS</t>
  </si>
  <si>
    <t>16/019914</t>
  </si>
  <si>
    <t>06/27/2018</t>
  </si>
  <si>
    <t>143060</t>
  </si>
  <si>
    <t xml:space="preserve">CONTROL OF POLYMER ARCHITECTURES BY LIVING RING-OPENING METATHESIS COPOLYMERIZATION </t>
  </si>
  <si>
    <t>15/914762</t>
  </si>
  <si>
    <t>142993</t>
  </si>
  <si>
    <t>DE-AR0000684</t>
  </si>
  <si>
    <t>WATER ELECTROLYZERS</t>
  </si>
  <si>
    <t>142981</t>
  </si>
  <si>
    <t>143342</t>
  </si>
  <si>
    <t>WATER ELECTROLYZERS EMPLOYING ANION EXCHANGE MEMBRANES</t>
  </si>
  <si>
    <t>15/922883</t>
  </si>
  <si>
    <t>143343</t>
  </si>
  <si>
    <t>CATALYST LAYERS AND ELECTROLYZERS</t>
  </si>
  <si>
    <t>15/908325</t>
  </si>
  <si>
    <t>143433</t>
  </si>
  <si>
    <t>WATER ELECTROLYZERS EMPLOYING  EXCHANGE MEMBRANES</t>
  </si>
  <si>
    <t>15/967293</t>
  </si>
  <si>
    <t>07/05/2018</t>
  </si>
  <si>
    <t>143432</t>
  </si>
  <si>
    <t>METHOD AND SYSTEM FROM CARBON DIOXIDE</t>
  </si>
  <si>
    <t>143192</t>
  </si>
  <si>
    <t>DEVICES FOR ELECTROCATALYTIC CONVERSION OF CARBON DIOXIDE</t>
  </si>
  <si>
    <t>142803-PCT</t>
  </si>
  <si>
    <t>DE-AR0000685</t>
  </si>
  <si>
    <t>STARFIREENERGY, LLC - (STARFIRE)</t>
  </si>
  <si>
    <t>ELECTRICALLY ENHANCED HABER-BOSCH (EEHB) ANHYDROUS AMMONIA SYNTHESIS</t>
  </si>
  <si>
    <t>PCT/US2017/020201</t>
  </si>
  <si>
    <t>03/01/2017</t>
  </si>
  <si>
    <t>62/301991</t>
  </si>
  <si>
    <t>143135-PCT</t>
  </si>
  <si>
    <t>STARFIRE ENERGY, LLC - (STARENG)</t>
  </si>
  <si>
    <t>PREMOVAL OF GASEOUS NH3 FROM AN NH3 REACTOR PRODUCT STREAM</t>
  </si>
  <si>
    <t>PCT/US2018/034637</t>
  </si>
  <si>
    <t>05/25/2018</t>
  </si>
  <si>
    <t>62/511862</t>
  </si>
  <si>
    <t>142803-PROV2</t>
  </si>
  <si>
    <t>62/421482</t>
  </si>
  <si>
    <t>143443-PCT</t>
  </si>
  <si>
    <t>CATALYST, NH3 REMOVAL METHODS, AND INTEGRATED HEAT EXHANGER FOR A NH3 SYNTHESIS APPARATUS</t>
  </si>
  <si>
    <t>PCT/US2018/062295</t>
  </si>
  <si>
    <t>62/590570</t>
  </si>
  <si>
    <t>07/26/2018</t>
  </si>
  <si>
    <t>162814</t>
  </si>
  <si>
    <t>METAL-DECORATED BARIUM CALCIUM ALUINUM OXIDE CATALYST FOR CRACKING NH3</t>
  </si>
  <si>
    <t>62/799595</t>
  </si>
  <si>
    <t>01/31/2019</t>
  </si>
  <si>
    <t>04/12/2019</t>
  </si>
  <si>
    <t>143135</t>
  </si>
  <si>
    <t>05/26/2017</t>
  </si>
  <si>
    <t>142803</t>
  </si>
  <si>
    <t>143444</t>
  </si>
  <si>
    <t>BARIUM CALCIUM ALUMINUM OXIDE CATALYST SUPPORT FOR NH3 SYNTHESIS</t>
  </si>
  <si>
    <t>143443</t>
  </si>
  <si>
    <t>11/25/2017</t>
  </si>
  <si>
    <t>162815</t>
  </si>
  <si>
    <t xml:space="preserve">METAL MONOLITH SUPPORTED CATALYSTS FOR NH3 SYNTHESIS AND CRACKING </t>
  </si>
  <si>
    <t>62/801578</t>
  </si>
  <si>
    <t>143291</t>
  </si>
  <si>
    <t>DE-AR0000691</t>
  </si>
  <si>
    <t>METHOD AND APPARATUS FOR EFFICIENT METAL DISTILLATION AND RELATED PRIMARY PRODUCTION PROCESS</t>
  </si>
  <si>
    <t>62/880322</t>
  </si>
  <si>
    <t>07/30/2019</t>
  </si>
  <si>
    <t>162808</t>
  </si>
  <si>
    <t>DE-AR0000693</t>
  </si>
  <si>
    <t>BOSTON ELECTROMETALLURICAL CORP. - (BOSTELEC)</t>
  </si>
  <si>
    <t>LIQUID BINDER FOR CALCIUM OXIDE BASED REFRACTORIES</t>
  </si>
  <si>
    <t>143146-PROV2</t>
  </si>
  <si>
    <t>DE-AR0000696</t>
  </si>
  <si>
    <t>THE INDUCED MARKOV CHAIN FORECASTING MODEL AND AUTOMATIC PARAMETER SELECTION PROCEDURE</t>
  </si>
  <si>
    <t>16/555490</t>
  </si>
  <si>
    <t>08/29/2019</t>
  </si>
  <si>
    <t>143146</t>
  </si>
  <si>
    <t>62/560827</t>
  </si>
  <si>
    <t>09/20/2017</t>
  </si>
  <si>
    <t>143165</t>
  </si>
  <si>
    <t>DE-AR0000697</t>
  </si>
  <si>
    <t>SMART DIM FUSE; ELECTRICAL LOAD FLEXIBILITY CONTROLLER USING SUB-CIRCUIT VOLTAGE MODULATION AND LOAD SENSING</t>
  </si>
  <si>
    <t>143012</t>
  </si>
  <si>
    <t>DE-AR0000698</t>
  </si>
  <si>
    <t>FAST RESPONSE INITIATION FOR COMMAND TRACKING IN DISTRIBUTED ENERGY RESOURCES CONTROL</t>
  </si>
  <si>
    <t>142952</t>
  </si>
  <si>
    <t>A METHOD AND SYSTEM FOR POWER SYSTM LOAD FLEXIBILITY FORECASTING</t>
  </si>
  <si>
    <t>15/477696</t>
  </si>
  <si>
    <t>04/03/2017</t>
  </si>
  <si>
    <t>12/07/2016</t>
  </si>
  <si>
    <t>143010</t>
  </si>
  <si>
    <t>A METHOD AND SYSTEM FOR PARAMETRIC SYSTEM IDENTIFICATION OF DYNAMIC SYSTEMS USING DEEP LEARNING</t>
  </si>
  <si>
    <t>142968</t>
  </si>
  <si>
    <t>SCALABLE FLEXIBILITY CONTROL OF DISTRIBUTED LOADS IN A POWER GRID</t>
  </si>
  <si>
    <t>15/462136</t>
  </si>
  <si>
    <t>143397</t>
  </si>
  <si>
    <t>A METHOD FOR DAY-AHEAD SCHEDULING OF FLEXIBLE LOADS &amp; DERS</t>
  </si>
  <si>
    <t>143397-PCT</t>
  </si>
  <si>
    <t>SYSTEMS AND METHODS FOR RAPIDLY RESPONDING TO COMMANDED POWER PROFILES</t>
  </si>
  <si>
    <t>PCT/US2018/050903</t>
  </si>
  <si>
    <t>143435</t>
  </si>
  <si>
    <t>DE-AR0000700</t>
  </si>
  <si>
    <t>CONTROL SYSTEM FOR ADVANCED DEMAND RESPONSE</t>
  </si>
  <si>
    <t>149330</t>
  </si>
  <si>
    <t>DE-AR0000701</t>
  </si>
  <si>
    <t>NATIONAL RENEWABLE ENERGY LAB - (NRELAB)</t>
  </si>
  <si>
    <t>COORDINATED NET-LOAD MANAGEMENT SYSTEM</t>
  </si>
  <si>
    <t>16/298912</t>
  </si>
  <si>
    <t>03/11/2019</t>
  </si>
  <si>
    <t>143469</t>
  </si>
  <si>
    <t>DE-AR0000703</t>
  </si>
  <si>
    <t>SYNTHETIC CLOUD-BASED REGULATION RESERVE CONTROL USING RESIDENTIAL AIR CONDITIONING LOADS</t>
  </si>
  <si>
    <t>143468</t>
  </si>
  <si>
    <t>SYNTHETIC CLOUD-BASED REGULATION RESERVE CONTROL FOR WATER HEATER LOADS</t>
  </si>
  <si>
    <t>125887</t>
  </si>
  <si>
    <t>DE-AR0000706</t>
  </si>
  <si>
    <t>SAINT-GOBAIN/NORTON IND. CERAMICS - (SGNI)</t>
  </si>
  <si>
    <t>CERAMIC ARTICLE FORMING IN SITU REGENERALBE STEAM-RESISTANT COATING</t>
  </si>
  <si>
    <t>125888</t>
  </si>
  <si>
    <t>LIQUID PHASE SINTERED SiC WITH INTEGRATED SURFACE OXIDES FOR OXIDATION RESISTANCE</t>
  </si>
  <si>
    <t>143466</t>
  </si>
  <si>
    <t>DE-AR0000708</t>
  </si>
  <si>
    <t>PREPARATION AND PRETREATMENT TECHNIQUES OF Cu/Ce02 CATALYSTS FOR LOW TERMPERATURE DIRECT DECOMPOSITION OF NOX EXHAUS GAS</t>
  </si>
  <si>
    <t>143470</t>
  </si>
  <si>
    <t>MEASUREMENT OF SURFACE AREAS FOR POROUS AND PARTICULATE MATERIALS</t>
  </si>
  <si>
    <t>62/767248</t>
  </si>
  <si>
    <t>11/14/2018</t>
  </si>
  <si>
    <t>143232-PCT</t>
  </si>
  <si>
    <t>NANOCERIA SUPPORTED ATOMIC PLATINUM CATALYSTS FOR DIRECT METHANE CONVERSION</t>
  </si>
  <si>
    <t>PCT/US2019/018480</t>
  </si>
  <si>
    <t>02/19/2019</t>
  </si>
  <si>
    <t>143232</t>
  </si>
  <si>
    <t>62/632483</t>
  </si>
  <si>
    <t>143264</t>
  </si>
  <si>
    <t>DE-AR0000725</t>
  </si>
  <si>
    <t>METHOD AND DEVICE FOR NON-INVASIVE ROOT PHENOTYPING</t>
  </si>
  <si>
    <t>15/778195</t>
  </si>
  <si>
    <t>143396</t>
  </si>
  <si>
    <t>DE-AR0000729</t>
  </si>
  <si>
    <t>PHOTOVOLTAIC RETROFIT DEVICE FOR ENHANCING POWER OUTPUT OF CONCENTRATING SOLAR THERMAL POWER PLANTS</t>
  </si>
  <si>
    <t>143329</t>
  </si>
  <si>
    <t>DE-AR0000734</t>
  </si>
  <si>
    <t>METHOD TO PRODUCE COLORLES HIGH POROSITY TRANSPARENT POLYMER AEROGELS</t>
  </si>
  <si>
    <t>16/046692</t>
  </si>
  <si>
    <t>143506</t>
  </si>
  <si>
    <t>METHOD TO PRODUCE TRANSPARENT POLYMER AEROGELS USING CHAIN TRANSFER AGENTS</t>
  </si>
  <si>
    <t>143540</t>
  </si>
  <si>
    <t>TRANSPARENT, COLORLESS POROUS POLYMERS DERIVED FROM  BIPHASIC POLYMER NETWORKS WITH ETCHABLE DOMAINS</t>
  </si>
  <si>
    <t>143487</t>
  </si>
  <si>
    <t>143391</t>
  </si>
  <si>
    <t>HIGH OPTICAL TRANSPARENCY POLYMER AEROGELS USING LOW REFRACTIVE INDEX MONOMERS</t>
  </si>
  <si>
    <t>143392</t>
  </si>
  <si>
    <t xml:space="preserve">HIGH POROSITY POLYMER AEROGELS  WITH POROSITY TEMPLATED BY FREE POLYMER CHAINS </t>
  </si>
  <si>
    <t>143438</t>
  </si>
  <si>
    <t>DE-AR0000736</t>
  </si>
  <si>
    <t>POLYMER/WOOD FLOUR COMPOSITE AEROGELS SYNTHESIZED BY AMBIENT AND FREEZE-DRYING</t>
  </si>
  <si>
    <t>62/679254</t>
  </si>
  <si>
    <t>162898</t>
  </si>
  <si>
    <t>FABRICATION OF AEROGELS AND AEROGEL COMPOSITES BY AMBIENT PRESSURE SUBLIMATION OF FROZEN SOLVENTS</t>
  </si>
  <si>
    <t>62/868228</t>
  </si>
  <si>
    <t>06/28/2019</t>
  </si>
  <si>
    <t>143438-PCT</t>
  </si>
  <si>
    <t>PCT/US2019/034797</t>
  </si>
  <si>
    <t>143016</t>
  </si>
  <si>
    <t>DE-AR0000737</t>
  </si>
  <si>
    <t>STABILIZED SOLID-GAP MULTILAYERS</t>
  </si>
  <si>
    <t>143417</t>
  </si>
  <si>
    <t>DE-AR0000738</t>
  </si>
  <si>
    <t>LOW DENSITY, OPTICALLY TRANSPARENT, THERMALLY INSULATING NANOPOROUS AMBIGELS</t>
  </si>
  <si>
    <t>62/696420</t>
  </si>
  <si>
    <t>07/11/2018</t>
  </si>
  <si>
    <t>143418</t>
  </si>
  <si>
    <t>MEMS-ACTUATED PROGRAMMABLE VERTICAL COUPLER ARRAY FOR AGILE BEAMESTEERING</t>
  </si>
  <si>
    <t>143419</t>
  </si>
  <si>
    <t>OPTICALLY-CLEAR THERMALY-INSULATING PROPOUS NANOPARTICLE AGGREGATE SLABS</t>
  </si>
  <si>
    <t>62/689548</t>
  </si>
  <si>
    <t>06/25/2018</t>
  </si>
  <si>
    <t>143181</t>
  </si>
  <si>
    <t>THERMALLY-RESISTIVE, HIGH VISIBLE TRANSMITTANCE, LOW-EMISSIVITY WINDOW ACCESSORY SYSTEM</t>
  </si>
  <si>
    <t>143400</t>
  </si>
  <si>
    <t>DE-AR0000743</t>
  </si>
  <si>
    <t xml:space="preserve">CHOLESTERICALY ORDERED NANOCELLULOSE FILMS FOR THE REFLECTION OF RADIATION AND POLYMER TEMPLATING </t>
  </si>
  <si>
    <t>142198</t>
  </si>
  <si>
    <t>ADVANCING INSULATION RETROFITS FROM FLEXIBLE INEXPENSIVE LUCID MATERIALS (AIR FILMS) USING TRANSPARENT</t>
  </si>
  <si>
    <t>143399</t>
  </si>
  <si>
    <t>NANOCELLULOSE GELS AS FILTER MEMBRANES AND ADSORBENTS</t>
  </si>
  <si>
    <t>162895</t>
  </si>
  <si>
    <t>NANOCELLULOSE BIOFILMS FOR INSULATING AND STRUCTURAL GAS</t>
  </si>
  <si>
    <t>PCT/US2019/037122</t>
  </si>
  <si>
    <t>06/13/2019</t>
  </si>
  <si>
    <t>143398</t>
  </si>
  <si>
    <t>METHODS FOR THE FABRICATION OF NANOCELLULOSE XEROGELS WITH SOLVENT EXCHANGE PROCEDURES UNDER AMBIENT</t>
  </si>
  <si>
    <t>PCT/US2019/037123</t>
  </si>
  <si>
    <t>143405</t>
  </si>
  <si>
    <t>STRUCTURE INCLUDING A THIN-FLIM LAYER AND FLASH-SINTERING METHOD OF FORMING SAME</t>
  </si>
  <si>
    <t>16/136063</t>
  </si>
  <si>
    <t>09/19/2018</t>
  </si>
  <si>
    <t>143269</t>
  </si>
  <si>
    <t>DE-AR0000744</t>
  </si>
  <si>
    <t>SEE-THROUGH PLASTIC CHAMBER INSULATORS</t>
  </si>
  <si>
    <t>143267</t>
  </si>
  <si>
    <t>POLYMER NANOPARTICLE THERMAL INSULATORS</t>
  </si>
  <si>
    <t>162847</t>
  </si>
  <si>
    <t>DE-AR0000745</t>
  </si>
  <si>
    <t xml:space="preserve"> THERMOCHROMIC LOW-EMISSIVITY FILM</t>
  </si>
  <si>
    <t>143158</t>
  </si>
  <si>
    <t>DE-AR0000750</t>
  </si>
  <si>
    <t>SURFACE PROTECTED ACTIVE METAL ELECTRODES FOR HYBRID ENERGY STORAGE</t>
  </si>
  <si>
    <t>143457-PCT</t>
  </si>
  <si>
    <t>ORGANIZED NANOPARTICULATE AND MICROPARTICULATE COATINGS AND METHODS OF MAKING AND USING SAME</t>
  </si>
  <si>
    <t>PCT/US2016/066144</t>
  </si>
  <si>
    <t>162787</t>
  </si>
  <si>
    <t>AN AQUEOUS RECHARGEABLE ALUMINUM BATTERY</t>
  </si>
  <si>
    <t>162789</t>
  </si>
  <si>
    <t>ELECTROLYTE AND INTERPHASE ENGINEERING FOR STABLE RECHARGEABLE BATTERIES</t>
  </si>
  <si>
    <t>162788</t>
  </si>
  <si>
    <t>CONVERSION OF CO2 USING AQUEOUS METAL-GAS ELECTROCHEMICAL CELLS</t>
  </si>
  <si>
    <t>150889</t>
  </si>
  <si>
    <t>IN-SITU FORMATION OF SOLID-STATE  POLYMER ELECTROLYTES FOR SECONDARY LITHIUM BATTERIES</t>
  </si>
  <si>
    <t>144571</t>
  </si>
  <si>
    <t xml:space="preserve">LAMINATED COMPOSITE SEPARATOR METHOD AND APPLICATION </t>
  </si>
  <si>
    <t>14/900298</t>
  </si>
  <si>
    <t>12/21/2015</t>
  </si>
  <si>
    <t>142942</t>
  </si>
  <si>
    <t>SURFACE PROTECTED ACTIVE METAL ELECTRODES FOR RECHARGEABLE BATTERIES</t>
  </si>
  <si>
    <t>143457</t>
  </si>
  <si>
    <t>16/060779</t>
  </si>
  <si>
    <t>137391</t>
  </si>
  <si>
    <t>MATERIALS AND METHODS FOR STABILIZING ELECTRODEPOSITION OF METALS AND EXTENDING LIFETIME OF RECHARGEABLE</t>
  </si>
  <si>
    <t>144571-PCT</t>
  </si>
  <si>
    <t>PCT/US2014/045384</t>
  </si>
  <si>
    <t>162874</t>
  </si>
  <si>
    <t>DE-AR0000751</t>
  </si>
  <si>
    <t>SYSTEMS, DEVICES, AND METHODS FOR MOLECULAR SEPARATION</t>
  </si>
  <si>
    <t>15/688231</t>
  </si>
  <si>
    <t>08/28/2017</t>
  </si>
  <si>
    <t>162874-PROV2</t>
  </si>
  <si>
    <t>APPARATUS METHODS AND SYSTEMS FOR FABRICATING THIN NANOPOROUS</t>
  </si>
  <si>
    <t>15/971408</t>
  </si>
  <si>
    <t>150880</t>
  </si>
  <si>
    <t>SCALABLE ONE-STEP GEL CONVERSION ROUTE TO HIGH-PERFORMANCE ZEOLITE HOLLOW FIBER MEMBRANES AND MODULES</t>
  </si>
  <si>
    <t>62/853434</t>
  </si>
  <si>
    <t>143100-PROV2</t>
  </si>
  <si>
    <t>DE-AR0000754</t>
  </si>
  <si>
    <t>IRON ALUMINUM BORIDE-BASED MATERIALS FOR THERMOMAGNETIC ENERGY MANAGEMENT APPLICATIONS</t>
  </si>
  <si>
    <t>62/544388</t>
  </si>
  <si>
    <t>143100</t>
  </si>
  <si>
    <t>62/518856</t>
  </si>
  <si>
    <t>143524</t>
  </si>
  <si>
    <t>DE-AR0000759</t>
  </si>
  <si>
    <t>CURABLE POLYSILOXANE COMPOITIONS AND SLIPPERY MATERIALS AND COATINGS AND ARTICLES MADE THEREFROM</t>
  </si>
  <si>
    <t>143525</t>
  </si>
  <si>
    <t>143526</t>
  </si>
  <si>
    <t>143527</t>
  </si>
  <si>
    <t>143528</t>
  </si>
  <si>
    <t>143168</t>
  </si>
  <si>
    <t>DE-AR0000761</t>
  </si>
  <si>
    <t xml:space="preserve">PRODUCTION OF LIQUIDS AND REDUCED SULFUR GASEOUS PRODUCTS FROM SOUR NATURAL GAS </t>
  </si>
  <si>
    <t>15/867902</t>
  </si>
  <si>
    <t>143168-PCT</t>
  </si>
  <si>
    <t>PCT/US2018/013286</t>
  </si>
  <si>
    <t>143265</t>
  </si>
  <si>
    <t>DE-AR0000762</t>
  </si>
  <si>
    <t>BIOLOGICAL SYNTHESIS OF AMMONIA AND UREA THROUGH INTEGRATED METHANE BIO-OXIDATION AND NITROGEN FIXATION</t>
  </si>
  <si>
    <t>143275</t>
  </si>
  <si>
    <t>DE-AR0000766</t>
  </si>
  <si>
    <t>SALT-CERAMIC COMPOSITES AND MANUFACTURE THEREOF</t>
  </si>
  <si>
    <t>16/376538</t>
  </si>
  <si>
    <t>143507</t>
  </si>
  <si>
    <t>DE-AR0000767</t>
  </si>
  <si>
    <t>PBI GEL MEMBRANES FOR FLOW BATTERIES</t>
  </si>
  <si>
    <t>16/570290</t>
  </si>
  <si>
    <t>09/13/2019</t>
  </si>
  <si>
    <t>143508</t>
  </si>
  <si>
    <t>LOW PERMEABILITY PBI GEL MEMRANES FOR FLOW BATTERIES</t>
  </si>
  <si>
    <t>PCT/US2019/051028</t>
  </si>
  <si>
    <t>143507-PCT</t>
  </si>
  <si>
    <t>PCT/US2019/051036</t>
  </si>
  <si>
    <t>143395-PCT</t>
  </si>
  <si>
    <t>DE-AR0000768</t>
  </si>
  <si>
    <t>TRIBLOCK COPOLYMER BASED ANION MEMBRANES (AEMS) AS SEPARATGORS IN ELECTROCHEMICAL DEVICES</t>
  </si>
  <si>
    <t>PCT/US2019/044155</t>
  </si>
  <si>
    <t>62/712657</t>
  </si>
  <si>
    <t>143395</t>
  </si>
  <si>
    <t>08/31/2018</t>
  </si>
  <si>
    <t>143346</t>
  </si>
  <si>
    <t>AN ELECTRODE-DECOUPLED TITANIUM-CERIUM REDOX FLOW BATTERY</t>
  </si>
  <si>
    <t>16/292693</t>
  </si>
  <si>
    <t>143475</t>
  </si>
  <si>
    <t>TRIBLOCK COPOLYMER BASED ANION  EXCHANGE MEMBRANES (AEMS) AS SEPARATGORS IN ELECTROCHEMICAL DEVICES</t>
  </si>
  <si>
    <t>16/052973</t>
  </si>
  <si>
    <t>08/02/2018</t>
  </si>
  <si>
    <t>143404</t>
  </si>
  <si>
    <t>COMPOSITE MEMBRANE CONSISTING OF ANION EXCHANGE IONOMER (AEMS) DOPED WITH SUITABLE, CHEMICALLY INERT OXIDE</t>
  </si>
  <si>
    <t>143394</t>
  </si>
  <si>
    <t>REINFORED ANION EXCHANGE MEMBRANES</t>
  </si>
  <si>
    <t>04/04/2018</t>
  </si>
  <si>
    <t>143389</t>
  </si>
  <si>
    <t>DE-AR0000769</t>
  </si>
  <si>
    <t>CATLYTIC IONIC FUNCTIONAL OF AROMATIC POLYMERS WITH HALOALKENES</t>
  </si>
  <si>
    <t>62/652063</t>
  </si>
  <si>
    <t>03/26/2018</t>
  </si>
  <si>
    <t>143390</t>
  </si>
  <si>
    <t>IONIC FUNCTIONALIZATION OF AROMATIC POLYMERS WITH HALOGENATED ALCOHOLS USING ACID CATALYST</t>
  </si>
  <si>
    <t>62/652037</t>
  </si>
  <si>
    <t>143035</t>
  </si>
  <si>
    <t>DRY COOLING SYSTEM USING THERMALLY INDUCED VAPOR POLYMERIZATION</t>
  </si>
  <si>
    <t>15/370355</t>
  </si>
  <si>
    <t>9702596</t>
  </si>
  <si>
    <t>07/11/2017</t>
  </si>
  <si>
    <t>143036</t>
  </si>
  <si>
    <t>IMPROVED SYNTHESIS OF AROMATIC ANIONIC POLYMERS FOR IONOMER AND ANION EXCHANGE MEMBRANES</t>
  </si>
  <si>
    <t>143035-PCT</t>
  </si>
  <si>
    <t>PCT/US2016/065259</t>
  </si>
  <si>
    <t>162844</t>
  </si>
  <si>
    <t>IONIC FUNCTIONALIZATION OF AROMATIC POLYMERS USING ALCOHOLS BY ACID CATALYST</t>
  </si>
  <si>
    <t>62/458637</t>
  </si>
  <si>
    <t>162844-2</t>
  </si>
  <si>
    <t>62/647930</t>
  </si>
  <si>
    <t>162844-PCT</t>
  </si>
  <si>
    <t>PCT/US2018/.040898</t>
  </si>
  <si>
    <t>143496</t>
  </si>
  <si>
    <t>GAN BASED THRESHOLD SWITCHING DEVICE AND MEMORY DIODE</t>
  </si>
  <si>
    <t>143037-PCT</t>
  </si>
  <si>
    <t>CROSSLINKING OF AROMATIC POLYMERS FOR IONOMER AND ANION EXCHANGE MEMBRANES</t>
  </si>
  <si>
    <t>PCT/US2019/028925</t>
  </si>
  <si>
    <t>04/24/2019</t>
  </si>
  <si>
    <t>62/661705</t>
  </si>
  <si>
    <t>143543</t>
  </si>
  <si>
    <t>NOVEL PHOSPHATE ANION-QUATERNARY AMMONIUM ION PAIR COORDINATED POLYMER MEMBRANES FOR HUMIDITY TOLERANT</t>
  </si>
  <si>
    <t>162887</t>
  </si>
  <si>
    <t>POLYNORBORNENE ANION EXCHANGE MEMBRANE</t>
  </si>
  <si>
    <t>62/764912</t>
  </si>
  <si>
    <t>08/16/2018</t>
  </si>
  <si>
    <t>162887-PROV2</t>
  </si>
  <si>
    <t>62/648508</t>
  </si>
  <si>
    <t>162887-PCT</t>
  </si>
  <si>
    <t>PCT/US2019/024273</t>
  </si>
  <si>
    <t>143037</t>
  </si>
  <si>
    <t>162911</t>
  </si>
  <si>
    <t>DE-AR0000771</t>
  </si>
  <si>
    <t>ANION AND HYDRIOXIDE EXCHANGE MEMBRANES AND IONOMERS BASED ON POLY-NORBORNENE-PYROLIDINIUM</t>
  </si>
  <si>
    <t>PCT/US2018/056370</t>
  </si>
  <si>
    <t>10/17/2018</t>
  </si>
  <si>
    <t>162912</t>
  </si>
  <si>
    <t>ELECTROCHEMICAL CARBON DIOXIDE SEPARATOR</t>
  </si>
  <si>
    <t>16/278505</t>
  </si>
  <si>
    <t>02/18/2019</t>
  </si>
  <si>
    <t>162913</t>
  </si>
  <si>
    <t>143380</t>
  </si>
  <si>
    <t>DE-AR0000772</t>
  </si>
  <si>
    <t>SURFACE ENCAPSULATERD SULFIDE GLASS SOLID ELECTROLYTE</t>
  </si>
  <si>
    <t>16/341872</t>
  </si>
  <si>
    <t>143381</t>
  </si>
  <si>
    <t>EXTRUDION OF ULTRA-CLEAN LITHIUM DIRECTLY INTO A VACCUM HOUSING</t>
  </si>
  <si>
    <t>16/341874</t>
  </si>
  <si>
    <t>143382</t>
  </si>
  <si>
    <t>15/150231</t>
  </si>
  <si>
    <t>05/09/2016</t>
  </si>
  <si>
    <t>9666850</t>
  </si>
  <si>
    <t>143130</t>
  </si>
  <si>
    <t>ALUMINA ENCAPSULATED SULFIDE GLASS SEPARATOR SHEETS</t>
  </si>
  <si>
    <t>16/012588</t>
  </si>
  <si>
    <t>06/09/2018</t>
  </si>
  <si>
    <t>143127</t>
  </si>
  <si>
    <t>ENCAPSULATED LITHIUM ION CONDUCTING SULFIED GLASS SOLID ELECTROLYTE STRUCTURES</t>
  </si>
  <si>
    <t>143333-1</t>
  </si>
  <si>
    <t>SOLID-STATE LAMINATE ELECTRODE ASSEMBLIES USING ALD ENCAPSULATION AND EVAPORATION</t>
  </si>
  <si>
    <t>143130-PROV2</t>
  </si>
  <si>
    <t>SOLID-STATE LAMINATE ELECTRODE ASSEMBLIES AND METHODS OF MAKING INCLUDING EVAPORORATION, ENCAPSULATION AND/OR ALD</t>
  </si>
  <si>
    <t>62/534624</t>
  </si>
  <si>
    <t>143130-PROV3</t>
  </si>
  <si>
    <t xml:space="preserve">SOLID-STATE LAMINATE ELECTRODE ASSEMBLIES AND METHODS OF MAKING </t>
  </si>
  <si>
    <t>62/620958</t>
  </si>
  <si>
    <t>143519</t>
  </si>
  <si>
    <t>LITHIUM ION CONDUCTING GLASS FRABRICATION</t>
  </si>
  <si>
    <t>62/782623</t>
  </si>
  <si>
    <t>162900</t>
  </si>
  <si>
    <t>METHODS OF MAKING ION CONDUCTIVE SULFIDE GLASS</t>
  </si>
  <si>
    <t>16/509385</t>
  </si>
  <si>
    <t>07/11/2019</t>
  </si>
  <si>
    <t>143471</t>
  </si>
  <si>
    <t>METHODS OF MAKING LITHIUM ION CONDUCTING SULFIDE GLASS USING WALL SEALED VESSELS</t>
  </si>
  <si>
    <t>62/752227</t>
  </si>
  <si>
    <t>143497</t>
  </si>
  <si>
    <t>SOLID-STATE LAMINATE ELECTRODE ASSEMBLIES AND METHODS OF MAKINGINCLUDING EVAPORATION, ENCAPSULATION AND/OR ALD</t>
  </si>
  <si>
    <t>143382-1</t>
  </si>
  <si>
    <t>15/487364</t>
  </si>
  <si>
    <t>143333</t>
  </si>
  <si>
    <t>SOLID-STATE LAMINATE ELECTRODE ASSEMBLIES AND METHODS OF MAKING INCLUDING EVAPORATION, ENCAPSULATION AND/OR ALD</t>
  </si>
  <si>
    <t>143130-PROV1</t>
  </si>
  <si>
    <t>143129</t>
  </si>
  <si>
    <t>SOLID-STATE ELECTRODE ASSEMBLIES AND METHODS OF MAKING</t>
  </si>
  <si>
    <t>15/592102</t>
  </si>
  <si>
    <t>143517</t>
  </si>
  <si>
    <t>DE-AR0000773</t>
  </si>
  <si>
    <t>POLYOXOMETALLATE MODIFIED SEMICONDUCTOR ELECTRODES FOR PHOTOELECTROCHEMICAL WATER SPLITTING</t>
  </si>
  <si>
    <t>143257</t>
  </si>
  <si>
    <t>NEW METHOD OF FUNCTIONALIZING FLUOROPOLYMERS WITH ACIDIC SIDE CHAINS EXHIBTING IMPROVED PROPERTIES</t>
  </si>
  <si>
    <t>62/550128</t>
  </si>
  <si>
    <t>143257-PRV2</t>
  </si>
  <si>
    <t>NEW METHOD OF FUNCTIONALIZING FLUOROPOLYMERS WITH ACIDIC SIDE CHAINS EXHIBTING IMPROVED PROPERTIES, THE FLUOROPOLYMERS THEREOF, AND METHODS OF USING</t>
  </si>
  <si>
    <t>16/113774</t>
  </si>
  <si>
    <t>143299</t>
  </si>
  <si>
    <t>DE-AR0000776</t>
  </si>
  <si>
    <t>3M COMPANY - (3M)</t>
  </si>
  <si>
    <t>HYDROCARBON POLYMERS CONTAINING AMONIUM FUNCTIONALITY</t>
  </si>
  <si>
    <t>143123</t>
  </si>
  <si>
    <t>ANION EXCHANGE MEMBRANES BASED ON POLYMERIZATION OF LONG CHAIN ALPHA OLEFINS</t>
  </si>
  <si>
    <t>143125</t>
  </si>
  <si>
    <t>CATIONIC POLYMERS FOR USE AS ANION EXCHANGE POLYELECTROLYTES</t>
  </si>
  <si>
    <t>143348</t>
  </si>
  <si>
    <t>SELECTIVE AMINOMETHYLATION OF POLYBUTADIENE) AND POLY(BUTADIENE)  COPOLYMERS</t>
  </si>
  <si>
    <t>143347</t>
  </si>
  <si>
    <t>143407</t>
  </si>
  <si>
    <t>DE-AR0000777</t>
  </si>
  <si>
    <t>METHOD OF FORMING A SINTERED COMPOUND AND COMPOUND FORMED USING THE METHOD</t>
  </si>
  <si>
    <t>16/136043</t>
  </si>
  <si>
    <t>143175</t>
  </si>
  <si>
    <t>ONE STEP CURRENT CONTROLLED FLASH SINTERING</t>
  </si>
  <si>
    <t>143406</t>
  </si>
  <si>
    <t>FLASH-SINTERED COMPOSITE MATERIALS AND METHODS OF FORMING THE SAME</t>
  </si>
  <si>
    <t>16/136054</t>
  </si>
  <si>
    <t>162854</t>
  </si>
  <si>
    <t>DE-AR0000781</t>
  </si>
  <si>
    <t>INCREASED DATA-RATE USING A PI-MODULATOR</t>
  </si>
  <si>
    <t>143102</t>
  </si>
  <si>
    <t>SELF FORMING BATTERIES</t>
  </si>
  <si>
    <t>143491</t>
  </si>
  <si>
    <t>POLYMER COMPOSITE PHOTONIC CRYSTAL MATERIALS FOR OPTICAL COATINGS</t>
  </si>
  <si>
    <t>162790</t>
  </si>
  <si>
    <t>A LAYERED STRUCTURE FOR SOLID-STATE METAL BATTERIES</t>
  </si>
  <si>
    <t>143330</t>
  </si>
  <si>
    <t>DE-AR0000784</t>
  </si>
  <si>
    <t xml:space="preserve">ARENEDIAZONIUM TETRAFLUOROBORATE BUILDING BLOCKS USED TO COVALENTLY CONECT COMPONENTS OR LAYERS </t>
  </si>
  <si>
    <t>162856</t>
  </si>
  <si>
    <t>DE-AR0000785</t>
  </si>
  <si>
    <t>CATALYTIC MEMBRANE REACTOR, METHODS OF MAKING THE SAME AND METHODS OF USING THE SAME</t>
  </si>
  <si>
    <t>143533</t>
  </si>
  <si>
    <t>DE-AR0000788</t>
  </si>
  <si>
    <t>MICHIGAN TECHNOLOGICAL UNIVERSITY - (MICHIGAN T)</t>
  </si>
  <si>
    <t>REAL-TIME OPERATING MODE SELECTION WITH OPTIMAL MODE PATH PLANNING</t>
  </si>
  <si>
    <t>143534</t>
  </si>
  <si>
    <t>REAL-TIME NONLINEAR MODEL PREDICTIVE CONTROL (NMPC) FOR MULTI-MODE HYBRID ELECTRIC VEHICLE POWERTRAIN</t>
  </si>
  <si>
    <t>142193</t>
  </si>
  <si>
    <t>REDUCED ORDER MODEL FOR PROPULSION SYSTEM DYNAMICS AND CONTROLS</t>
  </si>
  <si>
    <t>PROPULSION SYSTEM BLENDED MODE DETERMINATION</t>
  </si>
  <si>
    <t>143535</t>
  </si>
  <si>
    <t>REAL-TIME DETERMINATION OF VEHICLE ROAD LOAD CHARACTERISTICS</t>
  </si>
  <si>
    <t>162870</t>
  </si>
  <si>
    <t>ECO-ROUTING WITH CUSTOMER ANNOYANCE FACTOR AND IMPROVED EV RANGE ESTIMATOR APPLICATION FOR INTEGRATED</t>
  </si>
  <si>
    <t>162834</t>
  </si>
  <si>
    <t>DE-AR0000790</t>
  </si>
  <si>
    <t>INFORICH DCO-AUTONOUS DRIVING (IREAD) SYSTEM ARCHITECTURE</t>
  </si>
  <si>
    <t>TEMPORARY DOOR-LOCK CONTROL FOR SAFETY</t>
  </si>
  <si>
    <t>143336</t>
  </si>
  <si>
    <t>METHOD _x000D_AND SYSTEM FOR ROUTING BASED ON A PREDICTED CONNECTIVITY QUALITY</t>
  </si>
  <si>
    <t>15/880918</t>
  </si>
  <si>
    <t>143337</t>
  </si>
  <si>
    <t>METHOD TO CONTROLLING A VEHICLE TO ADJUST PERCEPTION SYSTEM ENERGY USAGE</t>
  </si>
  <si>
    <t>15/944003</t>
  </si>
  <si>
    <t>143447</t>
  </si>
  <si>
    <t>ROBUST 2-STAGE ECO-APPROACH WITH REAL-TIME VEHICLE COAST DOWN SPEED PREDICTION</t>
  </si>
  <si>
    <t>143448</t>
  </si>
  <si>
    <t>INTELLIGENT MOTOR VEHICLES, SYSTEMS, AND CONTROL LOGIC FOR REAL-TIME ECO-ROUTING AND ADAPTIVE DRIVING CONTROL</t>
  </si>
  <si>
    <t>16/130367</t>
  </si>
  <si>
    <t>143505</t>
  </si>
  <si>
    <t>ECO-CRUISE CONTROL FOR CONNECTED AND AUTOMATED VEHICLES (CAVs)</t>
  </si>
  <si>
    <t>16/380275</t>
  </si>
  <si>
    <t>04/10/2019</t>
  </si>
  <si>
    <t>143358</t>
  </si>
  <si>
    <t>DE-AR0000791</t>
  </si>
  <si>
    <t>SYSYEM AND METHODS TO IMPROVE PLUG-IN HYBRID ELECTRIC VEHICLE ENERGY PERFORMANCE BY USING V2C CONNECTIVITY</t>
  </si>
  <si>
    <t>143423</t>
  </si>
  <si>
    <t>DE-AR0000793</t>
  </si>
  <si>
    <t>CUMMINS, INC. D/B/A/CUMMINS TECHNICAL CENTER - (CUMTECH)</t>
  </si>
  <si>
    <t>ORDERING OF VEHICLES IN A PLATOON BASED ON POWERTRAIN TYPE</t>
  </si>
  <si>
    <t>143476</t>
  </si>
  <si>
    <t>MACHINE LEARNING TRAINING APPROACH FOR INCORPORATING DP CONTROL STRATEGY FOR FUEL ECONOMY</t>
  </si>
  <si>
    <t>143502</t>
  </si>
  <si>
    <t>SYSTEMS AND METHODS FOR DYNAMIC VEHICLE SPEED CONTROL ON DOWNHILLS TO IMPROVE DRIVEABILITY</t>
  </si>
  <si>
    <t>143501</t>
  </si>
  <si>
    <t>NEUTRAL COASTING OR INTELLIGENT COASTING MANAGEMENT (ICM) FOR FOLLOWING VEHICLES</t>
  </si>
  <si>
    <t>62/884315</t>
  </si>
  <si>
    <t>08/08/2019</t>
  </si>
  <si>
    <t>143306</t>
  </si>
  <si>
    <t>A CONTROL ARCHITECTURE FOR PREDICTIVE AND OPTIMAL VEHICLE OPERATIONS IN SINGLE VEHICLE OR PLATOONING ENVIRONMENT</t>
  </si>
  <si>
    <t>16/176947</t>
  </si>
  <si>
    <t>143360</t>
  </si>
  <si>
    <t>CUMMINS, INC. - (CN0168)</t>
  </si>
  <si>
    <t>INTELLIGENT ADAPTIVE CRUISE CONTROL FOR PLATOONING</t>
  </si>
  <si>
    <t>62/652523</t>
  </si>
  <si>
    <t>143361</t>
  </si>
  <si>
    <t>ENGINE POWER SHAPING BASED ON PLATOONS AND SURROUNDING VEHICLES</t>
  </si>
  <si>
    <t>62/650449</t>
  </si>
  <si>
    <t>143362</t>
  </si>
  <si>
    <t xml:space="preserve">ENGINE CALIBRATION BASED ON VEHICLE LOSS AND MISSION CHARACTERISTICS </t>
  </si>
  <si>
    <t>162857</t>
  </si>
  <si>
    <t>DE-AR0000794</t>
  </si>
  <si>
    <t>METHODS TO REDUCE COMPUTATION TIME OF DYNAMIC PROGRAMMING</t>
  </si>
  <si>
    <t>162858</t>
  </si>
  <si>
    <t>METHODS TFOR VEHICLE DYNAMICS, AND POWERTRAIN CONTROL USING MULTIPLE HORIZON OPTIMIZATION</t>
  </si>
  <si>
    <t>162796</t>
  </si>
  <si>
    <t>COMPREHENSIVE HARDWARE-TRAFFIC-V2V&amp;CV2I COMMUNICATION-VEHICLE-IN THE LOOP AND VEHICLE INVIRTUAL PLATOON</t>
  </si>
  <si>
    <t>162867</t>
  </si>
  <si>
    <t>INTELLIGENT DRIVING: TORQUE SPLIT ARBTRATION LOGIC</t>
  </si>
  <si>
    <t>162868</t>
  </si>
  <si>
    <t>INTERFACE FOR OPTIMIZING AUTOMOTIVE PROPULSION SYSTEM OPERATION</t>
  </si>
  <si>
    <t>162866</t>
  </si>
  <si>
    <t>INTELLIGENT DRIVING DRIVER AIDS TO REDUCE VEHICLE FUEL CONSUMPTION</t>
  </si>
  <si>
    <t>162871</t>
  </si>
  <si>
    <t>DE-AR0000795</t>
  </si>
  <si>
    <t>A DEEP REINFORCEMENT LEARNING FRAMEWORK FOR ENERGY MANAGEMENT OF RANGE-EXTENDED HYBRID ELECTRIC</t>
  </si>
  <si>
    <t>162869</t>
  </si>
  <si>
    <t>DATA-INFORMED ENERGY MANAGEMENT STRATEGY FOR CHARGE PREDICTION IN BATTERY ELECTRIC VEHICLES</t>
  </si>
  <si>
    <t>DE-AR0000801</t>
  </si>
  <si>
    <t>A SYSTEM FOR DECENTRALIZED TRAFFIC SYNCHRONIZATION USING KURAMTO FEEDBACK</t>
  </si>
  <si>
    <t>143366</t>
  </si>
  <si>
    <t>DE-AR0000804</t>
  </si>
  <si>
    <t>STABLE AMMONIA ABSORBENTS</t>
  </si>
  <si>
    <t>62/675827</t>
  </si>
  <si>
    <t>143366-PROV2</t>
  </si>
  <si>
    <t>62/580718</t>
  </si>
  <si>
    <t>11/02/2017</t>
  </si>
  <si>
    <t>162820</t>
  </si>
  <si>
    <t>INTEGRATED APPARATUS FOR PRODUCING AMMONIA</t>
  </si>
  <si>
    <t>62/834126</t>
  </si>
  <si>
    <t>143504</t>
  </si>
  <si>
    <t>DE-AR0000806</t>
  </si>
  <si>
    <t>HIGHLY EFFICIENT PRODUCTION OF HIGH PURITY METHANOL FROM CO2 HYDROGENATION USING NaA MEMBRANE REACTOR</t>
  </si>
  <si>
    <t>143446</t>
  </si>
  <si>
    <t>DE-AR0000807</t>
  </si>
  <si>
    <t>MICROWAVE CATALYTIC PROCESSING FOR AMONIA SYNTHESIS UNDER MILD CONDITIONS</t>
  </si>
  <si>
    <t>143059</t>
  </si>
  <si>
    <t>DE-AR0000809</t>
  </si>
  <si>
    <t>MEMBRANE REACTOR FOR HYDROGEN GENERATION FROM THERMAL CATALYTIC AMMONIA DECOMPOSITION</t>
  </si>
  <si>
    <t>143120</t>
  </si>
  <si>
    <t>A NOVEL COMPACT INTENSIVE AND MODULAR NH3 DECOMPOSITION DEVICE FOR HYDROGEN GENERATION</t>
  </si>
  <si>
    <t>143273</t>
  </si>
  <si>
    <t>DE-AR0000811</t>
  </si>
  <si>
    <t>IN SITU CONVERSION OF MOFS INTO MONO/BI-METALLIC OXIDE CATALYSTS WITHIN MESOPOROUS SUPPORTS VIA</t>
  </si>
  <si>
    <t>162835</t>
  </si>
  <si>
    <t>DE-AR0000816</t>
  </si>
  <si>
    <t>ELECTROCHEMICAL DEVICE COMPRISING THIN POROUS METAL SHEET</t>
  </si>
  <si>
    <t>16/398468</t>
  </si>
  <si>
    <t>162792</t>
  </si>
  <si>
    <t>DE-AR0000819</t>
  </si>
  <si>
    <t>ELECTROLYZER SYSTEM AND METHOD OF USE</t>
  </si>
  <si>
    <t>162794</t>
  </si>
  <si>
    <t>162793</t>
  </si>
  <si>
    <t>162886</t>
  </si>
  <si>
    <t>DE-AR0000826</t>
  </si>
  <si>
    <t>IAUTOMATED CROP ROOT SAMPLING METHOD FOR FIELD BASED RESEARCH PLOTS</t>
  </si>
  <si>
    <t>150103-CHI</t>
  </si>
  <si>
    <t>INTERFEROMETRIC DOPPLER RAMAN</t>
  </si>
  <si>
    <t>143332</t>
  </si>
  <si>
    <t>DE-AR0000830</t>
  </si>
  <si>
    <t>143259-PROV</t>
  </si>
  <si>
    <t>DE-AR0000831</t>
  </si>
  <si>
    <t>SPARSE CAPACITIVE LINK UNIVERSAL CONVERTERS AND A NOVEL CONTROL METHOD FOR CAPACITIVE LINK UNIVERSAL CONVERTERS</t>
  </si>
  <si>
    <t>62/242557</t>
  </si>
  <si>
    <t>143259</t>
  </si>
  <si>
    <t>15/598831</t>
  </si>
  <si>
    <t>143259-PROV2</t>
  </si>
  <si>
    <t>162791</t>
  </si>
  <si>
    <t>DE-AR0000837</t>
  </si>
  <si>
    <t>ITERATIVE sHOOTING FOR OPTIONAL CONTROL OF ENERGY STORAGE IN A VEHICLE WITH MULTIPLE POWER SOURCES</t>
  </si>
  <si>
    <t>16/019512</t>
  </si>
  <si>
    <t>143544</t>
  </si>
  <si>
    <t>DE-AR0000843</t>
  </si>
  <si>
    <t>TUNABLE OPTICAL FREQUENCY COMB GENERATOR IN MICRORESONATORS</t>
  </si>
  <si>
    <t>62/804613</t>
  </si>
  <si>
    <t>02/12/2019</t>
  </si>
  <si>
    <t>162904</t>
  </si>
  <si>
    <t xml:space="preserve">SELF-INJECTION LOCKING OF FABRY-PEROT LASERS WITH SILICON BASED RESONATORS FOR HIGH POWER NARROW LINEWIDTH ON </t>
  </si>
  <si>
    <t>143401</t>
  </si>
  <si>
    <t>RECONFIGURABLE WAVELENGTH-SELECTIVE MACH - ZEHNDER SWITCH</t>
  </si>
  <si>
    <t>143494</t>
  </si>
  <si>
    <t>DE-AR0000845</t>
  </si>
  <si>
    <t>DC-COUPLED OPTICAL BURST-MODE RECEIVER</t>
  </si>
  <si>
    <t>15/959199</t>
  </si>
  <si>
    <t>04/21/2018</t>
  </si>
  <si>
    <t>143516</t>
  </si>
  <si>
    <t>DE-AR0000847</t>
  </si>
  <si>
    <t xml:space="preserve">INTEGRATED FREEFORM  OPTICAL COUPLERS </t>
  </si>
  <si>
    <t>62/792561</t>
  </si>
  <si>
    <t>143472</t>
  </si>
  <si>
    <t>FIBER-TO-CHIP OPTICAL COUPLERTS AND THEIR FABRICATION</t>
  </si>
  <si>
    <t>162811</t>
  </si>
  <si>
    <t>DE-AR0000848</t>
  </si>
  <si>
    <t>A METHOD FOR UNIVERSAL TWO-TAP FEED-FORWARD EQUALIZATION USING A DIFFERENTIAL ELEMENT</t>
  </si>
  <si>
    <t>162889</t>
  </si>
  <si>
    <t>SEGMENTED MODULATORS WITH SEGMENTS OF DIFFERING PROPERTIES</t>
  </si>
  <si>
    <t>143371</t>
  </si>
  <si>
    <t>DE-AR0000849</t>
  </si>
  <si>
    <t xml:space="preserve">LITHOGRAPHICALLY PATTERNED MOE SIZE CONVERTERS AND ARRAYS </t>
  </si>
  <si>
    <t>162893</t>
  </si>
  <si>
    <t>WAVELENGTH DIVISION MULTIPLEXER BASED ON CASCADES BEAM SPLITTERS</t>
  </si>
  <si>
    <t>62/749536</t>
  </si>
  <si>
    <t>162902</t>
  </si>
  <si>
    <t>DE-AR0000850</t>
  </si>
  <si>
    <t>FIBER ATTACH ENABLED WAFER LEVEL FANOUT</t>
  </si>
  <si>
    <t>62/768456</t>
  </si>
  <si>
    <t>162903</t>
  </si>
  <si>
    <t>WAFER- LEVEL HANDLE REPLACEMENT</t>
  </si>
  <si>
    <t>16/513661</t>
  </si>
  <si>
    <t>07/16/2019</t>
  </si>
  <si>
    <t>143473</t>
  </si>
  <si>
    <t>DE-AR0000855</t>
  </si>
  <si>
    <t>BRACHING HEAT EXCHANGERS</t>
  </si>
  <si>
    <t>143340</t>
  </si>
  <si>
    <t>TOPOLOGY OPTIMIZED BRACHING HEAT EXCHANGERS</t>
  </si>
  <si>
    <t>143521</t>
  </si>
  <si>
    <t>ADAPTVE MESH REFINEMENT AND ABSTRACTION FOR MATERIAL ASSIGNMENT ON MESHES USING SATISFIABILITY THEORY</t>
  </si>
  <si>
    <t>143522</t>
  </si>
  <si>
    <t>USER-GUIDED SKETCHING OF PARTIAL SOLUTIONS FOR MATERIAL ASSIGNMENT ON MESHES USING SATISFIABILITY THEORY</t>
  </si>
  <si>
    <t>143235</t>
  </si>
  <si>
    <t>TWO FLUIDS-COUPLED HEAT TRANSFER TOPOLOGY OPTIMIZATION METHODOLOGY</t>
  </si>
  <si>
    <t>162842</t>
  </si>
  <si>
    <t>DE-AR0000866</t>
  </si>
  <si>
    <t>SYSTEMS AND METHODS FOR EVALUATING ELECTROLYTE WETTING AND DISTRIBUTION</t>
  </si>
  <si>
    <t>62/821605</t>
  </si>
  <si>
    <t>162919</t>
  </si>
  <si>
    <t>DE-AR0000868</t>
  </si>
  <si>
    <t>Ga203 PASSIVATION FOR GaN REGROWTH TO REDUCE CONTAMINATION EFFECTS</t>
  </si>
  <si>
    <t>162906</t>
  </si>
  <si>
    <t>LOW-LEAKAGE REGROWN GaN p - n JUNCTIONS FOR GaN POWER DEVICES</t>
  </si>
  <si>
    <t>162907</t>
  </si>
  <si>
    <t>HIGH TEMPERATURE GAILLIUM NITRIDE MEMORY DEVICES</t>
  </si>
  <si>
    <t>162920</t>
  </si>
  <si>
    <t>PLASMA-BASED EDGETERMINATIONS FOR GALLIUM NITRIDE POWER DEVICES</t>
  </si>
  <si>
    <t>162921</t>
  </si>
  <si>
    <t>THICK BUFFER LAYER DESIGN FOR GaN POWER DEVICES GROWN ON BULK GaN SUBSTRATES</t>
  </si>
  <si>
    <t>143511</t>
  </si>
  <si>
    <t>STEEP SLOPE TRANSISTORS WITH THRESHOLD SWITCHING DEVICES</t>
  </si>
  <si>
    <t>143495</t>
  </si>
  <si>
    <t>143498</t>
  </si>
  <si>
    <t>DE-AR0000869</t>
  </si>
  <si>
    <t>UNIVERSITY OF NEW MEXICO - (UNM)</t>
  </si>
  <si>
    <t>REMOVING OR PREVENTING DRY ETCH-INDUCED DAMAGE IN AL/IN/GAN FILMS BY PHOTOEOECTROCHEMICAL ETCHING</t>
  </si>
  <si>
    <t>162821</t>
  </si>
  <si>
    <t>DE-AR0000871</t>
  </si>
  <si>
    <t>YALE UNIVERSITY - (YALE UNIVE)</t>
  </si>
  <si>
    <t>IN-SITU ETCHING OF GAN FOR REGROWTH SELECTIVE AREA GROWTH AND DOPING</t>
  </si>
  <si>
    <t>162822</t>
  </si>
  <si>
    <t>ORGANOMETALLIC VAPOR PHASE EPITAXY (OMVPE) OF GAN AT HIGH GROWTH RATES</t>
  </si>
  <si>
    <t>143509</t>
  </si>
  <si>
    <t>DE-AR0000874</t>
  </si>
  <si>
    <t>LOW DEFECT HIGH QUALITY NUCLEAR TRANSMUTATION DOPING IN GaN</t>
  </si>
  <si>
    <t>162896</t>
  </si>
  <si>
    <t>DE-AR0000881</t>
  </si>
  <si>
    <t>SELF-ASSEMBLING PHOTONIC CRYSTALS WITH PIGMENT OR DYE ADDITIVES</t>
  </si>
  <si>
    <t>162809</t>
  </si>
  <si>
    <t>NICKEL-CATA;YZED C-N CROSS-COUPLING VIA DRECT PHOTOEXCITATION OF NICKEL-AMINE COMPLEXES</t>
  </si>
  <si>
    <t>143539</t>
  </si>
  <si>
    <t>162914</t>
  </si>
  <si>
    <t>METHODS FOR FORMING ARYL CARBON-NITROGEN BONDS USING LIGHT AND PHOTGOREACTORS USEFUL FOR CONDUCTING SUCH REACTIONS</t>
  </si>
  <si>
    <t>16/404255</t>
  </si>
  <si>
    <t>05/06/2019</t>
  </si>
  <si>
    <t>143529</t>
  </si>
  <si>
    <t>GROUP TRANSFER POLYMERIZATION OF ACRYLATES AND METRHACRYLATES INITIATED FROM NORBORNENE</t>
  </si>
  <si>
    <t>143484</t>
  </si>
  <si>
    <t>DE-AR0000884</t>
  </si>
  <si>
    <t>3D PRINTING OF METAL-CONTAINING STRUCTURES VIA PHOTOLITHOGRAPHY FROM A METAL -CONTAINING AQUEOUS PHOTORESIN</t>
  </si>
  <si>
    <t>143541</t>
  </si>
  <si>
    <t>DE-AR0000886</t>
  </si>
  <si>
    <t>NEW YORK UNIVERSITY - (NEW YORK U)</t>
  </si>
  <si>
    <t>SYSTEM METHOD AND COMPUTER ACCESSIBLE MEDIUM FOR REMOTE SENSING OF THE ELECTRICAL</t>
  </si>
  <si>
    <t>62/736061</t>
  </si>
  <si>
    <t>143546</t>
  </si>
  <si>
    <t>DE-AR0000888</t>
  </si>
  <si>
    <t>LIGANDS FOR ONE-STEP PROCESSING OF PEROVSKITE INKS WITHOUT ANTI-SOLVENTS AND A RAPID-SCREENING METHOD FOR IDENTIFYING CANDIDATE</t>
  </si>
  <si>
    <t>62/814852</t>
  </si>
  <si>
    <t>162861</t>
  </si>
  <si>
    <t>DE-AR0000889</t>
  </si>
  <si>
    <t>HIGH COMPACTNESS THREE DIMENSIONAL THERMAL MANAGEMENT AND PACKAGING FOR POWER ELECTRONICS DEVICES</t>
  </si>
  <si>
    <t>143363</t>
  </si>
  <si>
    <t>DE-AR0000890</t>
  </si>
  <si>
    <t>ILLINOIS INSTITUTE OF TECHNOLOGY - (ILLINOIS I)</t>
  </si>
  <si>
    <t>INTELLIGENT TRI-MODE SOLID STATE CIRCUIT BREAKERS</t>
  </si>
  <si>
    <t>60/011800</t>
  </si>
  <si>
    <t>06/22/2018</t>
  </si>
  <si>
    <t>143542</t>
  </si>
  <si>
    <t>DE-AR0000891</t>
  </si>
  <si>
    <t>MODEL PREDICTIVE CONTROL OF MULTI-PHASE AC CONVERTERS IN CURRENT CONTROL MODE OF OPERATION</t>
  </si>
  <si>
    <t>143503</t>
  </si>
  <si>
    <t>CONTROL OF AMPLITUDE AND POSITION OF OUTPUT VOLTAGE OF A MATRIX CONVERTER IN GRID FORMING AND GRID FOLLOWING</t>
  </si>
  <si>
    <t>162813</t>
  </si>
  <si>
    <t>DE-AR0000893</t>
  </si>
  <si>
    <t>CURRENT SOURCE INVERTER WITH BIDIRECTIONAL SWITCHES BACKGROUND</t>
  </si>
  <si>
    <t>16/354453</t>
  </si>
  <si>
    <t>162865</t>
  </si>
  <si>
    <t>DE-AR0000896</t>
  </si>
  <si>
    <t>WIRELESS POWER TRANSFER APPARATUS</t>
  </si>
  <si>
    <t>162838</t>
  </si>
  <si>
    <t>TRANSFORMER DESIGNS FOR VERY HIGH ISOLATION WITH HIGH COUPLING</t>
  </si>
  <si>
    <t>143455-PCT</t>
  </si>
  <si>
    <t>DE-AR0000897</t>
  </si>
  <si>
    <t>COMPOSITE DC-DC CONVERTER</t>
  </si>
  <si>
    <t>PCT/US2019/046952</t>
  </si>
  <si>
    <t>08/16/2019</t>
  </si>
  <si>
    <t>143455</t>
  </si>
  <si>
    <t>162786</t>
  </si>
  <si>
    <t>DE-AR0000906</t>
  </si>
  <si>
    <t>POWER CONVERTERS INTERFACING WITH MULTIPLE SERIES STACKED VOLTAGE DOMAINS</t>
  </si>
  <si>
    <t>162875</t>
  </si>
  <si>
    <t>DE-AR0000912</t>
  </si>
  <si>
    <t>C. A. GOUDEY &amp; ASSOCIATES - (CA GO)</t>
  </si>
  <si>
    <t>ATTACHING SEAWEED TO A LINE</t>
  </si>
  <si>
    <t>162848</t>
  </si>
  <si>
    <t>DE-AR0000924</t>
  </si>
  <si>
    <t xml:space="preserve"> FISH PEN ARRAY AND MOORING</t>
  </si>
  <si>
    <t>142199</t>
  </si>
  <si>
    <t>DE-AR0000931</t>
  </si>
  <si>
    <t>DEVICES AND METHODS FOR HYDROGEN GENERATION VIA AMMONIA DECOMPOSITION</t>
  </si>
  <si>
    <t>143441</t>
  </si>
  <si>
    <t>AMMONIA DECOMPOSITION CATALYST AND SYSTEM</t>
  </si>
  <si>
    <t>62/720356</t>
  </si>
  <si>
    <t>08/21/2018</t>
  </si>
  <si>
    <t>143434</t>
  </si>
  <si>
    <t>AMMONIA DECOMPOSITION CATALYST SYSTEMS</t>
  </si>
  <si>
    <t>16/376158</t>
  </si>
  <si>
    <t>162828</t>
  </si>
  <si>
    <t>DE-AR0000942</t>
  </si>
  <si>
    <t>PATIENT PROTECTION AND MONITORING SYSTEM</t>
  </si>
  <si>
    <t>62/825349</t>
  </si>
  <si>
    <t>162795</t>
  </si>
  <si>
    <t>INTEGRATED BOUND MODE ANGULAR SENSORS</t>
  </si>
  <si>
    <t>62/818965</t>
  </si>
  <si>
    <t>162884</t>
  </si>
  <si>
    <t>DE-AR0000944</t>
  </si>
  <si>
    <t>BOSTON UNIVERSITY - (BOSTON UNI)</t>
  </si>
  <si>
    <t>FUSION-BASED OCCUPANCY SENSING FOR BUILDING SYSTEMS</t>
  </si>
  <si>
    <t>16/420797</t>
  </si>
  <si>
    <t>162803</t>
  </si>
  <si>
    <t>DE-AR0000945</t>
  </si>
  <si>
    <t>A SINGLE THERMOPILE POINT SENSOR APPARATUS WITH A SET OF CODING MASKS COMPRESSIVE SENSING MATRIX FOR INDOOR</t>
  </si>
  <si>
    <t>162801</t>
  </si>
  <si>
    <t>SHUTTERED PASSIVE IONFRARED SENSOR APPARATUS WITH A LOW POWER SHAPE MEMORY ALLOY DRIVING APPROACH FOR</t>
  </si>
  <si>
    <t>162802</t>
  </si>
  <si>
    <t>SHUTTERED PASSIVE IONFRARED SENSOR APPARATUS WITH A LOW POWER LAVET MOTOR DRIVING APPROACH FOR STATIONARY AND</t>
  </si>
  <si>
    <t>162888</t>
  </si>
  <si>
    <t>DE-AR0000947</t>
  </si>
  <si>
    <t>SECTIONED COMPACTION DEVICE TO PRODUCE LARGE PARTS OF LOW-BINDER-CONTENT COMPOSITES</t>
  </si>
  <si>
    <t>143350</t>
  </si>
  <si>
    <t>DE-AR0000949</t>
  </si>
  <si>
    <t>HYBRID SOLAR SYSTEM</t>
  </si>
  <si>
    <t>162806</t>
  </si>
  <si>
    <t>DE-AR0000950</t>
  </si>
  <si>
    <t>REINFORCED ELECTROLYZER MEMBRANES FROM POLYMERS CARRYING PENDANT A;;YLVIMIDAZOLE</t>
  </si>
  <si>
    <t>162894</t>
  </si>
  <si>
    <t>143518</t>
  </si>
  <si>
    <t>REINFORCED ELECTROLYZER MEMBRANES FROM POLYMERS CARRYING UV-CURABLE PENDANT (METH)ACRYLATYE GROUPS</t>
  </si>
  <si>
    <t>162862</t>
  </si>
  <si>
    <t>REINFORCED ELECTROLYZER MEMBRANES FROM POLYMERS CARRYING UV-CURABLE  PENDANT (METH) ACRYLAMIDE GROUPS</t>
  </si>
  <si>
    <t>162863</t>
  </si>
  <si>
    <t>IONOMERIC CARBOSILANE ADDITIVES FOR TOUGHER ELECTROLYZER MEMBRANES</t>
  </si>
  <si>
    <t>143538</t>
  </si>
  <si>
    <t>DE-AR0000952</t>
  </si>
  <si>
    <t>INCREASING RATES OF CATALTIC CHEMICAL REACTIONS BY OPERATING UNDER CONDITIONS OF ADSORPTION COMPRESSION</t>
  </si>
  <si>
    <t>62/847055</t>
  </si>
  <si>
    <t>162864</t>
  </si>
  <si>
    <t>DE-AR0000956</t>
  </si>
  <si>
    <t>NEXTECH MATERIALS, LTD. - (NEXTECH)</t>
  </si>
  <si>
    <t>SOLID OXIDE FUEL CELL STACK DESIGN</t>
  </si>
  <si>
    <t>143439</t>
  </si>
  <si>
    <t>DE-AR0000964</t>
  </si>
  <si>
    <t>METHOD FOR FABRICATING LOW-COST SOLID-STATE THERMAL NEUTRON DETECTORS WITH EXTREMELY IGH DETECTION EFFICIENCY AND SENSITIVITY</t>
  </si>
  <si>
    <t>16/170500</t>
  </si>
  <si>
    <t>162831</t>
  </si>
  <si>
    <t>DE-AR0000991</t>
  </si>
  <si>
    <t>SYSTEM AND OPERATION FOR  THERMOCHEMICAL RENEWABLE ENERGY STORAGE</t>
  </si>
  <si>
    <t>62/789169</t>
  </si>
  <si>
    <t>01/07/2019</t>
  </si>
  <si>
    <t>162849</t>
  </si>
  <si>
    <t>DE-AR0001000</t>
  </si>
  <si>
    <t>FRESHWATER RECOVERY SYSTEM FOR WASTEWATER THERMALLY-ACTUATED NOZZLE-DEMISTER</t>
  </si>
  <si>
    <t>162812</t>
  </si>
  <si>
    <t>DE-AR0001042</t>
  </si>
  <si>
    <t>OPTICAL FREQUENCY STABILIZED PHASE LOCKED LOOP (OFS-PLL)</t>
  </si>
  <si>
    <t>162899</t>
  </si>
  <si>
    <t>DE-AR0001056</t>
  </si>
  <si>
    <t xml:space="preserve">DEVICES ARCHITECTURE FOR THERMOELECTRIC DEVICES BASED ON NANOPHONONIC METAMETERIALS </t>
  </si>
  <si>
    <t>143368</t>
  </si>
  <si>
    <t>DE-AR0001289</t>
  </si>
  <si>
    <t>UNIVERSITY OF VERMONT - (UNIVVERM)</t>
  </si>
  <si>
    <t>SYSTEMS AND METHODS FOR RANDOMIZED, PACKET-BASED POWER MANAGEMENT OF CONDITIONALY-CONTROLLED LOADS AND BI-DIRECTIONAL DISTRIBUTED ENERGY STORAGE SYSTEMS</t>
  </si>
  <si>
    <t>15/712089</t>
  </si>
  <si>
    <t>143368-PCT1</t>
  </si>
  <si>
    <t>PCT/US2017/052828</t>
  </si>
  <si>
    <t>143370</t>
  </si>
  <si>
    <t>A DECENTRALIZED APPROACH FOR AVOIDING LOAD SPIKES AND SYNCHRONIZATION CAUSED BY CURTAILED DISTRIBUTED</t>
  </si>
  <si>
    <t>143369</t>
  </si>
  <si>
    <t>SILA NANOTECHNOLOGIES, INC. - (SILA)</t>
  </si>
  <si>
    <t>Link</t>
  </si>
  <si>
    <t>DE-AR0000824</t>
  </si>
  <si>
    <t>DE-AR0000694</t>
  </si>
  <si>
    <t>DE-AR0000779</t>
  </si>
  <si>
    <t>No Record</t>
  </si>
  <si>
    <t>ARPA-E Identified</t>
  </si>
  <si>
    <t>Any patents found that have not been reported by GC-62</t>
  </si>
  <si>
    <t>Definition</t>
  </si>
  <si>
    <t>GC-62 Approved</t>
  </si>
  <si>
    <t>PatSnap Workspace</t>
  </si>
  <si>
    <t>Folder</t>
  </si>
  <si>
    <t>Approved Patents</t>
  </si>
  <si>
    <t>Approved Applications</t>
  </si>
  <si>
    <t>Approved but No Application Number</t>
  </si>
  <si>
    <t xml:space="preserve">Unapproved </t>
  </si>
  <si>
    <t>None</t>
  </si>
  <si>
    <t>PatSnap Patent Application Number</t>
  </si>
  <si>
    <t>13/091122</t>
  </si>
  <si>
    <t>15/340084</t>
  </si>
  <si>
    <t>US9917323</t>
  </si>
  <si>
    <t>US9238828</t>
  </si>
  <si>
    <t>US61467261P0</t>
  </si>
  <si>
    <t>US20120258873A1</t>
  </si>
  <si>
    <t>US13/153866</t>
  </si>
  <si>
    <t>US61/472474</t>
  </si>
  <si>
    <t>US13/560147</t>
  </si>
  <si>
    <t>US9856791</t>
  </si>
  <si>
    <t>US13/969900</t>
  </si>
  <si>
    <t xml:space="preserve"> US13/428585</t>
  </si>
  <si>
    <t>US61/467261</t>
  </si>
  <si>
    <t>US61/467249</t>
  </si>
  <si>
    <t>US14/357767</t>
  </si>
  <si>
    <t>US61467249P0</t>
  </si>
  <si>
    <t>US13/918444</t>
  </si>
  <si>
    <t>US13/918452</t>
  </si>
  <si>
    <t>WO2013006361A1</t>
  </si>
  <si>
    <t>PCT/US2012/044555</t>
  </si>
  <si>
    <t>WO2012003460A3</t>
  </si>
  <si>
    <t>US20100166547A1</t>
  </si>
  <si>
    <t>US12/574208</t>
  </si>
  <si>
    <t>US13/200723</t>
  </si>
  <si>
    <t>US9079815</t>
  </si>
  <si>
    <t>US14/207823</t>
  </si>
  <si>
    <t>US14/045506</t>
  </si>
  <si>
    <t>US9273330</t>
  </si>
  <si>
    <t>US9422581</t>
  </si>
  <si>
    <t>US13/840649</t>
  </si>
  <si>
    <t>US9169467</t>
  </si>
  <si>
    <t>US9580705</t>
  </si>
  <si>
    <t>US13/891963</t>
  </si>
  <si>
    <t>US9303264</t>
  </si>
  <si>
    <t>US13/898241</t>
  </si>
  <si>
    <t>US13/805733</t>
  </si>
  <si>
    <t>US9255283</t>
  </si>
  <si>
    <t>US13/604517</t>
  </si>
  <si>
    <t>US13/397190</t>
  </si>
  <si>
    <t>US13/750986</t>
  </si>
  <si>
    <t>US13/405180</t>
  </si>
  <si>
    <t>US13/941335</t>
  </si>
  <si>
    <t>US14/750262</t>
  </si>
  <si>
    <t>US13/749477</t>
  </si>
  <si>
    <t>US8796738</t>
  </si>
  <si>
    <t>US8659030</t>
  </si>
  <si>
    <t>US8969881</t>
  </si>
  <si>
    <t>US8957454</t>
  </si>
  <si>
    <t>US14/567615</t>
  </si>
  <si>
    <t>US9070755</t>
  </si>
  <si>
    <t>US9379231</t>
  </si>
  <si>
    <t>US9217198</t>
  </si>
  <si>
    <t>US13/758387</t>
  </si>
  <si>
    <t>US14/089281</t>
  </si>
  <si>
    <t>US14/485516</t>
  </si>
  <si>
    <t>US15/011266</t>
  </si>
  <si>
    <t>US13/812757</t>
  </si>
  <si>
    <t>US16/023137</t>
  </si>
  <si>
    <t>US20150161233A1</t>
  </si>
  <si>
    <t>US9013777</t>
  </si>
  <si>
    <t>US8637996</t>
  </si>
  <si>
    <t>US8976440</t>
  </si>
  <si>
    <t>US9589792</t>
  </si>
  <si>
    <t>US9543392</t>
  </si>
  <si>
    <t>US14/649540</t>
  </si>
  <si>
    <t>US10094017</t>
  </si>
  <si>
    <t>US10145021</t>
  </si>
  <si>
    <t>WO2012016033A1</t>
  </si>
  <si>
    <t>US10155908</t>
  </si>
  <si>
    <t>US14/382822</t>
  </si>
  <si>
    <t>US13/400014</t>
  </si>
  <si>
    <t>US13/428843</t>
  </si>
  <si>
    <t>US14/112666</t>
  </si>
  <si>
    <t>US13/547006</t>
  </si>
  <si>
    <t>US13/404548</t>
  </si>
  <si>
    <t>US13/416246</t>
  </si>
  <si>
    <t>US9133819</t>
  </si>
  <si>
    <t>US13/185459</t>
  </si>
  <si>
    <t>US9227360</t>
  </si>
  <si>
    <t>US9216391</t>
  </si>
  <si>
    <t>US9316545</t>
  </si>
  <si>
    <t>US8901612</t>
  </si>
  <si>
    <t>US12/938951</t>
  </si>
  <si>
    <t>US13/354096</t>
  </si>
  <si>
    <t>US13/108708</t>
  </si>
  <si>
    <t>US13/553716</t>
  </si>
  <si>
    <t>US9190694</t>
  </si>
  <si>
    <t>US9139441</t>
  </si>
  <si>
    <t>US9601228</t>
  </si>
  <si>
    <t>US15/186534</t>
  </si>
  <si>
    <t>US20190080854A9</t>
  </si>
  <si>
    <t>US61/919692</t>
  </si>
  <si>
    <t>US13/886177</t>
  </si>
  <si>
    <t>US13/491593</t>
  </si>
  <si>
    <t>US61919692P0</t>
  </si>
  <si>
    <t>US9218917</t>
  </si>
  <si>
    <t>US20180082385A1</t>
  </si>
  <si>
    <t>PI Name</t>
  </si>
  <si>
    <t>US13/794508</t>
  </si>
  <si>
    <t>US13/803456</t>
  </si>
  <si>
    <t>US13/794551</t>
  </si>
  <si>
    <t>US13/803321</t>
  </si>
  <si>
    <t>US13/532616</t>
  </si>
  <si>
    <t>US13/224709</t>
  </si>
  <si>
    <t>US12/657198</t>
  </si>
  <si>
    <t>US13/949875</t>
  </si>
  <si>
    <t>US12/928346</t>
  </si>
  <si>
    <t>US13/850437</t>
  </si>
  <si>
    <t>US13/135798</t>
  </si>
  <si>
    <t>US13/644933</t>
  </si>
  <si>
    <t>US13/721586</t>
  </si>
  <si>
    <t>US13/174253</t>
  </si>
  <si>
    <t>US13/174393</t>
  </si>
  <si>
    <t>US13/721648</t>
  </si>
  <si>
    <t>US12/819626</t>
  </si>
  <si>
    <t>US14/405653</t>
  </si>
  <si>
    <t>US14/342530</t>
  </si>
  <si>
    <t>US14/555535</t>
  </si>
  <si>
    <t>US13/599709</t>
  </si>
  <si>
    <t>US14/506384</t>
  </si>
  <si>
    <t>US13/598321</t>
  </si>
  <si>
    <t>US14/051594</t>
  </si>
  <si>
    <t>US13/429503</t>
  </si>
  <si>
    <t>US14/078815</t>
  </si>
  <si>
    <t>US13/522288</t>
  </si>
  <si>
    <t>US14/875655</t>
  </si>
  <si>
    <t>US14/860211</t>
  </si>
  <si>
    <t>US13/514378</t>
  </si>
  <si>
    <t>US14/426290</t>
  </si>
  <si>
    <t>US13/285919</t>
  </si>
  <si>
    <t>US13/782290</t>
  </si>
  <si>
    <t>US13/657616</t>
  </si>
  <si>
    <t>US13/301731</t>
  </si>
  <si>
    <t>US12/875947</t>
  </si>
  <si>
    <t>US14/719566</t>
  </si>
  <si>
    <t>US14/575927</t>
  </si>
  <si>
    <t>This patent application number defers from the one associated with the patent number in PatSnap.</t>
  </si>
  <si>
    <t>US13/832836</t>
  </si>
  <si>
    <t>US13/832861</t>
  </si>
  <si>
    <t>US14/543489</t>
  </si>
  <si>
    <t>US14/597869</t>
  </si>
  <si>
    <t>US13/607021</t>
  </si>
  <si>
    <t>US12/970773</t>
  </si>
  <si>
    <t>US13/718207</t>
  </si>
  <si>
    <t>IMPACTS Notes</t>
  </si>
  <si>
    <t>US14/202606</t>
  </si>
  <si>
    <t>Patent application differs from what is listed on the patent record in PatSnap.</t>
  </si>
  <si>
    <t>US14/875076</t>
  </si>
  <si>
    <t>US13/673966</t>
  </si>
  <si>
    <t>US13/926313</t>
  </si>
  <si>
    <t>US14/476644</t>
  </si>
  <si>
    <t>US14/293107</t>
  </si>
  <si>
    <t>US14/445760</t>
  </si>
  <si>
    <t>US13/403813</t>
  </si>
  <si>
    <t>US14/307234</t>
  </si>
  <si>
    <t>US14/713843</t>
  </si>
  <si>
    <t>US14/290002</t>
  </si>
  <si>
    <t>US13/733125</t>
  </si>
  <si>
    <t>US13/757731</t>
  </si>
  <si>
    <t>US13/844166</t>
  </si>
  <si>
    <t>US14/651012</t>
  </si>
  <si>
    <t>US14/590086</t>
  </si>
  <si>
    <t>US14/543189</t>
  </si>
  <si>
    <t>US13/649658</t>
  </si>
  <si>
    <t>US14/442546</t>
  </si>
  <si>
    <t>US14/082618</t>
  </si>
  <si>
    <t>US13/843489</t>
  </si>
  <si>
    <t>US14/353391</t>
  </si>
  <si>
    <t>US14/155611</t>
  </si>
  <si>
    <t>US14/157958</t>
  </si>
  <si>
    <t>US13/164059</t>
  </si>
  <si>
    <t>US13/160193</t>
  </si>
  <si>
    <t>US14/380008</t>
  </si>
  <si>
    <t>US13/104456</t>
  </si>
  <si>
    <t>US13/788218</t>
  </si>
  <si>
    <t>US13/538229</t>
  </si>
  <si>
    <t>US13/524761</t>
  </si>
  <si>
    <t>US13/169487</t>
  </si>
  <si>
    <t>US14/741427</t>
  </si>
  <si>
    <t>US14/270276</t>
  </si>
  <si>
    <t>US14/367495</t>
  </si>
  <si>
    <t>US14/653427</t>
  </si>
  <si>
    <t>US13/798292</t>
  </si>
  <si>
    <t>US14/208747</t>
  </si>
  <si>
    <t>US14/104724</t>
  </si>
  <si>
    <t>US13/827560</t>
  </si>
  <si>
    <t>US14/304102</t>
  </si>
  <si>
    <t>US13/786807</t>
  </si>
  <si>
    <t>US14/766101</t>
  </si>
  <si>
    <t>US14/238835</t>
  </si>
  <si>
    <t>US14/821520</t>
  </si>
  <si>
    <t>US14/668102</t>
  </si>
  <si>
    <t>US14/455230</t>
  </si>
  <si>
    <t>US14/209274</t>
  </si>
  <si>
    <t>US14/068372</t>
  </si>
  <si>
    <t>Patent application number does not match GC-62 records.</t>
  </si>
  <si>
    <t>US13/931421</t>
  </si>
  <si>
    <t>US14/427374</t>
  </si>
  <si>
    <t>US14/354354</t>
  </si>
  <si>
    <t>US14/336119</t>
  </si>
  <si>
    <t>US13/606986</t>
  </si>
  <si>
    <t>US15/083885</t>
  </si>
  <si>
    <t>US14/175461</t>
  </si>
  <si>
    <t>US14/770969</t>
  </si>
  <si>
    <t>US13/657302</t>
  </si>
  <si>
    <t>US14/151224</t>
  </si>
  <si>
    <t>US14/370138</t>
  </si>
  <si>
    <t>US14/834861</t>
  </si>
  <si>
    <t>US14/820284</t>
  </si>
  <si>
    <t>US14/815377</t>
  </si>
  <si>
    <t>US14/475985</t>
  </si>
  <si>
    <t>US15/188218</t>
  </si>
  <si>
    <t>US15/307267</t>
  </si>
  <si>
    <t>US14/172831</t>
  </si>
  <si>
    <t>US15/232355</t>
  </si>
  <si>
    <t>US14/164106</t>
  </si>
  <si>
    <t>US14/956011</t>
  </si>
  <si>
    <t>US14/102197</t>
  </si>
  <si>
    <t>US14/683599</t>
  </si>
  <si>
    <t>US15/006201</t>
  </si>
  <si>
    <t>US14/574523</t>
  </si>
  <si>
    <t>US14/823399</t>
  </si>
  <si>
    <t>US14/928559</t>
  </si>
  <si>
    <t>US14/656808</t>
  </si>
  <si>
    <t>US14/198755</t>
  </si>
  <si>
    <t>US14/230882</t>
  </si>
  <si>
    <t>US15/199367</t>
  </si>
  <si>
    <t>US15/136375</t>
  </si>
  <si>
    <t>US13/892982</t>
  </si>
  <si>
    <t>US14/822713</t>
  </si>
  <si>
    <t>US14/248729</t>
  </si>
  <si>
    <t>US14/327720</t>
  </si>
  <si>
    <t>US14/893895</t>
  </si>
  <si>
    <t>US14/576309</t>
  </si>
  <si>
    <t>US14/626092</t>
  </si>
  <si>
    <t>US14/626332</t>
  </si>
  <si>
    <t>US15/112364</t>
  </si>
  <si>
    <t>US14/303019</t>
  </si>
  <si>
    <t>US14/710509</t>
  </si>
  <si>
    <t>US14/991027</t>
  </si>
  <si>
    <t>US15/184425</t>
  </si>
  <si>
    <t>US15/149152</t>
  </si>
  <si>
    <t>US14/172648</t>
  </si>
  <si>
    <t>US14/866125</t>
  </si>
  <si>
    <t>US14/194396</t>
  </si>
  <si>
    <t>US14/514206</t>
  </si>
  <si>
    <t>US14/318170</t>
  </si>
  <si>
    <t>US13/799989</t>
  </si>
  <si>
    <t>US14/714964</t>
  </si>
  <si>
    <t>US14/542937</t>
  </si>
  <si>
    <t>US14/026737</t>
  </si>
  <si>
    <t>US13/842844</t>
  </si>
  <si>
    <t>US14/818203</t>
  </si>
  <si>
    <t>US13/707558</t>
  </si>
  <si>
    <t>US14/260253</t>
  </si>
  <si>
    <t>US13/870615</t>
  </si>
  <si>
    <t>US13/719198</t>
  </si>
  <si>
    <t>US14/262161</t>
  </si>
  <si>
    <t>US15/165247</t>
  </si>
  <si>
    <t>US14/696425</t>
  </si>
  <si>
    <t>US15/033748</t>
  </si>
  <si>
    <t>US9102691</t>
  </si>
  <si>
    <t>US14/218969</t>
  </si>
  <si>
    <t>US11/949720</t>
  </si>
  <si>
    <t>US14/671787</t>
  </si>
  <si>
    <t>US13/887201</t>
  </si>
  <si>
    <t>US14/244807</t>
  </si>
  <si>
    <t>US14/676725</t>
  </si>
  <si>
    <t>US14/019491</t>
  </si>
  <si>
    <t>US14/199794</t>
  </si>
  <si>
    <t>US15/297011</t>
  </si>
  <si>
    <t xml:space="preserve">14/130617 </t>
  </si>
  <si>
    <t>13/883795</t>
  </si>
  <si>
    <t>62/056852</t>
  </si>
  <si>
    <t xml:space="preserve">15/943171 </t>
  </si>
  <si>
    <t xml:space="preserve">13/269173 </t>
  </si>
  <si>
    <t>13/508234</t>
  </si>
  <si>
    <t xml:space="preserve">15/546918 </t>
  </si>
  <si>
    <t>14/345235</t>
  </si>
  <si>
    <t xml:space="preserve">14/345248 </t>
  </si>
  <si>
    <t xml:space="preserve"> 14/345255  </t>
  </si>
  <si>
    <t xml:space="preserve"> 14/345391  </t>
  </si>
  <si>
    <t xml:space="preserve">13/949875 </t>
  </si>
  <si>
    <t>13/644933</t>
  </si>
  <si>
    <t>15/285787</t>
  </si>
  <si>
    <t>15/285550</t>
  </si>
  <si>
    <t>14/575927</t>
  </si>
  <si>
    <t>14/875076</t>
  </si>
  <si>
    <t>13/757731</t>
  </si>
  <si>
    <t>13/844166</t>
  </si>
  <si>
    <t>13/911900</t>
  </si>
  <si>
    <t xml:space="preserve">14/651012 </t>
  </si>
  <si>
    <t xml:space="preserve">15/965722 </t>
  </si>
  <si>
    <t>15/436593</t>
  </si>
  <si>
    <t xml:space="preserve">15/965673 </t>
  </si>
  <si>
    <t>15/182543</t>
  </si>
  <si>
    <t>16/000724</t>
  </si>
  <si>
    <t>15/711879</t>
  </si>
  <si>
    <t>15/476795</t>
  </si>
  <si>
    <t>13/185459</t>
  </si>
  <si>
    <t xml:space="preserve">15/928041 </t>
  </si>
  <si>
    <t>15/663584</t>
  </si>
  <si>
    <t>15/297011</t>
  </si>
  <si>
    <t>15/142877</t>
  </si>
  <si>
    <t>16/023336</t>
  </si>
  <si>
    <t>14/458597</t>
  </si>
  <si>
    <t>13/686886</t>
  </si>
  <si>
    <t xml:space="preserve">14/436433 </t>
  </si>
  <si>
    <t>14/355362</t>
  </si>
  <si>
    <t>14/006014</t>
  </si>
  <si>
    <t>14/551670</t>
  </si>
  <si>
    <t xml:space="preserve">13/959220 </t>
  </si>
  <si>
    <t xml:space="preserve">14/615796 </t>
  </si>
  <si>
    <t>14/603904</t>
  </si>
  <si>
    <t xml:space="preserve">14/340913 </t>
  </si>
  <si>
    <t>14/382822</t>
  </si>
  <si>
    <t>14/157329</t>
  </si>
  <si>
    <t xml:space="preserve">15/376489 </t>
  </si>
  <si>
    <t>62/376169</t>
  </si>
  <si>
    <t>62/401017</t>
  </si>
  <si>
    <t>15/903710</t>
  </si>
  <si>
    <t>15/099390</t>
  </si>
  <si>
    <t xml:space="preserve">14/944632 </t>
  </si>
  <si>
    <t>14/461577</t>
  </si>
  <si>
    <t>14/716819</t>
  </si>
  <si>
    <t>15/774862</t>
  </si>
  <si>
    <t>16/089294</t>
  </si>
  <si>
    <t>15/322417</t>
  </si>
  <si>
    <t xml:space="preserve"> 15/050318 </t>
  </si>
  <si>
    <t>14/670601</t>
  </si>
  <si>
    <t>15/400712</t>
  </si>
  <si>
    <t>16/161647</t>
  </si>
  <si>
    <t>US15/085881</t>
  </si>
  <si>
    <t>PCT/US2018/040898</t>
  </si>
  <si>
    <t>WO2018191291A1</t>
  </si>
  <si>
    <t>WO2019152952A1</t>
  </si>
  <si>
    <t>US9567678</t>
  </si>
  <si>
    <t>PatSnap Patent Publication #</t>
  </si>
  <si>
    <t>WO2013059649A1</t>
  </si>
  <si>
    <t>WO2013066848A1</t>
  </si>
  <si>
    <t>WO2014150210A1</t>
  </si>
  <si>
    <t>WO2013059785A1</t>
  </si>
  <si>
    <t>WO2015173553A1</t>
  </si>
  <si>
    <t>US10224579</t>
  </si>
  <si>
    <t>US9455446</t>
  </si>
  <si>
    <t>US20150311515A1</t>
  </si>
  <si>
    <t>US9450224</t>
  </si>
  <si>
    <t>US20160293932A1</t>
  </si>
  <si>
    <t>US9702596</t>
  </si>
  <si>
    <t>US9422582</t>
  </si>
  <si>
    <t>US61472474P0</t>
  </si>
  <si>
    <t>US9744515</t>
  </si>
  <si>
    <t>WO2013096488A2</t>
  </si>
  <si>
    <t>WO2017218692A1</t>
  </si>
  <si>
    <t>WO2014197666A2</t>
  </si>
  <si>
    <t>WO2016123531A1</t>
  </si>
  <si>
    <t>WO2011143368A1</t>
  </si>
  <si>
    <t>WO2018005612A1</t>
  </si>
  <si>
    <t>WO2019046605A2</t>
  </si>
  <si>
    <t>WO2017136124A1</t>
  </si>
  <si>
    <t>WO2016022603A1</t>
  </si>
  <si>
    <t>WO2016130725A1</t>
  </si>
  <si>
    <t>WO2018005371A1</t>
  </si>
  <si>
    <t>WO2011130407A1</t>
  </si>
  <si>
    <t>WO2013123326A1</t>
  </si>
  <si>
    <t>WO2017132672A1</t>
  </si>
  <si>
    <t>WO2017100758A1</t>
  </si>
  <si>
    <t>WO2015003120A1</t>
  </si>
  <si>
    <t>WO2017147568A1</t>
  </si>
  <si>
    <t>WO2014143100A1</t>
  </si>
  <si>
    <t>WO2018186859A1</t>
  </si>
  <si>
    <t>WO2015023847A1</t>
  </si>
  <si>
    <t>WO2017075242A1</t>
  </si>
  <si>
    <t>WO2019178537A1</t>
  </si>
  <si>
    <t>WO2017151612A1</t>
  </si>
  <si>
    <t>WO2017151606A1</t>
  </si>
  <si>
    <t>WO2018081608A1</t>
  </si>
  <si>
    <t>WO2018075624A1</t>
  </si>
  <si>
    <t>WO2018212837A1</t>
  </si>
  <si>
    <t>WO2012040176A1</t>
  </si>
  <si>
    <t>WO2016130558A1</t>
  </si>
  <si>
    <t>WO2013126721A1</t>
  </si>
  <si>
    <t>WO2013192520A1</t>
  </si>
  <si>
    <t>WO2018048382A1</t>
  </si>
  <si>
    <t>WO2014121276A2</t>
  </si>
  <si>
    <t>WO2014189667A1</t>
  </si>
  <si>
    <t>WO2015187618A2</t>
  </si>
  <si>
    <t>WO2016176612A1</t>
  </si>
  <si>
    <t>WO2017030804A1</t>
  </si>
  <si>
    <t>WO2016130783A1</t>
  </si>
  <si>
    <t>WO2014209792A1</t>
  </si>
  <si>
    <t>WO2016187547A1</t>
  </si>
  <si>
    <t>WO2016172561A1</t>
  </si>
  <si>
    <t>WO2018136259A1</t>
  </si>
  <si>
    <t>WO2019054999A1</t>
  </si>
  <si>
    <t>WO2017129522A1</t>
  </si>
  <si>
    <t>WO2018058062A1</t>
  </si>
  <si>
    <t>WO2017143222A1</t>
  </si>
  <si>
    <t>WO2019023268A1</t>
  </si>
  <si>
    <t>WO2018218144A2</t>
  </si>
  <si>
    <t>WO2019104204A1</t>
  </si>
  <si>
    <t>WO2017151769A1</t>
  </si>
  <si>
    <t>WO2018191251A1</t>
  </si>
  <si>
    <t>WO2018132546A1</t>
  </si>
  <si>
    <t>WO2016123592A1</t>
  </si>
  <si>
    <t>WO2018132344A1</t>
  </si>
  <si>
    <t>WO2019139589A1</t>
  </si>
  <si>
    <t>WO2016020689A1</t>
  </si>
  <si>
    <t>WO2015079230A1</t>
  </si>
  <si>
    <t>WO2013184162A1</t>
  </si>
  <si>
    <t>WO2014066415A2</t>
  </si>
  <si>
    <t>WO2013029830A1</t>
  </si>
  <si>
    <t>WO2017083338A1</t>
  </si>
  <si>
    <t>WO2018157089A1</t>
  </si>
  <si>
    <t>WO2013095378A1</t>
  </si>
  <si>
    <t>WO2015066693A1</t>
  </si>
  <si>
    <t>WO2018023125A1</t>
  </si>
  <si>
    <t>WO2014055873A1</t>
  </si>
  <si>
    <t>WO2017070560A1</t>
  </si>
  <si>
    <t>WO2018148703A1</t>
  </si>
  <si>
    <t>WO2017123930A1</t>
  </si>
  <si>
    <t>WO2019079513A1</t>
  </si>
  <si>
    <t>WO2019183224A1</t>
  </si>
  <si>
    <t>WO2017105578A3</t>
  </si>
  <si>
    <t>WO2016201384A2</t>
  </si>
  <si>
    <t>WO2014210027A1</t>
  </si>
  <si>
    <t>WO2018039428A1</t>
  </si>
  <si>
    <t>WO2017189991A1</t>
  </si>
  <si>
    <t>WO2017136569A2</t>
  </si>
  <si>
    <t>WO2018226914A1</t>
  </si>
  <si>
    <t>WO2016065048A1</t>
  </si>
  <si>
    <t>WO2013103762A1</t>
  </si>
  <si>
    <t>WO2017015396A1</t>
  </si>
  <si>
    <t>US8951676</t>
  </si>
  <si>
    <t>US9172111</t>
  </si>
  <si>
    <t>WO2015199791A2</t>
  </si>
  <si>
    <t>WO2015112257A1</t>
  </si>
  <si>
    <t>WO2018098349A1</t>
  </si>
  <si>
    <t>WO2016089899A1</t>
  </si>
  <si>
    <t>WO2017184580A1</t>
  </si>
  <si>
    <t>WO2018075964A1</t>
  </si>
  <si>
    <t>WO2019010290A1</t>
  </si>
  <si>
    <t>WO2019209959A1</t>
  </si>
  <si>
    <t>WO2017129520A1</t>
  </si>
  <si>
    <t>WO2018054972A1</t>
  </si>
  <si>
    <t>US8927068</t>
  </si>
  <si>
    <t>US9065122</t>
  </si>
  <si>
    <t>US9583779</t>
  </si>
  <si>
    <t>US9397345</t>
  </si>
  <si>
    <t>US9755268</t>
  </si>
  <si>
    <t>US8802287</t>
  </si>
  <si>
    <t>US8877367</t>
  </si>
  <si>
    <t>US10020479</t>
  </si>
  <si>
    <t>US9728768</t>
  </si>
  <si>
    <t>US10069135</t>
  </si>
  <si>
    <t>US9040197</t>
  </si>
  <si>
    <t>US9312398</t>
  </si>
  <si>
    <t>US8512989</t>
  </si>
  <si>
    <t>US8420364</t>
  </si>
  <si>
    <t>US8354262</t>
  </si>
  <si>
    <t>US8569031</t>
  </si>
  <si>
    <t>US8328911</t>
  </si>
  <si>
    <t>US9409116</t>
  </si>
  <si>
    <t>US9421514</t>
  </si>
  <si>
    <t>US9283502</t>
  </si>
  <si>
    <t>US9587256</t>
  </si>
  <si>
    <t>US9302219</t>
  </si>
  <si>
    <t>US9656205</t>
  </si>
  <si>
    <t>US9427698</t>
  </si>
  <si>
    <t>US9427697</t>
  </si>
  <si>
    <t>US9302220</t>
  </si>
  <si>
    <t>US9150889</t>
  </si>
  <si>
    <t>US9856449</t>
  </si>
  <si>
    <t>US9428778</t>
  </si>
  <si>
    <t>US9879251</t>
  </si>
  <si>
    <t>US9902980</t>
  </si>
  <si>
    <t>US8349587</t>
  </si>
  <si>
    <t>WO2014089436A1</t>
  </si>
  <si>
    <t>US8691171</t>
  </si>
  <si>
    <t>WO2015069799A1</t>
  </si>
  <si>
    <t>WO2013090895A1</t>
  </si>
  <si>
    <t>WO2013022896A1</t>
  </si>
  <si>
    <t>WO2012116338A1</t>
  </si>
  <si>
    <t>WO2016081704A1</t>
  </si>
  <si>
    <t>US9410736</t>
  </si>
  <si>
    <t>US8764885</t>
  </si>
  <si>
    <t>US8646538</t>
  </si>
  <si>
    <t>WO2014093876A1</t>
  </si>
  <si>
    <t>US9362583</t>
  </si>
  <si>
    <t>US9437864</t>
  </si>
  <si>
    <t>US9178200</t>
  </si>
  <si>
    <t>US9484569</t>
  </si>
  <si>
    <t>US10122044</t>
  </si>
  <si>
    <t>US9401501</t>
  </si>
  <si>
    <t>US9825280</t>
  </si>
  <si>
    <t>US9184464</t>
  </si>
  <si>
    <t>US9203092</t>
  </si>
  <si>
    <t>US8722226</t>
  </si>
  <si>
    <t>US8739603</t>
  </si>
  <si>
    <t>US9325171</t>
  </si>
  <si>
    <t>US9114281</t>
  </si>
  <si>
    <t>US9281756</t>
  </si>
  <si>
    <t>US9184237</t>
  </si>
  <si>
    <t>US9607748</t>
  </si>
  <si>
    <t>US10118862</t>
  </si>
  <si>
    <t>US9295116</t>
  </si>
  <si>
    <t>US9359259</t>
  </si>
  <si>
    <t>US8786327</t>
  </si>
  <si>
    <t>US9041435</t>
  </si>
  <si>
    <t>US9905367</t>
  </si>
  <si>
    <t>US9538875</t>
  </si>
  <si>
    <t>WO2015048765A1</t>
  </si>
  <si>
    <t>US9555895</t>
  </si>
  <si>
    <t>US9598170</t>
  </si>
  <si>
    <t>US9041003</t>
  </si>
  <si>
    <t>US9911813</t>
  </si>
  <si>
    <t>US9570600</t>
  </si>
  <si>
    <t>WO2014168911A1</t>
  </si>
  <si>
    <t>US9722236</t>
  </si>
  <si>
    <t>WO2018081224A1</t>
  </si>
  <si>
    <t>US9488392</t>
  </si>
  <si>
    <t>US9577298</t>
  </si>
  <si>
    <t>US9800167</t>
  </si>
  <si>
    <t>US8137831</t>
  </si>
  <si>
    <t>US9308491</t>
  </si>
  <si>
    <t>US9273876</t>
  </si>
  <si>
    <t>US8668997</t>
  </si>
  <si>
    <t>US10044058</t>
  </si>
  <si>
    <t>US9083019</t>
  </si>
  <si>
    <t>US9419289</t>
  </si>
  <si>
    <t>US8803384</t>
  </si>
  <si>
    <t>US9251938</t>
  </si>
  <si>
    <t>US9373433</t>
  </si>
  <si>
    <t>WO2015031788A1</t>
  </si>
  <si>
    <t>US9879166</t>
  </si>
  <si>
    <t>US9527741</t>
  </si>
  <si>
    <t>US9669379</t>
  </si>
  <si>
    <t>US9776154</t>
  </si>
  <si>
    <t>WO2014204985A1</t>
  </si>
  <si>
    <t>US10139169</t>
  </si>
  <si>
    <t>US10072638</t>
  </si>
  <si>
    <t>WO2015073620A1</t>
  </si>
  <si>
    <t>WO2014089422A1</t>
  </si>
  <si>
    <t>US9142350</t>
  </si>
  <si>
    <t>WO2017087535A1</t>
  </si>
  <si>
    <t>WO2017096283A1</t>
  </si>
  <si>
    <t>US9419479</t>
  </si>
  <si>
    <t>US9461523</t>
  </si>
  <si>
    <t>US9362788</t>
  </si>
  <si>
    <t>US9997285</t>
  </si>
  <si>
    <t>US10062482</t>
  </si>
  <si>
    <t>US9548150</t>
  </si>
  <si>
    <t>US10072356</t>
  </si>
  <si>
    <t>US9715957</t>
  </si>
  <si>
    <t>US10068689</t>
  </si>
  <si>
    <t>US10002694</t>
  </si>
  <si>
    <t>WO2018204800A1</t>
  </si>
  <si>
    <t>WO2013026007A2</t>
  </si>
  <si>
    <t>WO2017091309A2</t>
  </si>
  <si>
    <t>WO2015103074A1</t>
  </si>
  <si>
    <t>US10240163</t>
  </si>
  <si>
    <t>US10106826</t>
  </si>
  <si>
    <t>WO2016210154A1</t>
  </si>
  <si>
    <t>WO2017160529A1</t>
  </si>
  <si>
    <t>US10100325</t>
  </si>
  <si>
    <t>US9394503</t>
  </si>
  <si>
    <t>US9337767</t>
  </si>
  <si>
    <t>US9590060</t>
  </si>
  <si>
    <t>US9318593</t>
  </si>
  <si>
    <t>US9799779</t>
  </si>
  <si>
    <t>US10033263</t>
  </si>
  <si>
    <t>US9407157</t>
  </si>
  <si>
    <t>US9306391</t>
  </si>
  <si>
    <t>US10158229</t>
  </si>
  <si>
    <t>US9197065</t>
  </si>
  <si>
    <t>US9590421</t>
  </si>
  <si>
    <t>US9054530</t>
  </si>
  <si>
    <t>WO2016131008A1</t>
  </si>
  <si>
    <t>WO2019178041A1</t>
  </si>
  <si>
    <t>US9249934</t>
  </si>
  <si>
    <t>US9951095</t>
  </si>
  <si>
    <t>US9452380</t>
  </si>
  <si>
    <t>US10035127</t>
  </si>
  <si>
    <t>US9550341</t>
  </si>
  <si>
    <t>US8075827</t>
  </si>
  <si>
    <t>US9476546</t>
  </si>
  <si>
    <t>US9217538</t>
  </si>
  <si>
    <t>US10088101</t>
  </si>
  <si>
    <t>US10107452</t>
  </si>
  <si>
    <t>WO2019079312A1</t>
  </si>
  <si>
    <t>WO2016073883A1</t>
  </si>
  <si>
    <t>US9316178</t>
  </si>
  <si>
    <t>US9528465</t>
  </si>
  <si>
    <t>US9685651</t>
  </si>
  <si>
    <t>US9509011</t>
  </si>
  <si>
    <t>WO2016183356A1</t>
  </si>
  <si>
    <t>US10079413</t>
  </si>
  <si>
    <t>US10120035</t>
  </si>
  <si>
    <t>US9660299</t>
  </si>
  <si>
    <t>WO2016081513A1</t>
  </si>
  <si>
    <t>US9777122</t>
  </si>
  <si>
    <t>US9957438</t>
  </si>
  <si>
    <t>US10006436</t>
  </si>
  <si>
    <t>US9705130</t>
  </si>
  <si>
    <t>US9660268</t>
  </si>
  <si>
    <t>US9742027</t>
  </si>
  <si>
    <t>US9634317</t>
  </si>
  <si>
    <t>US10096999</t>
  </si>
  <si>
    <t>US9973092</t>
  </si>
  <si>
    <t>US9853318</t>
  </si>
  <si>
    <t>US10041171</t>
  </si>
  <si>
    <t>US9738529</t>
  </si>
  <si>
    <t>US10005674</t>
  </si>
  <si>
    <t>WO2015160829A1</t>
  </si>
  <si>
    <t>WO2016144909A9</t>
  </si>
  <si>
    <t>WO2012167057A3</t>
  </si>
  <si>
    <t>WO2018049050A1</t>
  </si>
  <si>
    <t>WO2018005934A1</t>
  </si>
  <si>
    <t>WO2018119102A1</t>
  </si>
  <si>
    <t>WO2014197675A3</t>
  </si>
  <si>
    <t>WO2015042244A1</t>
  </si>
  <si>
    <t>WO2018071723A1</t>
  </si>
  <si>
    <t>US10115942</t>
  </si>
  <si>
    <t>WO2017044863A1</t>
  </si>
  <si>
    <t>WO2017003528A1</t>
  </si>
  <si>
    <t>US9880144</t>
  </si>
  <si>
    <t>US9702845</t>
  </si>
  <si>
    <t>US9797857</t>
  </si>
  <si>
    <t>US10059920</t>
  </si>
  <si>
    <t>US10062749</t>
  </si>
  <si>
    <t>WO2019028180A1</t>
  </si>
  <si>
    <t>WO2019164589A1</t>
  </si>
  <si>
    <t>US9882215</t>
  </si>
  <si>
    <t>WO2019040866A3</t>
  </si>
  <si>
    <t>US10014529</t>
  </si>
  <si>
    <t>US10059584</t>
  </si>
  <si>
    <t>US9927178</t>
  </si>
  <si>
    <t>WO2018080842A1</t>
  </si>
  <si>
    <t>WO2019164797A1</t>
  </si>
  <si>
    <t>WO2019191225A1</t>
  </si>
  <si>
    <t>WO2018057818A1</t>
  </si>
  <si>
    <t>Row Labels</t>
  </si>
  <si>
    <t>Grand Total</t>
  </si>
  <si>
    <t>(blank)</t>
  </si>
  <si>
    <t>#N/A</t>
  </si>
  <si>
    <t>PI Email</t>
  </si>
  <si>
    <t>mueller@egr.msu.edu</t>
  </si>
  <si>
    <t>mmukherjee@exelusinc.com</t>
  </si>
  <si>
    <t>NULL</t>
  </si>
  <si>
    <t>wacke003@umn.edu</t>
  </si>
  <si>
    <t>yanys@udel.edu</t>
  </si>
  <si>
    <t>mspaldin@iastate.edu</t>
  </si>
  <si>
    <t>wim@asu.edu</t>
  </si>
  <si>
    <t>fmadden@fdwt.com</t>
  </si>
  <si>
    <t>greg.l.grant@delphi.com</t>
  </si>
  <si>
    <t>fan.1@osu.edu</t>
  </si>
  <si>
    <t>jim.sweeney@stanford.edu</t>
  </si>
  <si>
    <t>bberland@itnes.com</t>
  </si>
  <si>
    <t>mdevelyn@soraa.com</t>
  </si>
  <si>
    <t>ddayton@rti.org</t>
  </si>
  <si>
    <t>paul@kohanatech.com</t>
  </si>
  <si>
    <t>wcarlson@nalco.com</t>
  </si>
  <si>
    <t>david.moore@lehigh.edu</t>
  </si>
  <si>
    <t>atti@phononicdevices.com</t>
  </si>
  <si>
    <t>hlopez@enviasystems.com</t>
  </si>
  <si>
    <t>riccardo@fastcapsystems.com</t>
  </si>
  <si>
    <t>ryoungs@algaevs.com</t>
  </si>
  <si>
    <t>cfriesen@asu.edu</t>
  </si>
  <si>
    <t>sanjiv@illinois.edu</t>
  </si>
  <si>
    <t>rmraab@agrivida.com</t>
  </si>
  <si>
    <t>joel.moxley@foroenergy.com</t>
  </si>
  <si>
    <t>dave.lucero@eaglepicher.com</t>
  </si>
  <si>
    <t>dsadoway@mit.edu</t>
  </si>
  <si>
    <t>cbrigham@MIT.edu</t>
  </si>
  <si>
    <t>gregstep@mit.edu</t>
  </si>
  <si>
    <t>sbanta@columbia.edu</t>
  </si>
  <si>
    <t>svisco@polyplus.com</t>
  </si>
  <si>
    <t>rob@pelliontech.com</t>
  </si>
  <si>
    <t>ajey_m_joshi@amat.com</t>
  </si>
  <si>
    <t>xingy@mst.edu</t>
  </si>
  <si>
    <t>ymikhaylik@sionpower.com</t>
  </si>
  <si>
    <t>kchesley@stanford.edu</t>
  </si>
  <si>
    <t>a.yang@recappinginc.com</t>
  </si>
  <si>
    <t>jim.lalonde@codexis.com</t>
  </si>
  <si>
    <t>kunlei.liu@uky.edu</t>
  </si>
  <si>
    <t>zhouh@tamu.edu</t>
  </si>
  <si>
    <t>vladimir.balepin@atk.com</t>
  </si>
  <si>
    <t>pamela_silver@hms.harvard.edu</t>
  </si>
  <si>
    <t>rmkelly@eos.ncsu.edu</t>
  </si>
  <si>
    <t>tahatton@mit.edu</t>
  </si>
  <si>
    <t>robert.perry@crd.ge.com</t>
  </si>
  <si>
    <t>liaoj@ucla.edu</t>
  </si>
  <si>
    <t>mlynch@opxbio.com</t>
  </si>
  <si>
    <t>mayh@musc.edu</t>
  </si>
  <si>
    <t>jason@ginkgobioworks.com</t>
  </si>
  <si>
    <t>lcoleman@rti.org</t>
  </si>
  <si>
    <t>stakach@nd.edu</t>
  </si>
  <si>
    <t>tabita.1@osu.edu</t>
  </si>
  <si>
    <t>nobler@colorado.edu</t>
  </si>
  <si>
    <t>ap2622@columbia.edu</t>
  </si>
  <si>
    <t>l.baxter@sesinnovation.com</t>
  </si>
  <si>
    <t>ttan@24-m.com</t>
  </si>
  <si>
    <t>kdtn@vt.edu</t>
  </si>
  <si>
    <t>mallen@ece.gatech.edu</t>
  </si>
  <si>
    <t>deepak.divan@ece.gatech.edu</t>
  </si>
  <si>
    <t>David_Grider@cree.com</t>
  </si>
  <si>
    <t>tmcnutt@apei.net</t>
  </si>
  <si>
    <t>vmehrotra@teledyne.com</t>
  </si>
  <si>
    <t>sobrien@ccny.cuny.edu</t>
  </si>
  <si>
    <t>pparikh@transphormusa.com</t>
  </si>
  <si>
    <t>Gxw2@case.edu</t>
  </si>
  <si>
    <t>ksboutros@hrl.com</t>
  </si>
  <si>
    <t>prabhaka@ge.com</t>
  </si>
  <si>
    <t>wschneider@nd.edu</t>
  </si>
  <si>
    <t>djperrea@mit.edu</t>
  </si>
  <si>
    <t>aaron.sathrum@ga.com</t>
  </si>
  <si>
    <t>ghoshal@sheetak.com</t>
  </si>
  <si>
    <t>s.russek@astronautics.com</t>
  </si>
  <si>
    <t>rmk10@arl.psu.edu</t>
  </si>
  <si>
    <t>takeuchi@umd.edu</t>
  </si>
  <si>
    <t>ricci@battelle.org</t>
  </si>
  <si>
    <t>saeedmog@ufl.edu</t>
  </si>
  <si>
    <t>srnaraya@usc.edu</t>
  </si>
  <si>
    <t>wirz@ucla.edu</t>
  </si>
  <si>
    <t>vr.v.ramanan@us.abb.com</t>
  </si>
  <si>
    <t>misseljm@utrc.utc.com</t>
  </si>
  <si>
    <t>reevehm@utrc.utc.com</t>
  </si>
  <si>
    <t>perryml@utrc.utc.com</t>
  </si>
  <si>
    <t>madams@che.ccny.cuny.edu</t>
  </si>
  <si>
    <t>michael.strasik@boeing.com</t>
  </si>
  <si>
    <t>hockney@beaconpower.com</t>
  </si>
  <si>
    <t>johnsonf@ge.com</t>
  </si>
  <si>
    <t>dlovley@microbio.umass.edu</t>
  </si>
  <si>
    <t>kcherbst@msn.com</t>
  </si>
  <si>
    <t>zak.fang@utah.edu</t>
  </si>
  <si>
    <t>jraade@halotechnics.com</t>
  </si>
  <si>
    <t>lishi@mail.utexas.edu</t>
  </si>
  <si>
    <t>goswami@usf.edu</t>
  </si>
  <si>
    <t>jcg@mit.edu</t>
  </si>
  <si>
    <t>gchen2@mit.edu</t>
  </si>
  <si>
    <t>jhd@me.umn.edu</t>
  </si>
  <si>
    <t>vanhasba@utrc.utc.com</t>
  </si>
  <si>
    <t>dwhahn@ufl.edu</t>
  </si>
  <si>
    <t>enwang@mit.edu</t>
  </si>
  <si>
    <t>lhlewis@neu.edu</t>
  </si>
  <si>
    <t>ian.baker@dartmouth.edu</t>
  </si>
  <si>
    <t>ykhong@eng.ua.edu</t>
  </si>
  <si>
    <t>ecarpenter2@vcu.edu</t>
  </si>
  <si>
    <t>david.matthiesen@case.edu</t>
  </si>
  <si>
    <t>jpwang@umn.edu</t>
  </si>
  <si>
    <t>dschnell@biochem.umass.edu</t>
  </si>
  <si>
    <t>liaoj@seas.ucla.edu</t>
  </si>
  <si>
    <t>tmkutchan@danforthcenter.org</t>
  </si>
  <si>
    <t>syuan@tamu.edu</t>
  </si>
  <si>
    <t>slong@illinois.edu</t>
  </si>
  <si>
    <t>hwsedero@ncsu.edu</t>
  </si>
  <si>
    <t>dpreuss@chromatininc.com</t>
  </si>
  <si>
    <t>gfpeter@ufl.edu</t>
  </si>
  <si>
    <t>fahimi@utdallas.edu</t>
  </si>
  <si>
    <t>rlal@transphormusa.com</t>
  </si>
  <si>
    <t>paul.bundschuh@idealpower.com</t>
  </si>
  <si>
    <t>maksimov@colorado.edu</t>
  </si>
  <si>
    <t>p.chapman@solarbridgetech.com</t>
  </si>
  <si>
    <t>mm7g@andrew.cmu.edu</t>
  </si>
  <si>
    <t>fzpeng@egr.msu.edu</t>
  </si>
  <si>
    <t>Rob.Sellick@ge.com</t>
  </si>
  <si>
    <t>sgrijalva@ece.gatech.edu</t>
  </si>
  <si>
    <t>slow@caltech.edu</t>
  </si>
  <si>
    <t>aprasai@varentec.com</t>
  </si>
  <si>
    <t>chenq@ge.com</t>
  </si>
  <si>
    <t>frank.kreikebaum@smartwires.com</t>
  </si>
  <si>
    <t>geoff.staines@ga.com</t>
  </si>
  <si>
    <t>amit@auto-grid.com</t>
  </si>
  <si>
    <t>andrea@makanipower.com</t>
  </si>
  <si>
    <t>shiguang.li@gastechnology.org</t>
  </si>
  <si>
    <t>zhou@chem.tamu.edu</t>
  </si>
  <si>
    <t>mveenstr@ford.com</t>
  </si>
  <si>
    <t>adam@relinc.net</t>
  </si>
  <si>
    <t>gotkinae@utrc.utc.com</t>
  </si>
  <si>
    <t>danrecht@voluteinc.com</t>
  </si>
  <si>
    <t>anna.laursen@ge.com</t>
  </si>
  <si>
    <t>mclewis@cem.utexas.edu</t>
  </si>
  <si>
    <t>gclarkfortune@eaton.com</t>
  </si>
  <si>
    <t>pthoen@itnes.com</t>
  </si>
  <si>
    <t>julia.song@energystoragesystems.com</t>
  </si>
  <si>
    <t>glin@tvnsystems.com</t>
  </si>
  <si>
    <t>jack_chen@outlook.com</t>
  </si>
  <si>
    <t>amasias@ford.com</t>
  </si>
  <si>
    <t>knobloch@research.ge.com</t>
  </si>
  <si>
    <t>regan.zane@usu.edu</t>
  </si>
  <si>
    <t>jhs@battelle.org</t>
  </si>
  <si>
    <t>hkf2@psu.edu</t>
  </si>
  <si>
    <t>Ajay.Raghavan@parc.com</t>
  </si>
  <si>
    <t>vsubram@uw.edu</t>
  </si>
  <si>
    <t>jeff.xu@swri.org</t>
  </si>
  <si>
    <t>Sungbae.Park@nl.bosch.com</t>
  </si>
  <si>
    <t>chinmayapatil@eaton.com</t>
  </si>
  <si>
    <t>Kenneth.Sprouse@rocket.com</t>
  </si>
  <si>
    <t>alan.weimer@colorado.edu</t>
  </si>
  <si>
    <t>rme@pitt.edu</t>
  </si>
  <si>
    <t>zhujo@ge.com</t>
  </si>
  <si>
    <t>jyhan@mit.edu</t>
  </si>
  <si>
    <t>mattkoch@tees.tamus.edu</t>
  </si>
  <si>
    <t>jjanlee@sharplabs.com</t>
  </si>
  <si>
    <t>timothy.sommerer@ge.com</t>
  </si>
  <si>
    <t>wessells1@gmail.com</t>
  </si>
  <si>
    <t>jack.moon@gatech.edu</t>
  </si>
  <si>
    <t>chowt@rpi.edu</t>
  </si>
  <si>
    <t>chinbay.fan@gastechnology.org</t>
  </si>
  <si>
    <t>veronewa@utrc.utc.com</t>
  </si>
  <si>
    <t>cmartin@undeerc.org</t>
  </si>
  <si>
    <t>de54@cornell.edu</t>
  </si>
  <si>
    <t>nealstewart@utk.edu</t>
  </si>
  <si>
    <t>shanhui@stanford.edu</t>
  </si>
  <si>
    <t>shreyas_mandre@brown.edu</t>
  </si>
  <si>
    <t>john.lettow@vorbeck.com</t>
  </si>
  <si>
    <t>Corie.Cobb@parc.com</t>
  </si>
  <si>
    <t>jfl@electronenergy.com</t>
  </si>
  <si>
    <t>jasofranko@ecocatalytic.com</t>
  </si>
  <si>
    <t>huber@engr.wisc.edu</t>
  </si>
  <si>
    <t>leila@otherlab.com</t>
  </si>
  <si>
    <t>earens@berkeley.edu</t>
  </si>
  <si>
    <t>peter@glintphotonics.com</t>
  </si>
  <si>
    <t>haa@caltech.edu</t>
  </si>
  <si>
    <t>david_syracuse@siliconpower.com</t>
  </si>
  <si>
    <t>cmrey@tai-yang.com</t>
  </si>
  <si>
    <t>tsapatsis@umn.edu</t>
  </si>
  <si>
    <t>ase@gatech.edu</t>
  </si>
  <si>
    <t>vonmeier@uc-ciee.org</t>
  </si>
  <si>
    <t>stucky@chem.ucsb.edu</t>
  </si>
  <si>
    <t>rich.masel@dioxidematerials.com</t>
  </si>
  <si>
    <t>yusheng.zhao@unlv.edu</t>
  </si>
  <si>
    <t>karoff@seas.harvard.edu</t>
  </si>
  <si>
    <t>lidstrom@uw.edu</t>
  </si>
  <si>
    <t>fturano@plant-ss.com</t>
  </si>
  <si>
    <t>rfs2@case.edu</t>
  </si>
  <si>
    <t>sri.narayan@usc.edu</t>
  </si>
  <si>
    <t>Ajey_M_Joshi@amat.com</t>
  </si>
  <si>
    <t>ratnakumar.v.bugga@jpl.nasa.gov</t>
  </si>
  <si>
    <t>mamato@itcpowersolutions.com</t>
  </si>
  <si>
    <t>brian.johnson@daisanalytic.com</t>
  </si>
  <si>
    <t>wchen@purdue.edu</t>
  </si>
  <si>
    <t>shirleymeng@ucsd.edu</t>
  </si>
  <si>
    <t>yyao4@uh.edu</t>
  </si>
  <si>
    <t>kniajans@ge.com</t>
  </si>
  <si>
    <t>linfengli@bettergy.com</t>
  </si>
  <si>
    <t>cdrahn@psu.edu</t>
  </si>
  <si>
    <t>kwo.young@basf.com</t>
  </si>
  <si>
    <t>cswang@umd.edu</t>
  </si>
  <si>
    <t>clo@cadenzainnovation.com</t>
  </si>
  <si>
    <t>fkchang@stanford.edu</t>
  </si>
  <si>
    <t>yqiao@ucsd.edu</t>
  </si>
  <si>
    <t>steingart@princeton.edu</t>
  </si>
  <si>
    <t>jrlong@berkeley.edu</t>
  </si>
  <si>
    <t>Jessy.Rivest@parc.com</t>
  </si>
  <si>
    <t>Mark.Ripepi@alcoa.com</t>
  </si>
  <si>
    <t>rna3@case.edu</t>
  </si>
  <si>
    <t>raj.rajamani@utah.edu</t>
  </si>
  <si>
    <t>apowell@infiniummetals.com</t>
  </si>
  <si>
    <t>skdas@phinix.net</t>
  </si>
  <si>
    <t>gbh@rti.org</t>
  </si>
  <si>
    <t>rdesaro@er-co.com</t>
  </si>
  <si>
    <t>pei.sun@utah.edu</t>
  </si>
  <si>
    <t>luke.venstrom@valpo.edu</t>
  </si>
  <si>
    <t>kumarmaple@aol.com</t>
  </si>
  <si>
    <t>sragsdal@umich.edu</t>
  </si>
  <si>
    <t>daniela.grabs@arzeda.com</t>
  </si>
  <si>
    <t>satsumi@ucdavis.edu</t>
  </si>
  <si>
    <t>idealgas314@gmail.com</t>
  </si>
  <si>
    <t>jgf3@psu.edu</t>
  </si>
  <si>
    <t>papoutsakis@dbi.udel.edu</t>
  </si>
  <si>
    <t>amyr@northwestern.edu</t>
  </si>
  <si>
    <t>Derek.Griffin@lanzatech.com</t>
  </si>
  <si>
    <t>goran.jovanovic@oregonstate.edu</t>
  </si>
  <si>
    <t>kmatocha@monolithsemi.com</t>
  </si>
  <si>
    <t>leach@kymatech.com</t>
  </si>
  <si>
    <t>tadao@spmaterials.com</t>
  </si>
  <si>
    <t>rmccarthy@mldevices.com</t>
  </si>
  <si>
    <t>vlado@ibeammaterials.com</t>
  </si>
  <si>
    <t>rchu@hrl.com</t>
  </si>
  <si>
    <t>mishra@ece.ucsb.edu</t>
  </si>
  <si>
    <t>shepard@ee.columbia.edu</t>
  </si>
  <si>
    <t>robert.nemanich@asu.edu</t>
  </si>
  <si>
    <t>grace.xing@cornell.edu</t>
  </si>
  <si>
    <t>grotjohn@egr.msu.edu</t>
  </si>
  <si>
    <t>asingh@mogene.com</t>
  </si>
  <si>
    <t>jordi.perez.mariano@sri.com</t>
  </si>
  <si>
    <t>dkirkpatrick@blackpaktech.com</t>
  </si>
  <si>
    <t>todd-otanicar@utulsa.edu</t>
  </si>
  <si>
    <t>aleksandr.kozlov@gastechnology.org</t>
  </si>
  <si>
    <t>david.e.lee@ngc.com</t>
  </si>
  <si>
    <t>douglas.hofer@ge.com</t>
  </si>
  <si>
    <t>Stephen.Goodnick@asu.edu</t>
  </si>
  <si>
    <t>jmichel@mit.edu</t>
  </si>
  <si>
    <t>escarra@tulane.edu</t>
  </si>
  <si>
    <t>zachary.holman@asu.edu</t>
  </si>
  <si>
    <t>greg.buchholz@amsc.com</t>
  </si>
  <si>
    <t>milliron@che.utexas.edu</t>
  </si>
  <si>
    <t>rita.hansen@onboarddynamics.com</t>
  </si>
  <si>
    <t>masaru.tsuchiya@sienergysystems.com</t>
  </si>
  <si>
    <t>rohayre@mines.edu</t>
  </si>
  <si>
    <t>bryan@redoxpowersystems.com</t>
  </si>
  <si>
    <t>calum.chisholm@safcell.com</t>
  </si>
  <si>
    <t>ZhuTL@utrc.utc.com</t>
  </si>
  <si>
    <t>pattekar@parc.com</t>
  </si>
  <si>
    <t>luucla@ucla.edu</t>
  </si>
  <si>
    <t>meilin.liu@mse.gatech.edu</t>
  </si>
  <si>
    <t>jcarpenter@rti.org</t>
  </si>
  <si>
    <t>ohadi@umd.edu</t>
  </si>
  <si>
    <t>gchang@integral-corp.com</t>
  </si>
  <si>
    <t>smald@umich.edu</t>
  </si>
  <si>
    <t>hekhalif@syr.edu</t>
  </si>
  <si>
    <t>yhw@umd.edu</t>
  </si>
  <si>
    <t>jf456@cornell.edu</t>
  </si>
  <si>
    <t>zhanghui@berkeley.edu</t>
  </si>
  <si>
    <t>raderm@umd.edu</t>
  </si>
  <si>
    <t>ya.s.wang@stonybrook.edu</t>
  </si>
  <si>
    <t>roy.kornbluh@sri.com</t>
  </si>
  <si>
    <t>alon.gorodetsky@uci.edu</t>
  </si>
  <si>
    <t>josephwang@ucsd.edu</t>
  </si>
  <si>
    <t>brent@otherlab.com</t>
  </si>
  <si>
    <t>mark.johnson@licor.com</t>
  </si>
  <si>
    <t>SSegal@thorlabs.com</t>
  </si>
  <si>
    <t>greg.rieker@colorado.edu</t>
  </si>
  <si>
    <t>hendrikh@us.ibm.com</t>
  </si>
  <si>
    <t>robert@rebellionphotonics.com</t>
  </si>
  <si>
    <t>David.Schwartz@parc.com</t>
  </si>
  <si>
    <t>william.challener@ge.com</t>
  </si>
  <si>
    <t>thorpe@bridgerphotonics.com</t>
  </si>
  <si>
    <t>jeff.glass@duke.edu</t>
  </si>
  <si>
    <t>frish@psicorp.com</t>
  </si>
  <si>
    <t>bowie@mbi.ucla.edu</t>
  </si>
  <si>
    <t>inquiries@helionenergy.com</t>
  </si>
  <si>
    <t>shumlak@uw.edu</t>
  </si>
  <si>
    <t>gfnellis@engr.wisc.edu</t>
  </si>
  <si>
    <t>Jon.Longtin@stonybrook.edu</t>
  </si>
  <si>
    <t>erik.torgerson@sri.com</t>
  </si>
  <si>
    <t>raj.manglik@uc.edu</t>
  </si>
  <si>
    <t>tangc@ge.com</t>
  </si>
  <si>
    <t>Ronggui.Yang@Colorado.Edu</t>
  </si>
  <si>
    <t>gsrinivas@tda.com</t>
  </si>
  <si>
    <t>richard.bonner@1-act.com</t>
  </si>
  <si>
    <t>bernard.casse@parc.com</t>
  </si>
  <si>
    <t>amir@umd.edu</t>
  </si>
  <si>
    <t>baoyang@umd.edu</t>
  </si>
  <si>
    <t>mtuinstr@purdue.edu</t>
  </si>
  <si>
    <t>tmockler@danforthcenter.org</t>
  </si>
  <si>
    <t>skresov@clemson.edu</t>
  </si>
  <si>
    <t>reitz@engr.wisc.edu</t>
  </si>
  <si>
    <t>kesseli@braytonenergy.com</t>
  </si>
  <si>
    <t>gary.wood@ametek.com</t>
  </si>
  <si>
    <t>Parviz.Famouri@mail.wvu.edu</t>
  </si>
  <si>
    <t>memot@mit.edu</t>
  </si>
  <si>
    <t>klenk@parc.com</t>
  </si>
  <si>
    <t>lei@umd.edu</t>
  </si>
  <si>
    <t>Jonah.Erlebacher@jhu.edu</t>
  </si>
  <si>
    <t>khurram.afridi@colorado.edu</t>
  </si>
  <si>
    <t>ncg2@psu.edu</t>
  </si>
  <si>
    <t>JengPing.Lu@parc.com</t>
  </si>
  <si>
    <t>gschmidt@optics.rochester.edu</t>
  </si>
  <si>
    <t>shmeng@ucsd.edu</t>
  </si>
  <si>
    <t>rusty.jewett@sencera.com</t>
  </si>
  <si>
    <t>bryce@airsquared.com</t>
  </si>
  <si>
    <t>cculp@tamu.edu</t>
  </si>
  <si>
    <t>jeffsaka@umich.edu</t>
  </si>
  <si>
    <t>swmartin@iastate.edu</t>
  </si>
  <si>
    <t>john.pendray@cummins.com</t>
  </si>
  <si>
    <t>redon@achatespower.com</t>
  </si>
  <si>
    <t>jmcentee@orpc.co</t>
  </si>
  <si>
    <t>rthowe@stanford.edu</t>
  </si>
  <si>
    <t>fred.wang@utk.edu</t>
  </si>
  <si>
    <t>loth@virginia.edu</t>
  </si>
  <si>
    <t>alexis.abramson@case.edu</t>
  </si>
  <si>
    <t>shuji@engineering.ucsb.edu</t>
  </si>
  <si>
    <t>bowers@ece.ucsb.edu</t>
  </si>
  <si>
    <t>ghandi@ge.com</t>
  </si>
  <si>
    <t>pat.brady@redwaveenergy.com</t>
  </si>
  <si>
    <t>r_nebel@tibbartech.com</t>
  </si>
  <si>
    <t>Nick.AuYeung@oregonstate.edu</t>
  </si>
  <si>
    <t>devin.halliday@gastechnology.org</t>
  </si>
  <si>
    <t>Joe.Beach@StarfireEnergy.com</t>
  </si>
  <si>
    <t>rbradshaw@bostonelectromet.com</t>
  </si>
  <si>
    <t>malmassa@uvm.edu</t>
  </si>
  <si>
    <t>junshan.zhang@asu.edu</t>
  </si>
  <si>
    <t>ramr@stanford.edu</t>
  </si>
  <si>
    <t>Reza.Ghaemi@ge.com</t>
  </si>
  <si>
    <t>murtis@umn.edu</t>
  </si>
  <si>
    <t>MichaelNowak@Eaton.com</t>
  </si>
  <si>
    <t>Raymond.H.Bryden@saint-gobain.com</t>
  </si>
  <si>
    <t>mdd@jhu.edu</t>
  </si>
  <si>
    <t>philip.benfey@duke.edu</t>
  </si>
  <si>
    <t>Mahati.Chintapalli@parc.com</t>
  </si>
  <si>
    <t>mfbertino@vcu.edu</t>
  </si>
  <si>
    <t>pilon@seas.ucla.edu</t>
  </si>
  <si>
    <t>Ivan.Smalyukh@Colorado.EDU</t>
  </si>
  <si>
    <t>sjin@nanosdinc.com</t>
  </si>
  <si>
    <t>erika@irdynamics.com</t>
  </si>
  <si>
    <t>laa25@cornell.edu</t>
  </si>
  <si>
    <t>sankar.nair@chbe.gatech.edu</t>
  </si>
  <si>
    <t>phil@adaptivesurface.tech</t>
  </si>
  <si>
    <t>terry.marker@gastechnology.org</t>
  </si>
  <si>
    <t>Ramon.Gonzalez@rice.edu</t>
  </si>
  <si>
    <t>edg12@psu.edu</t>
  </si>
  <si>
    <t>PerryML@utrc.utc.com</t>
  </si>
  <si>
    <t>ramani@wustl.edu</t>
  </si>
  <si>
    <t>baec@rpi.edu</t>
  </si>
  <si>
    <t>aherring@mines.edu</t>
  </si>
  <si>
    <t>mayandrasits@mmm.com</t>
  </si>
  <si>
    <t>rishi.raj@colorado.edu</t>
  </si>
  <si>
    <t>gene@silanano.com</t>
  </si>
  <si>
    <t>piliu@eng.ucsd.edu</t>
  </si>
  <si>
    <t>tzawodzi@utk.edu</t>
  </si>
  <si>
    <t>dway@mines.edu</t>
  </si>
  <si>
    <t>jnaber@mtu.edu</t>
  </si>
  <si>
    <t>chen-fang.chang@gm.com</t>
  </si>
  <si>
    <t>fborrelli@berkeley.edu</t>
  </si>
  <si>
    <t>gshaver@purdue.edu</t>
  </si>
  <si>
    <t>rizzoni.1@osu.edu</t>
  </si>
  <si>
    <t>wnorthro@umn.edu</t>
  </si>
  <si>
    <t>mccormic@umn.edu</t>
  </si>
  <si>
    <t>sli@gti.energy</t>
  </si>
  <si>
    <t>john.hu@mail.wvu.edu</t>
  </si>
  <si>
    <t>sparvathikar@rti.org</t>
  </si>
  <si>
    <t>wei.liu@moleculeworks.com</t>
  </si>
  <si>
    <t>kendra@opus-12.com</t>
  </si>
  <si>
    <t>ldong@iastate.edu</t>
  </si>
  <si>
    <t>jkmckay@colostate.edu</t>
  </si>
  <si>
    <t>rnorwood@optics.arizona.edu</t>
  </si>
  <si>
    <t>m.amirabadi@neu.edu</t>
  </si>
  <si>
    <t>shotz@swri.org</t>
  </si>
  <si>
    <t>bergman@ee.columbia.edu</t>
  </si>
  <si>
    <t>gpapen@ucsd.edu</t>
  </si>
  <si>
    <t>hujuejun@mit.edu</t>
  </si>
  <si>
    <t>schow@ece.ucsb.edu</t>
  </si>
  <si>
    <t>wu@eecs.berkeley.edu</t>
  </si>
  <si>
    <t>roy@ayarlabs.com</t>
  </si>
  <si>
    <t>ranjanr1@utrc.utc.com</t>
  </si>
  <si>
    <t>andrew@feasible.io</t>
  </si>
  <si>
    <t>yuji.zhao@asu.edu</t>
  </si>
  <si>
    <t>jung.han@yale.edu</t>
  </si>
  <si>
    <t>kwonj@missouri.edu</t>
  </si>
  <si>
    <t>Garret.Miyake@colostate.edu</t>
  </si>
  <si>
    <t>jrgreer@caltech.edu</t>
  </si>
  <si>
    <t>fb55@nyu.edu</t>
  </si>
  <si>
    <t>cdbailie@tandempv.com</t>
  </si>
  <si>
    <t>DwariS@utrc.utc.com</t>
  </si>
  <si>
    <t>zshen6@iit.edu</t>
  </si>
  <si>
    <t>BlaskoV@utrc.utc.com</t>
  </si>
  <si>
    <t>jahns@engr.wisc.edu</t>
  </si>
  <si>
    <t>BirgerPahl@eaton.com</t>
  </si>
  <si>
    <t>rwe@colorado.edu</t>
  </si>
  <si>
    <t>pilawa@berkeley.edu</t>
  </si>
  <si>
    <t>lroberson@mbl.edu</t>
  </si>
  <si>
    <t>neil@kampachifarm.com</t>
  </si>
  <si>
    <t>yum5@rpi.edu</t>
  </si>
  <si>
    <t>karlir@rpi.edu</t>
  </si>
  <si>
    <t>jkonrad@bu.edu</t>
  </si>
  <si>
    <t>ya.wang@tamu.edu</t>
  </si>
  <si>
    <t>garzon@unm.edu</t>
  </si>
  <si>
    <t>chartmann-thompson@mmm.com</t>
  </si>
  <si>
    <t>s.swartz@nexceris.com</t>
  </si>
  <si>
    <t>jingyu.lin@ttu.edu</t>
  </si>
  <si>
    <t>petrasc1@msu.edu</t>
  </si>
  <si>
    <t>AbbasiB@oregonstate.edu</t>
  </si>
  <si>
    <t>danb@ucsb.edu</t>
  </si>
  <si>
    <t>mih@colorado.edu</t>
  </si>
  <si>
    <t>Kashiyama@ba-lab.com</t>
  </si>
  <si>
    <t>Yuki Kashiyama</t>
  </si>
  <si>
    <t>Olgica Bakajin</t>
  </si>
  <si>
    <t>Daniel Nocera</t>
  </si>
  <si>
    <t>Alan Browne</t>
  </si>
  <si>
    <t>Rick Winter</t>
  </si>
  <si>
    <t>olgica@poriferanano.com</t>
  </si>
  <si>
    <t>nocera@suncatalytix.com</t>
  </si>
  <si>
    <t>alan.l.browne@gm.com</t>
  </si>
  <si>
    <t>No Longer valid</t>
  </si>
  <si>
    <t>michelle.reardon@usa.dupont.com</t>
  </si>
  <si>
    <t>Yet-Ming Chiang</t>
  </si>
  <si>
    <t>Derek Lovley</t>
  </si>
  <si>
    <t>ychiang@mit.edu</t>
  </si>
  <si>
    <t>JEFFREY LONG</t>
  </si>
  <si>
    <t>Corwin Hardham</t>
  </si>
  <si>
    <t>corwin@makanipower.com</t>
  </si>
  <si>
    <t>rick.winter@primuspower.net</t>
  </si>
  <si>
    <t>Email no longer valid</t>
  </si>
  <si>
    <t>Steve.Evon@baldor.abb.com</t>
  </si>
  <si>
    <t>Steve Evon</t>
  </si>
  <si>
    <t>Frederick Pinkerton</t>
  </si>
  <si>
    <t>frederick.e.pinkerton@gm.com</t>
  </si>
  <si>
    <t>Tasios Melis</t>
  </si>
  <si>
    <t>Marc Hornbostel</t>
  </si>
  <si>
    <t>melis@berkeley.edu</t>
  </si>
  <si>
    <t>marc.hornbostel@sri.com</t>
  </si>
  <si>
    <t>Christopher Hagen</t>
  </si>
  <si>
    <t>chris.hagen@osucascades.edu</t>
  </si>
  <si>
    <t>Keith Kepler</t>
  </si>
  <si>
    <t>KKepler@Farasis.com</t>
  </si>
  <si>
    <t>Joanna Aizenberg</t>
  </si>
  <si>
    <t>jaiz@seas.harvard.edu</t>
  </si>
  <si>
    <t>Garret Miyake</t>
  </si>
  <si>
    <t>US15/712089</t>
  </si>
  <si>
    <t xml:space="preserve"> malmassa@uvm.edu</t>
  </si>
  <si>
    <t>Award number in GC-62 records appears to be incorrect. GC-62 listed the award number as DE-AR0001289.</t>
  </si>
  <si>
    <t>Email for PI no longer active. michelle.reardon@usa.dupont.com is also listed as an award POC.</t>
  </si>
  <si>
    <t>The GC-62 patent application number is considered part of the patent record but listed as "priority data". Email for PI no longer active. michelle.reardon@usa.dupont.com is also listed as an award POC.</t>
  </si>
  <si>
    <t xml:space="preserve"> Email for PI no longer active. michelle.reardon@usa.dupont.com is also listed as an award POC.Patent Application number in PatSnap differs from GC-62 data.</t>
  </si>
  <si>
    <t>US14/951339</t>
  </si>
  <si>
    <t>Email no longer valid.</t>
  </si>
  <si>
    <t>Jeff Long</t>
  </si>
  <si>
    <t>Norbert Mueller</t>
  </si>
  <si>
    <t>Mitrajit Mukherjee</t>
  </si>
  <si>
    <t>Lawrence Wackett</t>
  </si>
  <si>
    <t>Yushan  Yan</t>
  </si>
  <si>
    <t>Martin Spalding</t>
  </si>
  <si>
    <t>Willem Vermaas</t>
  </si>
  <si>
    <t>Robert Dold</t>
  </si>
  <si>
    <t>Monty Hayes</t>
  </si>
  <si>
    <t>Liang-Shih Fan</t>
  </si>
  <si>
    <t>James Sweeney</t>
  </si>
  <si>
    <t xml:space="preserve">Brian Berland </t>
  </si>
  <si>
    <t>Mark D'Evelyn</t>
  </si>
  <si>
    <t>David Dayton</t>
  </si>
  <si>
    <t>Paul Lees</t>
  </si>
  <si>
    <t>Wayne Carlson</t>
  </si>
  <si>
    <t>David Moore</t>
  </si>
  <si>
    <t>Anthony Atti</t>
  </si>
  <si>
    <t>Herman Lopez</t>
  </si>
  <si>
    <t>Riccardo Signorelli</t>
  </si>
  <si>
    <t>Ross Youngs</t>
  </si>
  <si>
    <t>Cody Friesen</t>
  </si>
  <si>
    <t>Sanjiv Sinha</t>
  </si>
  <si>
    <t>R. Raab</t>
  </si>
  <si>
    <t>Mark Zediker</t>
  </si>
  <si>
    <t>Ron Nowlin</t>
  </si>
  <si>
    <t>Donald Sadoway</t>
  </si>
  <si>
    <t>Anthony Sinskey</t>
  </si>
  <si>
    <t>Gregory Stephanopoulos</t>
  </si>
  <si>
    <t>Scott Banta</t>
  </si>
  <si>
    <t>Steven Visco</t>
  </si>
  <si>
    <t>Robert Doe</t>
  </si>
  <si>
    <t>Connie Wang</t>
  </si>
  <si>
    <t>Yangchuan Xing</t>
  </si>
  <si>
    <t>Yuriy  Mikhaylik</t>
  </si>
  <si>
    <t>Fritz Prinz</t>
  </si>
  <si>
    <t>Aram Yang</t>
  </si>
  <si>
    <t>James Lalonde</t>
  </si>
  <si>
    <t>Kunlei Liu</t>
  </si>
  <si>
    <t>Hongcai Zhou</t>
  </si>
  <si>
    <t>Vladimir Balepin</t>
  </si>
  <si>
    <t>Pamela Silver</t>
  </si>
  <si>
    <t>Robert Kelly</t>
  </si>
  <si>
    <t>T. Hatton</t>
  </si>
  <si>
    <t>Robert Perry</t>
  </si>
  <si>
    <t>James Liao</t>
  </si>
  <si>
    <t>David Hogsett</t>
  </si>
  <si>
    <t>Harold May</t>
  </si>
  <si>
    <t>Jason Kelly</t>
  </si>
  <si>
    <t>Luke Coleman</t>
  </si>
  <si>
    <t>Joan Brennecke</t>
  </si>
  <si>
    <t>F. Tabita</t>
  </si>
  <si>
    <t>Richard Noble</t>
  </si>
  <si>
    <t>Ah-Hyung Park</t>
  </si>
  <si>
    <t>Larry Baxter</t>
  </si>
  <si>
    <t>Taison  Tan</t>
  </si>
  <si>
    <t>Khai Ngo</t>
  </si>
  <si>
    <t>Mark Allen</t>
  </si>
  <si>
    <t>Deepak Divan</t>
  </si>
  <si>
    <t>David Grider</t>
  </si>
  <si>
    <t>Alex Lostetter</t>
  </si>
  <si>
    <t>Vivek Mehrotra</t>
  </si>
  <si>
    <t>Steven O'Brien</t>
  </si>
  <si>
    <t>YiFeng Wu</t>
  </si>
  <si>
    <t>Gerhard Welsch</t>
  </si>
  <si>
    <t>Karim Boutros</t>
  </si>
  <si>
    <t>Satish Prabhakaran</t>
  </si>
  <si>
    <t>William Schneider</t>
  </si>
  <si>
    <t>David Perreault</t>
  </si>
  <si>
    <t>Aaron Sathrum</t>
  </si>
  <si>
    <t>Uttam Ghoshal</t>
  </si>
  <si>
    <t>Steve L.  Russek</t>
  </si>
  <si>
    <t>Robert Keolian</t>
  </si>
  <si>
    <t>Ichiro Takeuchi</t>
  </si>
  <si>
    <t>Stephen Ricci</t>
  </si>
  <si>
    <t>Saeed Moghaddam</t>
  </si>
  <si>
    <t>Sri Narayan</t>
  </si>
  <si>
    <t>Richard Wirz</t>
  </si>
  <si>
    <t>VR Ramanan</t>
  </si>
  <si>
    <t>Frederick Cogswell</t>
  </si>
  <si>
    <t>Timothy Wagner</t>
  </si>
  <si>
    <t>Michael Perry</t>
  </si>
  <si>
    <t>Sanjoy Banerjee</t>
  </si>
  <si>
    <t>Michael Strasik</t>
  </si>
  <si>
    <t>Richard Hockney</t>
  </si>
  <si>
    <t>Francis Johnson</t>
  </si>
  <si>
    <t>Kelly Herbst</t>
  </si>
  <si>
    <t>Z. Zak Fang</t>
  </si>
  <si>
    <t>Justin Raade</t>
  </si>
  <si>
    <t>Li Shi</t>
  </si>
  <si>
    <t>Yogi Goswami</t>
  </si>
  <si>
    <t>Jeffrey C. Grossman</t>
  </si>
  <si>
    <t>Gang Chen</t>
  </si>
  <si>
    <t>Jane Davidson</t>
  </si>
  <si>
    <t>Catherine Thibaud-Erkey</t>
  </si>
  <si>
    <t>David Hahn</t>
  </si>
  <si>
    <t>Evelyn Wang</t>
  </si>
  <si>
    <t>Laura H. Lewis</t>
  </si>
  <si>
    <t>Ian Baker</t>
  </si>
  <si>
    <t>Yang-Ki Hong</t>
  </si>
  <si>
    <t>Everett Carpenter</t>
  </si>
  <si>
    <t>David Matthiesen</t>
  </si>
  <si>
    <t>Jianping Wang</t>
  </si>
  <si>
    <t>Danny Schnell</t>
  </si>
  <si>
    <t>Toni Kutchan</t>
  </si>
  <si>
    <t>Joshua Yuan</t>
  </si>
  <si>
    <t>Stephen  Long</t>
  </si>
  <si>
    <t>Heike Sederoff</t>
  </si>
  <si>
    <t>Daphne Preuss</t>
  </si>
  <si>
    <t>Gary Peter</t>
  </si>
  <si>
    <t>Babak Fahimi</t>
  </si>
  <si>
    <t>Rakesh Lal</t>
  </si>
  <si>
    <t>Bill Alexander</t>
  </si>
  <si>
    <t>Dragan Maksimovic</t>
  </si>
  <si>
    <t>Patrick Chapman</t>
  </si>
  <si>
    <t>Michael McHenry</t>
  </si>
  <si>
    <t>Fang Z Peng</t>
  </si>
  <si>
    <t>Rob Sellick</t>
  </si>
  <si>
    <t>Carlos Grijalva</t>
  </si>
  <si>
    <t>Steven Low</t>
  </si>
  <si>
    <t>Anish Prasai</t>
  </si>
  <si>
    <t>Qin Chen</t>
  </si>
  <si>
    <t>Frank Kreikebaum</t>
  </si>
  <si>
    <t xml:space="preserve">Geoff  Staines </t>
  </si>
  <si>
    <t xml:space="preserve">Amit  Narayan </t>
  </si>
  <si>
    <t>Shiguang LI</t>
  </si>
  <si>
    <t>Mike Veenstra</t>
  </si>
  <si>
    <t>Adam Loukus</t>
  </si>
  <si>
    <t>Ellen Sun</t>
  </si>
  <si>
    <t>Saul Griffith</t>
  </si>
  <si>
    <t>Anna Lis Laursen</t>
  </si>
  <si>
    <t>Michael Lewis</t>
  </si>
  <si>
    <t>Clark Fortune</t>
  </si>
  <si>
    <t>Thomas Kodenkandath</t>
  </si>
  <si>
    <t>Yang Song</t>
  </si>
  <si>
    <t>Guangyu Lin</t>
  </si>
  <si>
    <t>Jack Chen</t>
  </si>
  <si>
    <t>Alvaro Masias</t>
  </si>
  <si>
    <t>Aaron Knobloch</t>
  </si>
  <si>
    <t>Regan Zane</t>
  </si>
  <si>
    <t>James Saunders</t>
  </si>
  <si>
    <t>Hosam Fathy</t>
  </si>
  <si>
    <t>Ajay Raghavan</t>
  </si>
  <si>
    <t>Venkat Subramanian</t>
  </si>
  <si>
    <t>Jeff Xu</t>
  </si>
  <si>
    <t>Sungbae Park</t>
  </si>
  <si>
    <t>Chinmaya Patil</t>
  </si>
  <si>
    <t>Kenneth Sprouse</t>
  </si>
  <si>
    <t>Alan  Weimer</t>
  </si>
  <si>
    <t>Robert Enick</t>
  </si>
  <si>
    <t>Qi  Zhu</t>
  </si>
  <si>
    <t>Jongyoon Han</t>
  </si>
  <si>
    <t>Matt Koch</t>
  </si>
  <si>
    <t>Jong-Jan Lee</t>
  </si>
  <si>
    <t>Timothy Sommerer</t>
  </si>
  <si>
    <t>Colin Wessells</t>
  </si>
  <si>
    <t>Kyoung Moon</t>
  </si>
  <si>
    <t>Tat-Sing Chow</t>
  </si>
  <si>
    <t>Chinbay Fan</t>
  </si>
  <si>
    <t>Wayde Schmidt</t>
  </si>
  <si>
    <t>Christopher Martin</t>
  </si>
  <si>
    <t>David Erickson</t>
  </si>
  <si>
    <t>Neal Stewart</t>
  </si>
  <si>
    <t>Shanhui Fan</t>
  </si>
  <si>
    <t>Shreyas Mandre</t>
  </si>
  <si>
    <t>John  Lettow</t>
  </si>
  <si>
    <t>Corie Cobb</t>
  </si>
  <si>
    <t>Jinfang Liu</t>
  </si>
  <si>
    <t>John Sofranko</t>
  </si>
  <si>
    <t>Pallavi Chitta</t>
  </si>
  <si>
    <t>George Huber</t>
  </si>
  <si>
    <t>Leila Madrone</t>
  </si>
  <si>
    <t>Edward Arens</t>
  </si>
  <si>
    <t>Peter Kozodoy</t>
  </si>
  <si>
    <t>Harry Atwater</t>
  </si>
  <si>
    <t>David Syracuse</t>
  </si>
  <si>
    <t>Chris Rey</t>
  </si>
  <si>
    <t>Michael Tsapatsis</t>
  </si>
  <si>
    <t>Asegun Henry</t>
  </si>
  <si>
    <t>Alexandra von Meier</t>
  </si>
  <si>
    <t>Galen Stucky</t>
  </si>
  <si>
    <t>Rich Masel</t>
  </si>
  <si>
    <t>Yushan Yan</t>
  </si>
  <si>
    <t>Yusheng Zhao</t>
  </si>
  <si>
    <t>Michael Aziz</t>
  </si>
  <si>
    <t>Mary Lidstrom</t>
  </si>
  <si>
    <t>Frank Turano</t>
  </si>
  <si>
    <t>Robert Savinell</t>
  </si>
  <si>
    <t>Ajey Joshi</t>
  </si>
  <si>
    <t>Ratnakumar Bugga</t>
  </si>
  <si>
    <t>Mike Amato</t>
  </si>
  <si>
    <t>Brian Johnson</t>
  </si>
  <si>
    <t>Wayne Chen</t>
  </si>
  <si>
    <t>Shirley Meng</t>
  </si>
  <si>
    <t>Yan Yao</t>
  </si>
  <si>
    <t>Sergei Kniajanski</t>
  </si>
  <si>
    <t>Lin-Feng Li</t>
  </si>
  <si>
    <t>Chris Rahn</t>
  </si>
  <si>
    <t>Kwo Young</t>
  </si>
  <si>
    <t>Chunsheng Wang</t>
  </si>
  <si>
    <t>Christina Lampe-Onnerud</t>
  </si>
  <si>
    <t>Fu-Kuo Chang</t>
  </si>
  <si>
    <t>Yu Qiao</t>
  </si>
  <si>
    <t>Daniel Steingart</t>
  </si>
  <si>
    <t>Jeffrey Long</t>
  </si>
  <si>
    <t>Alan Weimer</t>
  </si>
  <si>
    <t>Jessy Rivest</t>
  </si>
  <si>
    <t>Mark Ripepi</t>
  </si>
  <si>
    <t>Rohan Akolkar</t>
  </si>
  <si>
    <t>Raj Rajamani</t>
  </si>
  <si>
    <t>Adam Powell</t>
  </si>
  <si>
    <t>Subodh Das</t>
  </si>
  <si>
    <t>Gary Howe</t>
  </si>
  <si>
    <t>Robert De Saro</t>
  </si>
  <si>
    <t>Pei  Sun</t>
  </si>
  <si>
    <t>Luke Venstrom</t>
  </si>
  <si>
    <t>Nalin Kumar</t>
  </si>
  <si>
    <t>Stephen Ragsdale</t>
  </si>
  <si>
    <t>Daniela Grabs</t>
  </si>
  <si>
    <t>Shota Atsumi</t>
  </si>
  <si>
    <t>Tony Wu</t>
  </si>
  <si>
    <t>James "Greg" Ferry</t>
  </si>
  <si>
    <t>Eleftherios Papoutsakis</t>
  </si>
  <si>
    <t>Amy Rosenzweig</t>
  </si>
  <si>
    <t xml:space="preserve">Derek Griffin </t>
  </si>
  <si>
    <t>Goran Jovanovic</t>
  </si>
  <si>
    <t>Kevin Matocha</t>
  </si>
  <si>
    <t>Jacob Leach</t>
  </si>
  <si>
    <t>Tadao Hashimoto</t>
  </si>
  <si>
    <t>Robert McCarthy</t>
  </si>
  <si>
    <t>Vladimir Matias</t>
  </si>
  <si>
    <t>Rongming Chu</t>
  </si>
  <si>
    <t>Umesh Mishra</t>
  </si>
  <si>
    <t>Kenneth Shepard</t>
  </si>
  <si>
    <t>Robert Nemanich</t>
  </si>
  <si>
    <t>Huili (Grace) Xing</t>
  </si>
  <si>
    <t>Timothy Grotjohn</t>
  </si>
  <si>
    <t>Abhay Singh</t>
  </si>
  <si>
    <t>Jordi Perez</t>
  </si>
  <si>
    <t>Doug  Kirkpatrick</t>
  </si>
  <si>
    <t>Todd Otanicar</t>
  </si>
  <si>
    <t>Aleksandr Kozlov</t>
  </si>
  <si>
    <t>David Lee</t>
  </si>
  <si>
    <t>Doug  Hofer</t>
  </si>
  <si>
    <t>Stephen Goodnick</t>
  </si>
  <si>
    <t>Jurgen Michel</t>
  </si>
  <si>
    <t>Matthew Escarra</t>
  </si>
  <si>
    <t>Zachary Holman</t>
  </si>
  <si>
    <t>Greg  Buchholz</t>
  </si>
  <si>
    <t>Delia  Milliron</t>
  </si>
  <si>
    <t>Rita Hansen</t>
  </si>
  <si>
    <t>Masaru Tsuchiya</t>
  </si>
  <si>
    <t>Ryan O'Hayre</t>
  </si>
  <si>
    <t>Bryan Blackburn</t>
  </si>
  <si>
    <t>Calum Chisholm</t>
  </si>
  <si>
    <t>Tianli Zhu</t>
  </si>
  <si>
    <t>Ashish Pattekar</t>
  </si>
  <si>
    <t>Yunfeng Lu</t>
  </si>
  <si>
    <t>Meilin Liu</t>
  </si>
  <si>
    <t>John Carpenter</t>
  </si>
  <si>
    <t>Michael Ohadi</t>
  </si>
  <si>
    <t>Grace Chang</t>
  </si>
  <si>
    <t>Stephen Maldonado</t>
  </si>
  <si>
    <t>H. Ezzat Khalifa</t>
  </si>
  <si>
    <t>YuHuang Wang</t>
  </si>
  <si>
    <t>Jintu Fan</t>
  </si>
  <si>
    <t>Hui  Zhang</t>
  </si>
  <si>
    <t>Reinhard Radermacher</t>
  </si>
  <si>
    <t>Ya Wang</t>
  </si>
  <si>
    <t>Roy Kornbluh</t>
  </si>
  <si>
    <t>Alon Gorodetsky</t>
  </si>
  <si>
    <t>Joseph Wang</t>
  </si>
  <si>
    <t>Brent Ridley</t>
  </si>
  <si>
    <t>Mark Johnson</t>
  </si>
  <si>
    <t xml:space="preserve">Stephen Segal </t>
  </si>
  <si>
    <t>Gregory Rieker</t>
  </si>
  <si>
    <t>Hendrik Hamann</t>
  </si>
  <si>
    <t>Robert Kester</t>
  </si>
  <si>
    <t>David Schwartz</t>
  </si>
  <si>
    <t>William Challener</t>
  </si>
  <si>
    <t>Mike Thorpe</t>
  </si>
  <si>
    <t>Jeffrey Glass</t>
  </si>
  <si>
    <t>Michael Frish</t>
  </si>
  <si>
    <t>James Bowie</t>
  </si>
  <si>
    <t>David Kirtley</t>
  </si>
  <si>
    <t>Uri Shumlak</t>
  </si>
  <si>
    <t>Gregory Nellis</t>
  </si>
  <si>
    <t>Jon Longtin</t>
  </si>
  <si>
    <t>Erik Torgerson</t>
  </si>
  <si>
    <t>Raj Manglik</t>
  </si>
  <si>
    <t>CJ  Tang</t>
  </si>
  <si>
    <t>Ronggui Yang</t>
  </si>
  <si>
    <t>Girish Srinivas</t>
  </si>
  <si>
    <t>Richard Bonner</t>
  </si>
  <si>
    <t>Bernard Casse</t>
  </si>
  <si>
    <t>Amir Shooshtari</t>
  </si>
  <si>
    <t>Bao Yang</t>
  </si>
  <si>
    <t>Mitchell Tuinstra</t>
  </si>
  <si>
    <t>Todd Mockler</t>
  </si>
  <si>
    <t>Stephen Kresovich</t>
  </si>
  <si>
    <t>Stephen Long</t>
  </si>
  <si>
    <t>Rolf Reitz</t>
  </si>
  <si>
    <t>Jim Kesseli</t>
  </si>
  <si>
    <t>Gary Wood</t>
  </si>
  <si>
    <t>Parviz Famouri</t>
  </si>
  <si>
    <t>Professors Ben-Akiva and Trancik</t>
  </si>
  <si>
    <t>Matthew  Klenk</t>
  </si>
  <si>
    <t>Lei Zhang</t>
  </si>
  <si>
    <t>Jonah Erlebacher</t>
  </si>
  <si>
    <t>Khurram Afridi</t>
  </si>
  <si>
    <t>Chris Giebink</t>
  </si>
  <si>
    <t>JengPing Lu</t>
  </si>
  <si>
    <t>Greg Schmidt</t>
  </si>
  <si>
    <t>Russell Jewett</t>
  </si>
  <si>
    <t>Bryce Shaffer</t>
  </si>
  <si>
    <t>Charles Culp</t>
  </si>
  <si>
    <t>Jeff Sakamoto</t>
  </si>
  <si>
    <t>Steve Martin</t>
  </si>
  <si>
    <t>John Pendray</t>
  </si>
  <si>
    <t>Fabien Redon</t>
  </si>
  <si>
    <t>Jarlath McEntee</t>
  </si>
  <si>
    <t>Roger Howe</t>
  </si>
  <si>
    <t>Fei (Fred) Wang</t>
  </si>
  <si>
    <t>Eric Loth</t>
  </si>
  <si>
    <t>Alexis Abramson</t>
  </si>
  <si>
    <t>Shuji Nakamura</t>
  </si>
  <si>
    <t>John Bowers</t>
  </si>
  <si>
    <t>Reza Ghandi</t>
  </si>
  <si>
    <t>Pat Brady</t>
  </si>
  <si>
    <t>Richard Nebel</t>
  </si>
  <si>
    <t>Nicholas AuYeung</t>
  </si>
  <si>
    <t>Devin Halliday</t>
  </si>
  <si>
    <t>Joseph Beach</t>
  </si>
  <si>
    <t>Richard Bradshaw</t>
  </si>
  <si>
    <t>Mads Almassalkhi</t>
  </si>
  <si>
    <t>Junshan Zhang</t>
  </si>
  <si>
    <t>Ram Rajagopal</t>
  </si>
  <si>
    <t>Reza  Ghaemi</t>
  </si>
  <si>
    <t>Murti Salapaka</t>
  </si>
  <si>
    <t>Mike Nowak</t>
  </si>
  <si>
    <t>Raymond Bryden</t>
  </si>
  <si>
    <t>Marc Donohue</t>
  </si>
  <si>
    <t>Philip Benfey</t>
  </si>
  <si>
    <t>Todd  Otanicar</t>
  </si>
  <si>
    <t>Mahati Chintapalli</t>
  </si>
  <si>
    <t>Massimo Bertino</t>
  </si>
  <si>
    <t>Laurent Pilon</t>
  </si>
  <si>
    <t>Ivan Smalyukh</t>
  </si>
  <si>
    <t>Sungho Jin</t>
  </si>
  <si>
    <t>Erika Vreeland</t>
  </si>
  <si>
    <t>Lynden Archer</t>
  </si>
  <si>
    <t>Sankar Nair</t>
  </si>
  <si>
    <t>Philseok  Kim</t>
  </si>
  <si>
    <t>Terry Marker</t>
  </si>
  <si>
    <t>Ramon Gonzalez</t>
  </si>
  <si>
    <t>Enrique Gomez</t>
  </si>
  <si>
    <t>Vijay Ramani</t>
  </si>
  <si>
    <t>Chulsung Bae</t>
  </si>
  <si>
    <t>Andrew Herring</t>
  </si>
  <si>
    <t>Michael Yandrasits</t>
  </si>
  <si>
    <t>Rishi Raj</t>
  </si>
  <si>
    <t>Gene Berdichevsky</t>
  </si>
  <si>
    <t>Ping Liu</t>
  </si>
  <si>
    <t>Thomas Zawodzinski</t>
  </si>
  <si>
    <t>J. Douglas Way</t>
  </si>
  <si>
    <t>Jeff Naber</t>
  </si>
  <si>
    <t>Chen-Fang Chang</t>
  </si>
  <si>
    <t>Francesco Borrelli</t>
  </si>
  <si>
    <t>Gregory Shaver</t>
  </si>
  <si>
    <t>Giorgio Rizzoni</t>
  </si>
  <si>
    <t>William Northrop</t>
  </si>
  <si>
    <t>Alon McCormick</t>
  </si>
  <si>
    <t>Shiguang Li</t>
  </si>
  <si>
    <t>Jianli (John) Hu</t>
  </si>
  <si>
    <t>Sameer Parvathikar</t>
  </si>
  <si>
    <t>Wei Liu</t>
  </si>
  <si>
    <t>Kendra Kuhl</t>
  </si>
  <si>
    <t>Liang Dong</t>
  </si>
  <si>
    <t>John McKay</t>
  </si>
  <si>
    <t>Robert Norwood</t>
  </si>
  <si>
    <t>Mahshid Amirabadi</t>
  </si>
  <si>
    <t>Scott Hotz</t>
  </si>
  <si>
    <t>Keren Bergman</t>
  </si>
  <si>
    <t>George Papen</t>
  </si>
  <si>
    <t>Juejun Hu</t>
  </si>
  <si>
    <t>Clint Schow</t>
  </si>
  <si>
    <t>Ming Wu</t>
  </si>
  <si>
    <t>Roy Meade</t>
  </si>
  <si>
    <t>Ram Ranjan</t>
  </si>
  <si>
    <t>Andrew Hsieh</t>
  </si>
  <si>
    <t>Yuji Zhao</t>
  </si>
  <si>
    <t>Jung Han</t>
  </si>
  <si>
    <t>Jae Kwon</t>
  </si>
  <si>
    <t>Julia Greer</t>
  </si>
  <si>
    <t>Federica Bianco</t>
  </si>
  <si>
    <t>Colin Bailie</t>
  </si>
  <si>
    <t>Suman Dwari</t>
  </si>
  <si>
    <t>Zheng Shen</t>
  </si>
  <si>
    <t>Vladimir Blasko</t>
  </si>
  <si>
    <t>Thomas Jahns</t>
  </si>
  <si>
    <t>Birger Pahl</t>
  </si>
  <si>
    <t>Robert Erickson</t>
  </si>
  <si>
    <t>Robert Pilawa-Podgurski</t>
  </si>
  <si>
    <t>Loretta Roberson</t>
  </si>
  <si>
    <t>Neil Sims</t>
  </si>
  <si>
    <t>Miao Yu</t>
  </si>
  <si>
    <t>Bob Karlicek</t>
  </si>
  <si>
    <t>Janusz Konrad</t>
  </si>
  <si>
    <t>Fernando Garzon</t>
  </si>
  <si>
    <t>Claire Hartmann-Thompson</t>
  </si>
  <si>
    <t>Scott Swartz</t>
  </si>
  <si>
    <t>Jingyu Lin</t>
  </si>
  <si>
    <t>Joerg Petrasch</t>
  </si>
  <si>
    <t>Bahman Abbasi</t>
  </si>
  <si>
    <t>Daniel Blumenthal</t>
  </si>
  <si>
    <t>Mahmoud Hussein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</si>
</sst>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Calibri"/>
      <family val="2"/>
      <scheme val="minor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CFCF"/>
      </right>
      <top/>
      <bottom style="medium">
        <color rgb="FFCFCFCF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Fill="1"/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NumberFormat="1" applyAlignment="1">
      <alignment vertical="top" wrapText="1"/>
    </xf>
    <xf numFmtId="2" fontId="0" fillId="0" borderId="0" xfId="4" applyNumberFormat="1" applyFont="1" applyAlignment="1">
      <alignment vertical="top" wrapText="1"/>
    </xf>
    <xf numFmtId="1" fontId="0" fillId="0" borderId="0" xfId="4" applyNumberFormat="1" applyFont="1" applyAlignment="1">
      <alignment vertical="top" wrapText="1"/>
    </xf>
    <xf numFmtId="0" fontId="0" fillId="0" borderId="0" xfId="0" pivotButton="1"/>
    <xf numFmtId="0" fontId="4" fillId="0" borderId="0" xfId="7"/>
    <xf numFmtId="0" fontId="5" fillId="0" borderId="0" xfId="0" applyFont="1"/>
    <xf numFmtId="0" fontId="0" fillId="2" borderId="0" xfId="0" applyFill="1" applyAlignment="1">
      <alignment vertical="top" wrapText="1"/>
    </xf>
    <xf numFmtId="0" fontId="4" fillId="3" borderId="1" xfId="7" applyFill="1" applyBorder="1" applyAlignment="1">
      <alignment vertical="center" wrapText="1"/>
    </xf>
  </cellXfs>
  <cellStyles count="8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Hyperlink" xfId="7" builtinId="8"/>
    <cellStyle name="Normal" xfId="0" builtinId="0"/>
    <cellStyle name="Normal 2" xfId="6" xr:uid="{00000000-0005-0000-0000-000006000000}"/>
    <cellStyle name="Percent" xfId="1" xr:uid="{00000000-0005-0000-0000-000007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d Chadbourn" refreshedDate="43783.518436921295" createdVersion="5" refreshedVersion="5" minRefreshableVersion="3" recordCount="2319" xr:uid="{00000000-000A-0000-FFFF-FFFF34000000}">
  <cacheSource type="worksheet">
    <worksheetSource ref="B1:N2320" sheet="Query Export w PatSnap Data"/>
  </cacheSource>
  <cacheFields count="13">
    <cacheField name="S-Number" numFmtId="0">
      <sharedItems count="2278">
        <s v="125452"/>
        <s v="125749"/>
        <s v="125826"/>
        <s v="125827"/>
        <s v="125828"/>
        <s v="125829"/>
        <s v="125830"/>
        <s v="125831"/>
        <s v="125832"/>
        <s v="125085"/>
        <s v="125091"/>
        <s v="125092"/>
        <s v="125089"/>
        <s v="125088"/>
        <s v="125090"/>
        <s v="125086"/>
        <s v="125087"/>
        <s v="125085PCT"/>
        <s v="125154"/>
        <s v="125129"/>
        <s v="125192"/>
        <s v=" 125336"/>
        <s v="125314-UTIL2"/>
        <s v="125314-UITL2"/>
        <s v="125314"/>
        <s v="125314-1"/>
        <s v="125833"/>
        <s v="125379"/>
        <s v="S-107943"/>
        <s v="125254"/>
        <s v="125450"/>
        <s v="125246"/>
        <s v="125323"/>
        <s v="125324"/>
        <s v="125411"/>
        <s v="125309"/>
        <s v="125406"/>
        <s v="125451"/>
        <s v="125286"/>
        <s v="125362"/>
        <s v="107941"/>
        <s v="125327"/>
        <s v="125305"/>
        <s v="125834"/>
        <s v="125514"/>
        <s v="142727"/>
        <s v="142727 PCT"/>
        <s v="125150"/>
        <s v="125147"/>
        <s v="125148"/>
        <s v="125149"/>
        <s v="125835"/>
        <s v="125836"/>
        <s v="125837"/>
        <s v="125838"/>
        <s v="125839"/>
        <s v="143109"/>
        <s v="125840"/>
        <s v="125301"/>
        <s v="125306"/>
        <s v="125570"/>
        <s v="125318"/>
        <s v="125310"/>
        <s v="125816"/>
        <s v="125118"/>
        <s v="125814"/>
        <s v="125815"/>
        <s v="142784"/>
        <s v="142785"/>
        <s v="143174"/>
        <s v="142697"/>
        <s v="142697C"/>
        <s v="143174-PCT"/>
        <s v="125381"/>
        <s v="125292"/>
        <s v="142894"/>
        <s v="125281"/>
        <s v="125123"/>
        <s v="125046"/>
        <s v="125079"/>
        <s v="125076"/>
        <s v="125053"/>
        <s v="125132"/>
        <s v="125078"/>
        <s v="125141"/>
        <s v="125142"/>
        <s v="125397"/>
        <s v="125947"/>
        <s v="125424"/>
        <s v="125409"/>
        <s v="125841"/>
        <s v="125842"/>
        <s v="148644"/>
        <s v="148628"/>
        <s v="143113"/>
        <s v="125125"/>
        <s v="125094"/>
        <s v="142766"/>
        <s v="142772"/>
        <s v="142773"/>
        <s v="142764C1"/>
        <s v="142765"/>
        <s v="142764"/>
        <s v="142769P2"/>
        <s v="142769P3"/>
        <s v="142767"/>
        <s v="142764P2"/>
        <s v="142768"/>
        <s v="142769P1"/>
        <s v="142770"/>
        <s v="142771"/>
        <s v="142763"/>
        <s v="142765C1"/>
        <s v="125867"/>
        <s v="125012"/>
        <s v="125006"/>
        <s v="142655"/>
        <s v="125070"/>
        <s v="125126"/>
        <s v="125131"/>
        <s v="125031"/>
        <s v="125348"/>
        <s v="125283"/>
        <s v="125380"/>
        <s v="125052"/>
        <s v="125127"/>
        <s v="125711"/>
        <s v="125712"/>
        <s v="125380-DIV2"/>
        <s v="125380-DIV1"/>
        <s v="125380-PCT"/>
        <s v="125017"/>
        <s v="125130"/>
        <s v="142890"/>
        <s v="142892"/>
        <s v="142893"/>
        <s v="125742"/>
        <s v="107943"/>
        <s v="125799"/>
        <s v="142886"/>
        <s v="142887"/>
        <s v="142888"/>
        <s v="142889"/>
        <s v="142891"/>
        <s v="125656"/>
        <s v="142634"/>
        <s v="142730"/>
        <s v="142638"/>
        <s v="142635"/>
        <s v="143083"/>
        <s v="125495"/>
        <s v="125120"/>
        <s v="125732"/>
        <s v="125105"/>
        <s v="125106"/>
        <s v="125107"/>
        <s v="125099"/>
        <s v="125101"/>
        <s v="125026"/>
        <s v="125010"/>
        <s v="125003"/>
        <s v="143085"/>
        <s v="125179"/>
        <s v="125497"/>
        <s v="125072"/>
        <s v="125011"/>
        <s v="125007"/>
        <s v="125005"/>
        <s v="125002"/>
        <s v="125001"/>
        <s v="125000"/>
        <s v="143105"/>
        <s v="143107"/>
        <s v="125928"/>
        <s v="125504"/>
        <s v="125505"/>
        <s v="125506"/>
        <s v="125927"/>
        <s v="125930"/>
        <s v="125098"/>
        <s v="125121"/>
        <s v="125104"/>
        <s v="125108"/>
        <s v="125100"/>
        <s v="125102"/>
        <s v="125103"/>
        <s v="125024"/>
        <s v="125025"/>
        <s v="125030"/>
        <s v="125027"/>
        <s v="125009"/>
        <s v="125004"/>
        <s v="125180"/>
        <s v="125028"/>
        <s v="125048"/>
        <s v="125069"/>
        <s v="125073"/>
        <s v="125029"/>
        <s v="125178"/>
        <s v="143339"/>
        <s v="125282"/>
        <s v="125244"/>
        <s v="125259"/>
        <s v="125412"/>
        <s v="125354"/>
        <s v="125334"/>
        <s v="125312"/>
        <s v="125258"/>
        <s v="125357"/>
        <s v="125532"/>
        <s v="125282-PCT"/>
        <s v="125798"/>
        <s v="125532-2"/>
        <s v="125404"/>
        <s v="125403"/>
        <s v="125905"/>
        <s v="125904"/>
        <s v="125606"/>
        <s v="125371"/>
        <s v="125319-CON"/>
        <s v="125370"/>
        <s v="125900"/>
        <s v="125370-2"/>
        <s v="125319"/>
        <s v="125370-2CON"/>
        <s v="125319-PCT"/>
        <s v="125370-PCT"/>
        <s v="125371-PCT"/>
        <s v="125319-2"/>
        <s v="125550"/>
        <s v="125750-CIP"/>
        <s v="125750"/>
        <s v="125298"/>
        <s v="125295"/>
        <s v="125359"/>
        <s v="125534"/>
        <s v="143378-01"/>
        <s v="143378-2"/>
        <s v="143378-2PCT"/>
        <s v="143377"/>
        <s v="143367"/>
        <s v="143378"/>
        <s v="143379"/>
        <s v="143367-2"/>
        <s v="143367-CON"/>
        <s v="143378-3"/>
        <s v="125170"/>
        <s v="125171"/>
        <s v="125172"/>
        <s v="125176"/>
        <s v="125177"/>
        <s v="125173"/>
        <s v="125174"/>
        <s v="125175"/>
        <s v="125160"/>
        <s v="125212"/>
        <s v="125159"/>
        <s v="125067"/>
        <s v="125044"/>
        <s v="125021"/>
        <s v="125060"/>
        <s v="125063"/>
        <s v="125065"/>
        <s v="125022"/>
        <s v="125066"/>
        <s v="125056"/>
        <s v="125019"/>
        <s v="125058"/>
        <s v="125064"/>
        <s v="125845"/>
        <s v="125846"/>
        <s v="125018"/>
        <s v="125062"/>
        <s v="125059"/>
        <s v="125061"/>
        <s v="125843"/>
        <s v="125844"/>
        <s v="125573"/>
        <s v="125330"/>
        <s v="125331"/>
        <s v="125388"/>
        <s v="125355"/>
        <s v="125332"/>
        <s v="142830"/>
        <s v="125542"/>
        <s v="125332CON-1"/>
        <s v="125293"/>
        <s v="125226"/>
        <s v="125163"/>
        <s v="125054"/>
        <s v="125042"/>
        <s v="125470"/>
        <s v="125074"/>
        <s v="125722"/>
        <s v="125714"/>
        <s v="125715"/>
        <s v="125721"/>
        <s v="125144"/>
        <s v="125167"/>
        <s v="125168"/>
        <s v="125055"/>
        <s v="125145"/>
        <s v="125719"/>
        <s v="125720"/>
        <s v="125716"/>
        <s v="125717"/>
        <s v="125166"/>
        <s v="125322"/>
        <s v="118394"/>
        <s v="162818"/>
        <s v="125137"/>
        <s v="125733"/>
        <s v="125047"/>
        <s v="125745"/>
        <s v="125020"/>
        <s v="125016"/>
        <s v="125622"/>
        <s v="125023"/>
        <s v="125075"/>
        <s v="125181"/>
        <s v="125184"/>
        <s v="125182"/>
        <s v="125183"/>
        <s v="125014"/>
        <s v="125392"/>
        <s v="125393"/>
        <s v="148627"/>
        <s v="125392-PCT"/>
        <s v="125369"/>
        <s v="125369-PCT"/>
        <s v="125393-PCT"/>
        <s v="125395"/>
        <s v="125387"/>
        <s v="125140"/>
        <s v="107944"/>
        <s v="107947"/>
        <s v="125243"/>
        <s v="125438"/>
        <s v="125405"/>
        <s v="125113"/>
        <s v="125115"/>
        <s v="125257"/>
        <s v="125415"/>
        <s v="125604"/>
        <s v="143097"/>
        <s v="143058"/>
        <s v="125456"/>
        <s v="125668"/>
        <s v="125316"/>
        <s v="125316-NP1"/>
        <s v="107946"/>
        <s v="125112"/>
        <s v="125464"/>
        <s v="125284"/>
        <s v="125356"/>
        <s v="125225"/>
        <s v="125253"/>
        <s v="125249"/>
        <s v="125421"/>
        <s v="125315"/>
        <s v="125315-NP2"/>
        <s v="125116"/>
        <s v="125407"/>
        <s v="125343"/>
        <s v="125289"/>
        <s v="125401-DIV"/>
        <s v="125401"/>
        <s v="125032"/>
        <s v="125117"/>
        <s v="125050"/>
        <s v="125041"/>
        <s v="125013"/>
        <s v="125049"/>
        <s v="125232"/>
        <s v="125294"/>
        <s v="125580"/>
        <s v="125399"/>
        <s v="125398"/>
        <s v="125581-2"/>
        <s v="125581"/>
        <s v="125251"/>
        <s v="125582"/>
        <s v="125095"/>
        <s v="125581-3"/>
        <s v="125366-1"/>
        <s v="125366"/>
        <s v="125777-PCT"/>
        <s v="125389"/>
        <s v="125389PCT"/>
        <s v="125665"/>
        <s v="125426-CONT"/>
        <s v="125426-PCT"/>
        <s v="125665-PCT"/>
        <s v="125426"/>
        <s v="125422-PCT"/>
        <s v="125422"/>
        <s v="125299"/>
        <s v="125300"/>
        <s v="125418"/>
        <s v="125285"/>
        <s v="125883"/>
        <s v="125884"/>
        <s v="125338"/>
        <s v="125375"/>
        <s v="125773"/>
        <s v="125773-PCT"/>
        <s v="125376"/>
        <s v="125530"/>
        <s v="125778"/>
        <s v="125778-PCT"/>
        <s v="125296-CON"/>
        <s v="125296-P1"/>
        <s v="125296-PCT"/>
        <s v="125296"/>
        <s v="125250"/>
        <s v="125782"/>
        <s v="125783"/>
        <s v="125784"/>
        <s v="125785"/>
        <s v="125080"/>
        <s v="125779"/>
        <s v="125045"/>
        <s v="125068"/>
        <s v="125155"/>
        <s v="125781"/>
        <s v="125490"/>
        <s v="142683P"/>
        <s v="142683PCT"/>
        <s v="125501P"/>
        <s v="125507P"/>
        <s v="125502P"/>
        <s v="125488"/>
        <s v="125492"/>
        <s v="125494"/>
        <s v="125496"/>
        <s v="125499"/>
        <s v="125500"/>
        <s v="125502"/>
        <s v="125503"/>
        <s v="125487"/>
        <s v="125498"/>
        <s v="142752"/>
        <s v="125490P"/>
        <s v="125489"/>
        <s v="125501"/>
        <s v="125507"/>
        <s v="125169"/>
        <s v="125133"/>
        <s v="142683"/>
        <s v="125491"/>
        <s v="125474"/>
        <s v="125134"/>
        <s v="125077"/>
        <s v="125349"/>
        <s v="125291"/>
        <s v="125367"/>
        <s v="125245"/>
        <s v="125413"/>
        <s v="125278"/>
        <s v="125465"/>
        <s v="125394"/>
        <s v="125437"/>
        <s v="S-142849"/>
        <s v="125439"/>
        <s v="125308"/>
        <s v="125307"/>
        <s v="125326"/>
        <s v="125453"/>
        <s v="125230"/>
        <s v="125240"/>
        <s v="142905"/>
        <s v="143114"/>
        <s v="143167"/>
        <s v="142814C"/>
        <s v="143155"/>
        <s v="142814"/>
        <s v="143154"/>
        <s v="142774D1"/>
        <s v="142816"/>
        <s v="143091"/>
        <s v="143088"/>
        <s v="142774"/>
        <s v=" 125290"/>
        <s v="143070"/>
        <s v="143071"/>
        <s v="125683"/>
        <s v="143089"/>
        <s v="125236"/>
        <s v="125546"/>
        <s v="143128"/>
        <s v="143126"/>
        <s v="125304"/>
        <s v="125304-PCT"/>
        <s v="142864"/>
        <s v="143108"/>
        <s v="143112"/>
        <s v="125457"/>
        <s v="125378"/>
        <s v="125440"/>
        <s v="143038"/>
        <s v="125903"/>
        <s v="125233"/>
        <s v="142650"/>
        <s v="143038CON"/>
        <s v="125328"/>
        <s v="125822"/>
        <s v="125902"/>
        <s v="144952"/>
        <s v="144953"/>
        <s v="144951"/>
        <s v="125901"/>
        <s v="125681"/>
        <s v="125333"/>
        <s v="125682"/>
        <s v="144074"/>
        <s v="142786"/>
        <s v="125688"/>
        <s v="125432"/>
        <s v="125445"/>
        <s v="125442"/>
        <s v="125441"/>
        <s v="125321"/>
        <s v="125247"/>
        <s v="125434"/>
        <s v="143353"/>
        <s v="125929"/>
        <s v="125329"/>
        <s v="142841"/>
        <s v="142840"/>
        <s v="142839"/>
        <s v="143013"/>
        <s v="143426"/>
        <s v="142731"/>
        <s v="125256"/>
        <s v="142732"/>
        <s v="142733"/>
        <s v="142732-PCT"/>
        <s v="142733-PCT"/>
        <s v="142733-PROV"/>
        <s v="125335"/>
        <s v="125425"/>
        <s v="125429"/>
        <s v="125199"/>
        <s v="125193"/>
        <s v="125197"/>
        <s v="125200"/>
        <s v="125196"/>
        <s v="142651"/>
        <s v="142653"/>
        <s v="142652"/>
        <s v="125097"/>
        <s v="142895"/>
        <s v="142895PCT"/>
        <s v="125015"/>
        <s v="125128"/>
        <s v="144957-2"/>
        <s v="144957"/>
        <s v="144958"/>
        <s v="144954"/>
        <s v="144955"/>
        <s v="142671"/>
        <s v="142663"/>
        <s v="142669"/>
        <s v="142670"/>
        <s v="142667"/>
        <s v="142666"/>
        <s v="125574"/>
        <s v="143022"/>
        <s v="143018"/>
        <s v="125071"/>
        <s v="142665PCT"/>
        <s v="142668PCT"/>
        <s v="142663PCT"/>
        <s v="142665"/>
        <s v="142668"/>
        <s v="142664PCT"/>
        <s v="143020PCT"/>
        <s v="125261PCT"/>
        <s v="125221PCT"/>
        <s v="125071PCT"/>
        <s v="143019"/>
        <s v="143020"/>
        <s v="125221"/>
        <s v="125261"/>
        <s v="142950pct"/>
        <s v="142950"/>
        <s v="142673"/>
        <s v="142735"/>
        <s v="142672"/>
        <s v="142740"/>
        <s v="142747"/>
        <s v="142746"/>
        <s v="142736"/>
        <s v="142737"/>
        <s v="142738"/>
        <s v="142739"/>
        <s v="142741"/>
        <s v="142748"/>
        <s v="142749"/>
        <s v="142750"/>
        <s v="142742"/>
        <s v="142743"/>
        <s v="142744"/>
        <s v="142745"/>
        <s v="125817"/>
        <s v="125138"/>
        <s v="125649"/>
        <s v="143084"/>
        <s v="125043"/>
        <s v="125157"/>
        <s v="125786"/>
        <s v="125146"/>
        <s v="125910"/>
        <s v="125911"/>
        <s v="125912"/>
        <s v="125913"/>
        <s v="125352"/>
        <s v="125545-PCT"/>
        <s v="125545"/>
        <s v="125944"/>
        <s v="125942"/>
        <s v="125943"/>
        <s v="125152"/>
        <s v="125153"/>
        <s v="125139"/>
        <s v="125110"/>
        <s v="125111"/>
        <s v="125914"/>
        <s v="125337"/>
        <s v="142800"/>
        <s v="125945"/>
        <s v="142799-CONT"/>
        <s v="142799-PCT"/>
        <s v="142799"/>
        <s v="144950"/>
        <s v="125317"/>
        <s v="125317-DIV"/>
        <s v="125560"/>
        <s v="125906"/>
        <s v="125342"/>
        <s v="125420"/>
        <s v="125906pct"/>
        <s v="125351"/>
        <s v="125311"/>
        <s v="125273"/>
        <s v="142654"/>
        <s v="125109"/>
        <s v="125274"/>
        <s v="125275"/>
        <s v="125361"/>
        <s v="125208"/>
        <s v="125209"/>
        <s v="125210"/>
        <s v="125467"/>
        <s v="125271"/>
        <s v="125268"/>
        <s v="125269"/>
        <s v="125207"/>
        <s v="125486"/>
        <s v="125096"/>
        <s v="125081"/>
        <s v="125238"/>
        <s v="125588"/>
        <s v="125589"/>
        <s v="125590"/>
        <s v="125591"/>
        <s v="125592"/>
        <s v="125575"/>
        <s v="125810"/>
        <s v="125811"/>
        <s v="125220"/>
        <s v="125227"/>
        <s v="125082"/>
        <s v="125122"/>
        <s v="125576"/>
        <s v="125325-CIP"/>
        <s v="143011"/>
        <s v="125325"/>
        <s v="162905"/>
        <s v="125455"/>
        <s v="125454"/>
        <s v="143011-2"/>
        <s v="125454-CIP"/>
        <s v="143157"/>
        <s v="125431"/>
        <s v="125430"/>
        <s v="125458"/>
        <s v="142915"/>
        <s v="125431-2"/>
        <s v="142964"/>
        <s v="125459"/>
        <s v="125431-1"/>
        <s v="125374"/>
        <s v="125544"/>
        <s v="125475"/>
        <s v="125363"/>
        <s v="125915"/>
        <s v="125916"/>
        <s v="125373"/>
        <s v="125565"/>
        <s v="125555"/>
        <s v="125866PCT"/>
        <s v="125886"/>
        <s v="125866"/>
        <s v="125156"/>
        <s v="125480"/>
        <s v="125135"/>
        <s v="125239"/>
        <s v="125671-2"/>
        <s v="125568"/>
        <s v="125516"/>
        <s v="125517"/>
        <s v="125671-1"/>
        <s v="125543"/>
        <s v="125671PCT"/>
        <s v="125535"/>
        <s v="125680"/>
        <s v="125515"/>
        <s v="125435-PCT"/>
        <s v="125435-CON"/>
        <s v="125435"/>
        <s v="143033"/>
        <s v="143032"/>
        <s v="125549"/>
        <s v="125564"/>
        <s v="125596"/>
        <s v="125608"/>
        <s v="125634"/>
        <s v="142976"/>
        <s v="143357"/>
        <s v="143254"/>
        <s v="125723"/>
        <s v="142843"/>
        <s v="143251"/>
        <s v="143252"/>
        <s v="143162"/>
        <s v="125272"/>
        <s v="125637"/>
        <s v="125594"/>
        <s v="125660"/>
        <s v="125635"/>
        <s v="125272-2"/>
        <s v="143355"/>
        <s v="143365"/>
        <s v="125598P"/>
        <s v="143162-PCT1"/>
        <s v="143248-1"/>
        <s v="125272-PCT"/>
        <s v="143248"/>
        <s v="125727"/>
        <s v="125598"/>
        <s v="125611"/>
        <s v="125610"/>
        <s v="125444"/>
        <s v="125909"/>
        <s v="125448"/>
        <s v="142992"/>
        <s v="125447"/>
        <s v="125350"/>
        <s v="125320"/>
        <s v="125449"/>
        <s v="125443"/>
        <s v="142948"/>
        <s v="125909-pct"/>
        <s v="125446"/>
        <s v="142551"/>
        <s v="142552"/>
        <s v="125696"/>
        <s v="143047"/>
        <s v="125876"/>
        <s v="125877"/>
        <s v="125878"/>
        <s v="142723"/>
        <s v="125684-PCT"/>
        <s v="142723-PCT-CON"/>
        <s v="125684"/>
        <s v="125341"/>
        <s v="143393"/>
        <s v="125607"/>
        <s v="125607-PCT"/>
        <s v="142820-PCT"/>
        <s v="125753-PCT"/>
        <s v="142820"/>
        <s v="125753"/>
        <s v="125551"/>
        <s v="142554"/>
        <s v="125601"/>
        <s v="125572"/>
        <s v="125255"/>
        <s v="125252"/>
        <s v="125789"/>
        <s v="142553"/>
        <s v="162816"/>
        <s v="125414"/>
        <s v="125548"/>
        <s v="125758"/>
        <s v="125664"/>
        <s v="142680"/>
        <s v="142678"/>
        <s v="142679"/>
        <s v="125556"/>
        <s v="162892"/>
        <s v="125400"/>
        <s v="125339"/>
        <s v="125340"/>
        <s v="125777"/>
        <s v="107942"/>
        <s v="125436-2"/>
        <s v="142555"/>
        <s v="125776"/>
        <s v="107942-CON"/>
        <s v="107942-PCT"/>
        <s v="125436-CON"/>
        <s v="125436"/>
        <s v="125509"/>
        <s v="125510"/>
        <s v="125512"/>
        <s v="125513"/>
        <s v="125428"/>
        <s v="143345"/>
        <s v="125694"/>
        <s v="125417"/>
        <s v="142931"/>
        <s v="142930"/>
        <s v="143068"/>
        <s v="143110"/>
        <s v="143087"/>
        <s v="125702P1"/>
        <s v="125702P2"/>
        <s v="142556"/>
        <s v="125390"/>
        <s v="125603"/>
        <s v="142561"/>
        <s v="142562"/>
        <s v="135457"/>
        <s v="135457-CIP"/>
        <s v="125751"/>
        <s v="125919"/>
        <s v="125920"/>
        <s v="125691"/>
        <s v="125701-PCT"/>
        <s v="125279"/>
        <s v="125701"/>
        <s v="125136"/>
        <s v="125241"/>
        <s v="125264"/>
        <s v="125364"/>
        <s v="125162"/>
        <s v="125164"/>
        <s v="125161"/>
        <s v="125165"/>
        <s v="144931"/>
        <s v="144932"/>
        <s v="125313"/>
        <s v="125941"/>
        <s v="125940-PCT"/>
        <s v="125941-CON"/>
        <s v="125538"/>
        <s v="125602"/>
        <s v="125872"/>
        <s v="125938"/>
        <s v="125796"/>
        <s v="125940"/>
        <s v="125939"/>
        <s v="125774"/>
        <s v="143075"/>
        <s v="143074"/>
        <s v="143111"/>
        <s v="143073"/>
        <s v="125640"/>
        <s v="125609"/>
        <s v="125747"/>
        <s v="125217"/>
        <s v="125863"/>
        <s v="125862"/>
        <s v="125861"/>
        <s v="125865"/>
        <s v="125864"/>
        <s v="142865"/>
        <s v="125353"/>
        <s v="125871"/>
        <s v="125921"/>
        <s v="125223"/>
        <s v="125151"/>
        <s v="125211"/>
        <s v="125248"/>
        <s v="125605"/>
        <s v="125248-2"/>
        <s v="125248-PCT2"/>
        <s v="125922"/>
        <s v="125248-PCT"/>
        <s v="125605-PCT"/>
        <s v="143122"/>
        <s v="125924"/>
        <s v="125358"/>
        <s v="125553"/>
        <s v="125934"/>
        <s v="125358-CON"/>
        <s v="125358-PCT"/>
        <s v="125553-2"/>
        <s v="143116"/>
        <s v="143115"/>
        <s v="143117"/>
        <s v="143118"/>
        <s v="143221"/>
        <s v="142566"/>
        <s v="144941"/>
        <s v="144935"/>
        <s v="144936"/>
        <s v="125880"/>
        <s v="144937"/>
        <s v="125808"/>
        <s v="125215"/>
        <s v="142564"/>
        <s v="142911"/>
        <s v="143255"/>
        <s v="125868"/>
        <s v="142756"/>
        <s v="142564-pct"/>
        <s v="142565"/>
        <s v="142778"/>
        <s v="142777"/>
        <s v="142987"/>
        <s v="142778-UTIL2"/>
        <s v="142788"/>
        <s v="142787"/>
        <s v="125953"/>
        <s v="142627"/>
        <s v="142627-PCT"/>
        <s v="142627-PROV2"/>
        <s v="142787-PCT"/>
        <s v="143044"/>
        <s v="125925"/>
        <s v="125926"/>
        <s v="143349-CIP"/>
        <s v="125672"/>
        <s v="125672-PCT1"/>
        <s v="125672-PCT"/>
        <s v="125672-CIP"/>
        <s v="125801"/>
        <s v="125624"/>
        <s v="125803"/>
        <s v="125625"/>
        <s v="125805"/>
        <s v="125807"/>
        <s v="125806"/>
        <s v="125804"/>
        <s v="125802"/>
        <s v="125158"/>
        <s v="125185"/>
        <s v="125520"/>
        <s v="125521"/>
        <s v="125479"/>
        <s v="125600"/>
        <s v="143139"/>
        <s v="143140"/>
        <s v="143141"/>
        <s v="143142"/>
        <s v="143143"/>
        <s v="125642"/>
        <s v="125618"/>
        <s v="125541"/>
        <s v="125346"/>
        <s v="125522"/>
        <s v="125523"/>
        <s v="125525"/>
        <s v="125526"/>
        <s v="125528"/>
        <s v="125529"/>
        <s v="125344"/>
        <s v="125345"/>
        <s v="125347"/>
        <s v="125552"/>
        <s v="143056"/>
        <s v="144938"/>
        <s v="144939"/>
        <s v="144940"/>
        <s v="144943"/>
        <s v="144944"/>
        <s v="144945"/>
        <s v="142687P"/>
        <s v="142686P"/>
        <s v="142685PCT"/>
        <s v="142688"/>
        <s v="142688P"/>
        <s v="143309"/>
        <s v="143311"/>
        <s v="143312"/>
        <s v="143314"/>
        <s v="143315"/>
        <s v="143316"/>
        <s v="143317"/>
        <s v="143319"/>
        <s v="143320"/>
        <s v="143322"/>
        <s v="143323"/>
        <s v="142685P1"/>
        <s v="143318"/>
        <s v="143321"/>
        <s v="143039"/>
        <s v="142685"/>
        <s v="142686"/>
        <s v="142687"/>
        <s v="142688PCT"/>
        <s v="143029"/>
        <s v="125741-PCT"/>
        <s v="125741"/>
        <s v="125917"/>
        <s v="125288PROV"/>
        <s v="125288PCT1"/>
        <s v="125270"/>
        <s v="125288"/>
        <s v="142626"/>
        <s v="125263"/>
        <s v="142567"/>
        <s v="142568"/>
        <s v="125626"/>
        <s v="142571"/>
        <s v="125206"/>
        <s v="142569"/>
        <s v="142570"/>
        <s v="142780"/>
        <s v="142639"/>
        <s v="142197"/>
        <s v="142197-PCT"/>
        <s v="143160"/>
        <s v="143137"/>
        <s v="125584"/>
        <s v="142870"/>
        <s v="125584-CIP1"/>
        <s v="125584-CIP2"/>
        <s v="125584-PCT"/>
        <s v="143161"/>
        <s v="125679"/>
        <s v="125384"/>
        <s v="125562"/>
        <s v="125662"/>
        <s v="125667"/>
        <s v="125386"/>
        <s v="125685"/>
        <s v="125416"/>
        <s v="125481"/>
        <s v="142581"/>
        <s v="142574"/>
        <s v="125631"/>
        <s v="125633"/>
        <s v="125630"/>
        <s v="125629"/>
        <s v="125472"/>
        <s v="125518"/>
        <s v="125519"/>
        <s v="125484"/>
        <s v="143132"/>
        <s v="142882"/>
        <s v="125632"/>
        <s v="125628"/>
        <s v="142696"/>
        <s v="142837"/>
        <s v="142953"/>
        <s v="125619"/>
        <s v="125762"/>
        <s v="142929"/>
        <s v="125762-PCT"/>
        <s v="125508"/>
        <s v="142848"/>
        <s v="125931"/>
        <s v="125932"/>
        <s v="125213"/>
        <s v="142938"/>
        <s v="142934"/>
        <s v="142937"/>
        <s v="142660"/>
        <s v="142657"/>
        <s v="142658"/>
        <s v="142659"/>
        <s v="142661"/>
        <s v="142935"/>
        <s v="142933"/>
        <s v="142936"/>
        <s v="142938-CON"/>
        <s v="142936-PCT"/>
        <s v="142938-PCT"/>
        <s v="142937-CON"/>
        <s v="142937-PCT"/>
        <s v="142935-PCT"/>
        <s v="142933-PCT"/>
        <s v="142656"/>
        <s v="142758"/>
        <s v="142759"/>
        <s v="142582"/>
        <s v="142583"/>
        <s v="125267"/>
        <s v="125229"/>
        <s v="125511"/>
        <s v="125302"/>
        <s v="125690"/>
        <s v="125690-PCT"/>
        <s v="125757"/>
        <s v="142818"/>
        <s v="142845"/>
        <s v="142760"/>
        <s v="125658"/>
        <s v="125678"/>
        <s v="125697"/>
        <s v="125531"/>
        <s v="125636"/>
        <s v="125577"/>
        <s v="125583"/>
        <s v="125687"/>
        <s v="162855"/>
        <s v="125462"/>
        <s v="125692"/>
        <s v="125462-2"/>
        <s v="143163"/>
        <s v="125214"/>
        <s v="142715"/>
        <s v="142710"/>
        <s v="142700"/>
        <s v="142720"/>
        <s v="142721"/>
        <s v="142704"/>
        <s v="S-125695"/>
        <s v="S-125541"/>
        <s v="142608"/>
        <s v="142609"/>
        <s v="142610"/>
        <s v="142611"/>
        <s v="142612"/>
        <s v="142613"/>
        <s v="142614"/>
        <s v="142615"/>
        <s v="142616"/>
        <s v="142617"/>
        <s v="142602"/>
        <s v="142707"/>
        <s v="142604"/>
        <s v="142605"/>
        <s v="142606"/>
        <s v="142607"/>
        <s v="143106"/>
        <s v="143183"/>
        <s v="143185"/>
        <s v="142719"/>
        <s v="142718"/>
        <s v="142717"/>
        <s v="142708"/>
        <s v="142716"/>
        <s v="142709"/>
        <s v="142589"/>
        <s v="142590"/>
        <s v="142712"/>
        <s v="142714"/>
        <s v="142593"/>
        <s v="142711"/>
        <s v="142596"/>
        <s v="142702"/>
        <s v="142705"/>
        <s v="142701"/>
        <s v="142722"/>
        <s v="142699"/>
        <s v="142713"/>
        <s v="142706"/>
        <s v="142587"/>
        <s v="142703"/>
        <s v="143182"/>
        <s v="143184"/>
        <s v="143186"/>
        <s v="142781-PCT"/>
        <s v="142781"/>
        <s v="142595"/>
        <s v="125769"/>
        <s v="143147"/>
        <s v="143188"/>
        <s v="143147-pct"/>
        <s v="143187"/>
        <s v="125578"/>
        <s v="125675"/>
        <s v="142648"/>
        <s v="142643"/>
        <s v="125908"/>
        <s v="125673"/>
        <s v="143478"/>
        <s v="143237"/>
        <s v="125205"/>
        <s v="125949"/>
        <s v="143090"/>
        <s v="125202"/>
        <s v="125203"/>
        <s v="125204"/>
        <s v="125234"/>
        <s v="125235"/>
        <s v="125948"/>
        <s v="125950"/>
        <s v="142810"/>
        <s v="143103"/>
        <s v="125368"/>
        <s v="125613"/>
        <s v="125265"/>
        <s v="125614"/>
        <s v="125869"/>
        <s v="142899"/>
        <s v="142986"/>
        <s v="125201"/>
        <s v="125218"/>
        <s v="125478"/>
        <s v="125651"/>
        <s v="125882"/>
        <s v="125222-CIP"/>
        <s v="125191"/>
        <s v="142898"/>
        <s v="125222"/>
        <s v="142901"/>
        <s v="125477"/>
        <s v="125638"/>
        <s v="125879"/>
        <s v="125466"/>
        <s v="143095"/>
        <s v="144960"/>
        <s v="142647"/>
        <s v="142853"/>
        <s v="142852"/>
        <s v="125756"/>
        <s v="142815"/>
        <s v="125563"/>
        <s v="125303"/>
        <s v="125579"/>
        <s v="142793"/>
        <s v="143009"/>
        <s v="125735"/>
        <s v="125700"/>
        <s v="125559"/>
        <s v="142753"/>
        <s v="125360"/>
        <s v="142563"/>
        <s v="142695"/>
        <s v="142694"/>
        <s v="125617"/>
        <s v="125195"/>
        <s v="142823"/>
        <s v="142824"/>
        <s v="125768"/>
        <s v="142825"/>
        <s v="142822"/>
        <s v="143420"/>
        <s v="143420-PCT"/>
        <s v="125763"/>
        <s v="125752"/>
        <s v="125709"/>
        <s v="125765"/>
        <s v="125766"/>
        <s v="125408-PCT"/>
        <s v="125408"/>
        <s v="142631"/>
        <s v="142631-PCT"/>
        <s v="125396"/>
        <s v="143247-PCT"/>
        <s v="143247-PCT2"/>
        <s v="143247-PCT3"/>
        <s v="143211"/>
        <s v="162823"/>
        <s v="143247"/>
        <s v="142620"/>
        <s v="125547"/>
        <s v="143231"/>
        <s v="125186"/>
        <s v="125463"/>
        <s v="125391"/>
        <s v="143243"/>
        <s v="143244"/>
        <s v="143240"/>
        <s v="143241"/>
        <s v="143242"/>
        <s v="143243-PCT"/>
        <s v="142804"/>
        <s v="142805"/>
        <s v="142972"/>
        <s v="142972-POV2"/>
        <s v="142972-POV3"/>
        <s v="142972-POV4"/>
        <s v="143027"/>
        <s v="143301"/>
        <s v="125693"/>
        <s v="125761"/>
        <s v="125652"/>
        <s v="125597"/>
        <s v="142947"/>
        <s v="142628"/>
        <s v="142821"/>
        <s v="125433"/>
        <s v="125433-PCT"/>
        <s v="142809-PCT"/>
        <s v="142808"/>
        <s v="142809"/>
        <s v="144339"/>
        <s v="144339-PCT"/>
        <s v="143930"/>
        <s v="125595"/>
        <s v="143225"/>
        <s v="125971"/>
        <s v="125471"/>
        <s v="143031"/>
        <s v="162891"/>
        <s v="125579-CIP"/>
        <s v="142979"/>
        <s v="142945"/>
        <s v="143008"/>
        <s v="143236"/>
        <s v="142811"/>
        <s v="142980"/>
        <s v="142854"/>
        <s v="142779"/>
        <s v="125623"/>
        <s v="125483"/>
        <s v="125473"/>
        <s v="143048"/>
        <s v="125228"/>
        <s v="125266"/>
        <s v="125493"/>
        <s v="125493-PCT"/>
        <s v="125725-PCT"/>
        <s v="143425"/>
        <s v="125725"/>
        <s v="136330"/>
        <s v="125419-CON"/>
        <s v="142846"/>
        <s v="125419"/>
        <s v="125873"/>
        <s v="125402"/>
        <s v="125377"/>
        <s v="142632"/>
        <s v="143373-PCT"/>
        <s v="143388-1"/>
        <s v="143385-1"/>
        <s v="143373-02"/>
        <s v="143386-01"/>
        <s v="143372"/>
        <s v="143373"/>
        <s v="143373-2"/>
        <s v="143373-3"/>
        <s v="143383"/>
        <s v="143385"/>
        <s v="143384"/>
        <s v="143388"/>
        <s v="143386"/>
        <s v="143387"/>
        <s v="142621"/>
        <s v="125558"/>
        <s v="125260"/>
        <s v="162860"/>
        <s v="125587"/>
        <s v="142681"/>
        <s v="143249-PCT"/>
        <s v="142681-pct"/>
        <s v="125954"/>
        <s v="143151"/>
        <s v="125188"/>
        <s v="162841"/>
        <s v="143249"/>
        <s v="143482"/>
        <s v="125955"/>
        <s v="142921"/>
        <s v="143422-PCT"/>
        <s v="143482-PCT"/>
        <s v="143422"/>
        <s v="143482-DIV"/>
        <s v="143483"/>
        <s v="125740"/>
        <s v="144933"/>
        <s v="144934"/>
        <s v="149878"/>
        <s v="143082"/>
        <s v="143191"/>
        <s v="125956"/>
        <s v="125957"/>
        <s v="143144"/>
        <s v="143101"/>
        <s v="125962"/>
        <s v="125960"/>
        <s v="125959"/>
        <s v="125907"/>
        <s v="125958"/>
        <s v="125961"/>
        <s v="125964"/>
        <s v=" 125775"/>
        <s v="125965"/>
        <s v="125966"/>
        <s v="125809PCT"/>
        <s v="143053"/>
        <s v="125809"/>
        <s v="143046"/>
        <s v="143030"/>
        <s v="143096"/>
        <s v="125726-PCT"/>
        <s v="125726"/>
        <s v="125704"/>
        <s v="125968"/>
        <s v="143238"/>
        <s v="125661-PCT"/>
        <s v="125661"/>
        <s v="125677"/>
        <s v="142580"/>
        <s v="162934"/>
        <s v="125849"/>
        <s v="125856"/>
        <s v="125857"/>
        <s v="125858"/>
        <s v="125859"/>
        <s v="125860"/>
        <s v="125850"/>
        <s v="125851"/>
        <s v="125852"/>
        <s v="125853"/>
        <s v="125854"/>
        <s v="125847"/>
        <s v="125848"/>
        <s v="125855"/>
        <s v="142940"/>
        <s v="143341"/>
        <s v="143131"/>
        <s v="142861"/>
        <s v="142861-PCT"/>
        <s v="162799"/>
        <s v="142939"/>
        <s v="142939-PCT"/>
        <s v="125972"/>
        <s v="125972-PCT"/>
        <s v="162784"/>
        <s v="162785"/>
        <s v="162785-PROV2"/>
        <s v="143548-01"/>
        <s v="143549"/>
        <s v="143550"/>
        <s v="143041"/>
        <s v="142640"/>
        <s v="142941"/>
        <s v="142633"/>
        <s v="125937"/>
        <s v="125936"/>
        <s v="162783"/>
        <s v="143548"/>
        <s v="143547"/>
        <s v="162782"/>
        <s v="125952"/>
        <s v="142819"/>
        <s v="143042"/>
        <s v="142689"/>
        <s v="125567"/>
        <s v="143066"/>
        <s v="143067"/>
        <s v="142064"/>
        <s v="143065"/>
        <s v="143049"/>
        <s v="125566"/>
        <s v="125703"/>
        <s v="125561-PCT"/>
        <s v="125566-PCT"/>
        <s v="125703-PCT"/>
        <s v="143452"/>
        <s v="143453"/>
        <s v="143454"/>
        <s v="125561"/>
        <s v="143450"/>
        <s v="143451"/>
        <s v="142908"/>
        <s v="125739"/>
        <s v="144961"/>
        <s v="142801"/>
        <s v="125699"/>
        <s v="125537"/>
        <s v="125657"/>
        <s v="142623"/>
        <s v="125666"/>
        <s v="125772"/>
        <s v="125676"/>
        <s v="125772-PCT"/>
        <s v="142859"/>
        <s v="142860"/>
        <s v="125970"/>
        <s v="142684"/>
        <s v="142725"/>
        <s v="142693"/>
        <s v="142201"/>
        <s v="143293"/>
        <s v="125973"/>
        <s v="143307"/>
        <s v="143026-POV2"/>
        <s v="143026"/>
        <s v="143026-PROV1"/>
        <s v="143026-PROV2"/>
        <s v="143026-PCT"/>
        <s v="143034"/>
        <s v="143034-PCT"/>
        <s v="125978"/>
        <s v="125976"/>
        <s v="125977"/>
        <s v="125975"/>
        <s v="142858"/>
        <s v="142812"/>
        <s v="125593"/>
        <s v="144930"/>
        <s v="125946"/>
        <s v="142559"/>
        <s v="143180"/>
        <s v="143180-pct"/>
        <s v="143226"/>
        <s v="143226-CIP"/>
        <s v="142965"/>
        <s v="125979"/>
        <s v="142897"/>
        <s v="125980"/>
        <s v="142807"/>
        <s v="142698"/>
        <s v="125981"/>
        <s v="143467"/>
        <s v="142988-PCT"/>
        <s v="142988"/>
        <s v="142677"/>
        <s v="125983"/>
        <s v="142203"/>
        <s v="125984"/>
        <s v="142195"/>
        <s v="142995-PROV2"/>
        <s v="142995-PCT"/>
        <s v="142995"/>
        <s v="142682"/>
        <s v="125985"/>
        <s v="142996"/>
        <s v="142998"/>
        <s v="142997"/>
        <s v="142624"/>
        <s v="142776"/>
        <s v="142625"/>
        <s v="125427"/>
        <s v="125461"/>
        <s v="162910"/>
        <s v="143474"/>
        <s v="143474-PCT"/>
        <s v="125748"/>
        <s v="143156"/>
        <s v="143488"/>
        <s v="125987"/>
        <s v="125986"/>
        <s v="142842"/>
        <s v="143152"/>
        <s v="143153"/>
        <s v="143133"/>
        <s v="143308-PCT"/>
        <s v="143308"/>
        <s v="125729"/>
        <s v="142974"/>
        <s v="142955"/>
        <s v="142956"/>
        <s v="142957"/>
        <s v="142958"/>
        <s v="125663PCT"/>
        <s v="125663"/>
        <s v="143374"/>
        <s v="143000"/>
        <s v="143002-CON2"/>
        <s v="143002-PCT"/>
        <s v="143001-PCT"/>
        <s v="143001-DIV2"/>
        <s v="143001"/>
        <s v="143001-DIV1"/>
        <s v="143001-CIP"/>
        <s v="143002-CON1"/>
        <s v="143003"/>
        <s v="143002"/>
        <s v="143328"/>
        <s v="144929"/>
        <s v="143278"/>
        <s v="143279"/>
        <s v="142982POV2"/>
        <s v="142982PCT"/>
        <s v="142982CIP"/>
        <s v="142982PROV3"/>
        <s v="142982-PCT"/>
        <s v="142982-PROV2"/>
        <s v="142982-PROV 1"/>
        <s v="142982-PROV3"/>
        <s v="142982POV1"/>
        <s v="142982UT"/>
        <s v="143300"/>
        <s v="143461"/>
        <s v="142903"/>
        <s v="143460"/>
        <s v="143057"/>
        <s v="125728"/>
        <s v="142813"/>
        <s v="143076"/>
        <s v="125533-2"/>
        <s v="125533"/>
        <s v="142967"/>
        <s v="142966"/>
        <s v="142761"/>
        <s v="142649"/>
        <s v="143402"/>
        <s v="142844"/>
        <s v="125554"/>
        <s v="142622"/>
        <s v="142202"/>
        <s v="125991"/>
        <s v="125992"/>
        <s v="125569"/>
        <s v="125539"/>
        <s v="125812"/>
        <s v="125468"/>
        <s v="125994"/>
        <s v="142791"/>
        <s v="125993"/>
        <s v="142789"/>
        <s v="142790"/>
        <s v="142676"/>
        <s v="142675"/>
        <s v="142675PCT"/>
        <s v="125870"/>
        <s v="142728"/>
        <s v="143004"/>
        <s v="125996"/>
        <s v="142925"/>
        <s v="142924"/>
        <s v="142991"/>
        <s v="142991-PCT"/>
        <s v="142904"/>
        <s v="142644"/>
        <s v="142645"/>
        <s v="142642"/>
        <s v="142855"/>
        <s v="142875"/>
        <s v="143063"/>
        <s v="142726"/>
        <s v="125759"/>
        <s v="142817"/>
        <s v="125724"/>
        <s v="125998"/>
        <s v="162852"/>
        <s v="162853"/>
        <s v="142797"/>
        <s v="143268"/>
        <s v="143268-PCT"/>
        <s v="125767"/>
        <s v="142729"/>
        <s v="142829"/>
        <s v="142878"/>
        <s v="143271"/>
        <s v="143270"/>
        <s v="142826"/>
        <s v="142826PCT"/>
        <s v="125730-PCT"/>
        <s v="125730"/>
        <s v="125616"/>
        <s v="142826PV1"/>
        <s v="125616-PCT"/>
        <s v="142216"/>
        <s v="142217"/>
        <s v="142214"/>
        <s v="143215"/>
        <s v="142218"/>
        <s v="143228"/>
        <s v="143229"/>
        <s v="143230"/>
        <s v="142219"/>
        <s v="142794"/>
        <s v="143302-PROV"/>
        <s v="142928"/>
        <s v="143302-PROV2"/>
        <s v="143302-CIP"/>
        <s v="143463"/>
        <s v="143512"/>
        <s v="143513"/>
        <s v="142674"/>
        <s v="142827-PCT"/>
        <s v="142827"/>
        <s v="142994"/>
        <s v="143325"/>
        <s v="143421"/>
        <s v="125698"/>
        <s v="143297"/>
        <s v="125755"/>
        <s v="142856"/>
        <s v="142932"/>
        <s v="142932-pct"/>
        <s v="125999"/>
        <s v="143092"/>
        <s v="125686"/>
        <s v="125686-PCT"/>
        <s v="143261"/>
        <s v="162832"/>
        <s v="143005"/>
        <s v="143023-PROV1"/>
        <s v="143023-PROV2"/>
        <s v="143442"/>
        <s v="143062-PCT"/>
        <s v="143062"/>
        <s v="162882"/>
        <s v="143025"/>
        <s v="143532"/>
        <s v="143176"/>
        <s v="143493-pct"/>
        <s v="143493"/>
        <s v="143263"/>
        <s v="143176-PROV2"/>
        <s v="142757"/>
        <s v="162810"/>
        <s v="143500"/>
        <s v="143500-PCT"/>
        <s v="143040"/>
        <s v="142833"/>
        <s v="142833-PCT"/>
        <s v="142798"/>
        <s v="142802"/>
        <s v="125760-PCT"/>
        <s v="125760"/>
        <s v="142831"/>
        <s v="143028"/>
        <s v="143028-PCT"/>
        <s v="142990-PCT"/>
        <s v="142883"/>
        <s v="142990"/>
        <s v="142920"/>
        <s v="143021"/>
        <s v="143531"/>
        <s v="143523"/>
        <s v="143530"/>
        <s v="143024"/>
        <s v="143344"/>
        <s v="142755"/>
        <s v="143303"/>
        <s v="142876-PCT"/>
        <s v="142876"/>
        <s v="143303-PCT"/>
        <s v="142762-PCT"/>
        <s v="142762"/>
        <s v="142754"/>
        <s v="143456"/>
        <s v="143136"/>
        <s v=" 143437"/>
        <s v=" 142885"/>
        <s v="143295"/>
        <s v="143462"/>
        <s v="143292"/>
        <s v="143294"/>
        <s v=" 142877"/>
        <s v=" 142884"/>
        <s v="142918"/>
        <s v="143124"/>
        <s v="143296"/>
        <s v=" 143224"/>
        <s v=" 142782"/>
        <s v=" 142783"/>
        <s v="143119"/>
        <s v="143233"/>
        <s v="143119-PCT"/>
        <s v="143234"/>
        <s v="143045-PCT"/>
        <s v="143045"/>
        <s v="143134"/>
        <s v="143499"/>
        <s v="143227"/>
        <s v="143364"/>
        <s v="142977"/>
        <s v="125754-CON"/>
        <s v="125754"/>
        <s v="143098"/>
        <s v="143239"/>
        <s v="143050"/>
        <s v="143282"/>
        <s v="143280"/>
        <s v="143281"/>
        <s v="143283"/>
        <s v="162926"/>
        <s v="162927"/>
        <s v="162928"/>
        <s v="147295"/>
        <s v="143486"/>
        <s v="143485"/>
        <s v="142866"/>
        <s v="142869"/>
        <s v="142868"/>
        <s v="142872"/>
        <s v="142923"/>
        <s v="143481"/>
        <s v="143055"/>
        <s v="143051"/>
        <s v="143054"/>
        <s v="143245"/>
        <s v="143052"/>
        <s v="147323"/>
        <s v="142867"/>
        <s v="143277"/>
        <s v="142954-PCT"/>
        <s v="142954-PROV"/>
        <s v="142954"/>
        <s v="142196"/>
        <s v="142960"/>
        <s v="142961"/>
        <s v="142959"/>
        <s v="143081"/>
        <s v="143080"/>
        <s v="142973"/>
        <s v="125797"/>
        <s v="142851"/>
        <s v="143246"/>
        <s v="142220"/>
        <s v="143145"/>
        <s v="142734"/>
        <s v="142796"/>
        <s v="142641"/>
        <s v="142913"/>
        <s v="142914"/>
        <s v="162872"/>
        <s v="162873"/>
        <s v="142629-PCT2"/>
        <s v="142629"/>
        <s v=" 143272"/>
        <s v=" 143287"/>
        <s v="143250"/>
        <s v="142922"/>
        <s v="142912"/>
        <s v="143327"/>
        <s v="142910-pct"/>
        <s v="142910"/>
        <s v="142906"/>
        <s v="162839"/>
        <s v="162840"/>
        <s v="162845"/>
        <s v="125771"/>
        <s v="143545"/>
        <s v="162833"/>
        <s v="142989"/>
        <s v="143072"/>
        <s v="143072-pct"/>
        <s v="142975"/>
        <s v="143262"/>
        <s v="143459"/>
        <s v="143458"/>
        <s v="142646"/>
        <s v="143189"/>
        <s v="143449"/>
        <s v="143204"/>
        <s v="142944PCT"/>
        <s v="142944"/>
        <s v="142724"/>
        <s v="142949"/>
        <s v="142909"/>
        <s v="142896"/>
        <s v="143536"/>
        <s v="143537"/>
        <s v="142857"/>
        <s v="142927"/>
        <s v="143104"/>
        <s v="142926"/>
        <s v="142926-CON"/>
        <s v="143479"/>
        <s v="143206"/>
        <s v="143178"/>
        <s v="143179"/>
        <s v="162890"/>
        <s v="142838"/>
        <s v="143043"/>
        <s v="143289"/>
        <s v="162830"/>
        <s v="162829"/>
        <s v="143290"/>
        <s v="143288"/>
        <s v="162850"/>
        <s v="143207"/>
        <s v="143440"/>
        <s v="143403"/>
        <s v="143177"/>
        <s v="143015"/>
        <s v="143014"/>
        <s v="143338"/>
        <s v="142983"/>
        <s v="142984"/>
        <s v="142985"/>
        <s v="143166"/>
        <s v="143375"/>
        <s v="143376"/>
        <s v="143326"/>
        <s v="162826"/>
        <s v="162827"/>
        <s v="162805"/>
        <s v="142630"/>
        <s v="143335"/>
        <s v="162876"/>
        <s v="143408"/>
        <s v="143170"/>
        <s v="143171"/>
        <s v="143172"/>
        <s v="143173"/>
        <s v="143169"/>
        <s v="143480"/>
        <s v="142751"/>
        <s v="142946-PCT"/>
        <s v="143078-PCT"/>
        <s v="143138"/>
        <s v="143222"/>
        <s v="143222-PCT"/>
        <s v="142946"/>
        <s v="143078"/>
        <s v="143149"/>
        <s v="143150"/>
        <s v="142907-PCT"/>
        <s v="142907"/>
        <s v="143190"/>
        <s v="143514"/>
        <s v="143159"/>
        <s v="162817"/>
        <s v="142969"/>
        <s v="142970"/>
        <s v="143431"/>
        <s v="143464"/>
        <s v="142061"/>
        <s v="143061"/>
        <s v="143006"/>
        <s v="142795"/>
        <s v="143492"/>
        <s v="143490"/>
        <s v="143260"/>
        <s v="143258"/>
        <s v="162836"/>
        <s v="162837"/>
        <s v="143284"/>
        <s v="143285"/>
        <s v="143359"/>
        <s v="143305"/>
        <s v="142879"/>
        <s v="142880"/>
        <s v="142881"/>
        <s v="143256"/>
        <s v="143356"/>
        <s v="143356-PROV2"/>
        <s v="142862-PCT"/>
        <s v="142862"/>
        <s v="142863"/>
        <s v="143356-PCT"/>
        <s v="162824"/>
        <s v="162825"/>
        <s v="143212"/>
        <s v="143213"/>
        <s v="142832"/>
        <s v="142836"/>
        <s v="142834"/>
        <s v="143427"/>
        <s v="143428"/>
        <s v="143429"/>
        <s v="143430"/>
        <s v="142971"/>
        <s v="142835"/>
        <s v="142951"/>
        <s v="143286"/>
        <s v="143334"/>
        <s v="162885"/>
        <s v="143465"/>
        <s v="143209-PROV3"/>
        <s v="143209"/>
        <s v="143209-PCT"/>
        <s v="143209-PROV2"/>
        <s v="143210"/>
        <s v="143208"/>
        <s v="143164"/>
        <s v="162798"/>
        <s v="143205"/>
        <s v="143205-PROV2"/>
        <s v="143331"/>
        <s v="142200"/>
        <s v="162851"/>
        <s v="143077"/>
        <s v="162901"/>
        <s v="142978"/>
        <s v="143304"/>
        <s v="142828-PCT"/>
        <s v="142828"/>
        <s v="142850-PCT"/>
        <s v="142850"/>
        <s v="162877"/>
        <s v="162883"/>
        <s v="143515"/>
        <s v="143510"/>
        <s v="142194"/>
        <s v="143352-PCT"/>
        <s v="143351-PCT"/>
        <s v="143351"/>
        <s v="143352"/>
        <s v="143079-P1"/>
        <s v="143079"/>
        <s v="143416"/>
        <s v="162843"/>
        <s v="143223"/>
        <s v="162897"/>
        <s v="143093"/>
        <s v="143094"/>
        <s v="142916"/>
        <s v="142917"/>
        <s v="142919"/>
        <s v="143354"/>
        <s v="142943"/>
        <s v="143060"/>
        <s v="142847-PCT"/>
        <s v="142847"/>
        <s v="142847-PCT1"/>
        <s v="143276"/>
        <s v="143266"/>
        <s v="143342"/>
        <s v="143343"/>
        <s v="143433"/>
        <s v="142993"/>
        <s v="142981"/>
        <s v="143432"/>
        <s v="143192"/>
        <s v="143135-PCT"/>
        <s v="143443-PCT"/>
        <s v="162814"/>
        <s v="143135"/>
        <s v="143443"/>
        <s v="162815"/>
        <s v="142803-PCT"/>
        <s v="142803-PROV2"/>
        <s v="142803"/>
        <s v="143444"/>
        <s v="143291"/>
        <s v="162808"/>
        <s v="143370"/>
        <s v="143146-PROV2"/>
        <s v="143146"/>
        <s v="143165"/>
        <s v="142952"/>
        <s v="142968"/>
        <s v="143397-PCT"/>
        <s v="143012"/>
        <s v="143010"/>
        <s v="143397"/>
        <s v="143435"/>
        <s v="149330"/>
        <s v="143469"/>
        <s v="143468"/>
        <s v="125887"/>
        <s v="125888"/>
        <s v="143470"/>
        <s v="143232-PCT"/>
        <s v="143232"/>
        <s v="143466"/>
        <s v="143264"/>
        <s v="143396"/>
        <s v="143329"/>
        <s v="143506"/>
        <s v="143540"/>
        <s v="143487"/>
        <s v="143391"/>
        <s v="143392"/>
        <s v="143438"/>
        <s v="162898"/>
        <s v="143438-PCT"/>
        <s v="143016"/>
        <s v="143417"/>
        <s v="143419"/>
        <s v="143418"/>
        <s v="143181"/>
        <s v="162895"/>
        <s v="143398"/>
        <s v="143405"/>
        <s v="143400"/>
        <s v="142198"/>
        <s v="143399"/>
        <s v="143269"/>
        <s v="143267"/>
        <s v="162847"/>
        <s v="143457-PCT"/>
        <s v="144571"/>
        <s v="143457"/>
        <s v="144571-PCT"/>
        <s v="143158"/>
        <s v="162787"/>
        <s v="162789"/>
        <s v="162788"/>
        <s v="150889"/>
        <s v="142942"/>
        <s v="137391"/>
        <s v="162874"/>
        <s v="162874-PROV2"/>
        <s v="150880"/>
        <s v="143100-PROV2"/>
        <s v="143100"/>
        <s v="143524"/>
        <s v="143525"/>
        <s v="143526"/>
        <s v="143527"/>
        <s v="143528"/>
        <s v="143168"/>
        <s v="143168-PCT"/>
        <s v="143265"/>
        <s v="143275"/>
        <s v="143507"/>
        <s v="143508"/>
        <s v="143507-PCT"/>
        <s v="143404"/>
        <s v="143394"/>
        <s v="143395-PCT"/>
        <s v="143395"/>
        <s v="143346"/>
        <s v="143475"/>
        <s v="162887"/>
        <s v="162887-PROV2"/>
        <s v="162887-PCT"/>
        <s v="143389"/>
        <s v="143390"/>
        <s v="162844"/>
        <s v="162844-2"/>
        <s v="162844-PCT"/>
        <s v="143037-PCT"/>
        <s v="143037"/>
        <s v="143035"/>
        <s v="143036"/>
        <s v="143035-PCT"/>
        <s v="143496"/>
        <s v="143543"/>
        <s v="162911"/>
        <s v="162912"/>
        <s v="162913"/>
        <s v="143380"/>
        <s v="143381"/>
        <s v="143130"/>
        <s v="143130-PROV2"/>
        <s v="143130-PROV3"/>
        <s v="143519"/>
        <s v="162900"/>
        <s v="143471"/>
        <s v="143382-1"/>
        <s v="143130-PROV1"/>
        <s v="143129"/>
        <s v="143382"/>
        <s v="143127"/>
        <s v="143333-1"/>
        <s v="143497"/>
        <s v="143333"/>
        <s v="143257"/>
        <s v="143257-PRV2"/>
        <s v="143517"/>
        <s v="143299"/>
        <s v="143123"/>
        <s v="143125"/>
        <s v="143348"/>
        <s v="143347"/>
        <s v="143407"/>
        <s v="143406"/>
        <s v="143175"/>
        <s v="143369"/>
        <s v="162854"/>
        <s v="143102"/>
        <s v="143491"/>
        <s v="162790"/>
        <s v="143330"/>
        <s v="162856"/>
        <s v="143533"/>
        <s v="143534"/>
        <s v="142193"/>
        <s v="143535"/>
        <s v="162870"/>
        <s v="143336"/>
        <s v="143337"/>
        <s v="143448"/>
        <s v="143505"/>
        <s v="162834"/>
        <s v="162797"/>
        <s v="143447"/>
        <s v="143358"/>
        <s v="143306"/>
        <s v="143360"/>
        <s v="143361"/>
        <s v="143501"/>
        <s v="143423"/>
        <s v="143476"/>
        <s v="143502"/>
        <s v="143362"/>
        <s v="162857"/>
        <s v="162858"/>
        <s v="162796"/>
        <s v="162867"/>
        <s v="162868"/>
        <s v="162866"/>
        <s v="162871"/>
        <s v="162869"/>
        <s v="143366"/>
        <s v="143366-PROV2"/>
        <s v="162820"/>
        <s v="143504"/>
        <s v="143446"/>
        <s v="143059"/>
        <s v="143120"/>
        <s v="143273"/>
        <s v="162835"/>
        <s v="162792"/>
        <s v="162794"/>
        <s v="162793"/>
        <s v="143148"/>
        <s v="143436"/>
        <s v="162886"/>
        <s v="150103-CHI"/>
        <s v="143332"/>
        <s v="143259"/>
        <s v="143259-PROV2"/>
        <s v="143259-PROV"/>
        <s v="162791"/>
        <s v="143544"/>
        <s v="162904"/>
        <s v="143401"/>
        <s v="143494"/>
        <s v="143516"/>
        <s v="143472"/>
        <s v="162811"/>
        <s v="162889"/>
        <s v="162893"/>
        <s v="143371"/>
        <s v="162902"/>
        <s v="162903"/>
        <s v="143473"/>
        <s v="143340"/>
        <s v="143521"/>
        <s v="143522"/>
        <s v="143235"/>
        <s v="162842"/>
        <s v="162919"/>
        <s v="162906"/>
        <s v="162907"/>
        <s v="162920"/>
        <s v="162921"/>
        <s v="143511"/>
        <s v="143495"/>
        <s v="143498"/>
        <s v="162821"/>
        <s v="162822"/>
        <s v="143509"/>
        <s v="162914"/>
        <s v="162896"/>
        <s v="162809"/>
        <s v="143539"/>
        <s v="143529"/>
        <s v="143484"/>
        <s v="143541"/>
        <s v="143546"/>
        <s v="162861"/>
        <s v="143363"/>
        <s v="143542"/>
        <s v="143503"/>
        <s v="162813"/>
        <s v="162865"/>
        <s v="162838"/>
        <s v="143455-PCT"/>
        <s v="143455"/>
        <s v="162786"/>
        <s v="162875"/>
        <s v="162848"/>
        <s v="143441"/>
        <s v="143434"/>
        <s v="142199"/>
        <s v="162828"/>
        <s v="162795"/>
        <s v="162884"/>
        <s v="162803"/>
        <s v="162801"/>
        <s v="162802"/>
        <s v="162888"/>
        <s v="143350"/>
        <s v="162806"/>
        <s v="162894"/>
        <s v="143518"/>
        <s v="162862"/>
        <s v="162863"/>
        <s v="143538"/>
        <s v="162864"/>
        <s v="143439"/>
        <s v="162831"/>
        <s v="162849"/>
        <s v="162812"/>
        <s v="162899"/>
        <s v="143368"/>
        <s v="143368-PCT1"/>
      </sharedItems>
    </cacheField>
    <cacheField name="Contract No." numFmtId="0">
      <sharedItems count="477">
        <s v="DE-AR0000004"/>
        <s v="DE-AR0000005"/>
        <s v="DE-AR0000006"/>
        <s v="DE-AR0000007"/>
        <s v="DE-AR0000009"/>
        <s v="DE-AR0000010"/>
        <s v="DE-AR0000011"/>
        <s v="DE-AR0000015"/>
        <s v="DE-AR0000016"/>
        <s v="DE-AR0000017"/>
        <s v="DE-AR0000018"/>
        <s v="DE-AR0000019"/>
        <s v="DE-AR0000020"/>
        <s v="DE-AR0000021"/>
        <s v="DE-AR0000022"/>
        <s v="DE-AR0000024"/>
        <s v="DE-AR0000025"/>
        <s v="DE-AR0000026"/>
        <s v="DE-AR0000033"/>
        <s v="DE-AR0000034"/>
        <s v="DE-AR0000035"/>
        <s v="DE-AR0000036"/>
        <s v="DE-AR0000037"/>
        <s v="DE-AR0000038"/>
        <s v="DE-AR0000040"/>
        <s v="DE-AR0000041"/>
        <s v="DE-AR0000042"/>
        <s v="DE-AR0000044"/>
        <s v="DE-AR0000045"/>
        <s v="DE-AR0000047"/>
        <s v="DE-AR0000056"/>
        <s v="DE-AR0000059"/>
        <s v="DE-AR0000060"/>
        <s v="DE-AR0000061"/>
        <s v="DE-AR0000062"/>
        <s v="DE-AR0000063"/>
        <s v="DE-AR0000065"/>
        <s v="DE-AR0000066"/>
        <s v="DE-AR0000067"/>
        <s v="DE-AR0000069"/>
        <s v="DE-AR0000070"/>
        <s v="DE-AR0000071"/>
        <s v="DE-AR0000072"/>
        <s v="DE-AR0000073"/>
        <s v="DE-AR0000078"/>
        <s v="DE-AR0000079"/>
        <s v="DE-AR0000081"/>
        <s v="DE-AR0000083"/>
        <s v="DE-AR0000084"/>
        <s v="DE-AR0000085"/>
        <s v="DE-AR0000087"/>
        <s v="DE-AR0000088"/>
        <s v="DE-AR0000089"/>
        <s v="DE-AR0000091"/>
        <s v="DE-AR0000093"/>
        <s v="DE-AR0000094"/>
        <s v="DE-AR0000095"/>
        <s v="DE-AR0000098"/>
        <s v="DE-AR0000100"/>
        <s v="DE-AR0000101"/>
        <s v="DE-AR0000102"/>
        <s v="DE-AR0000103"/>
        <s v="DE-AR0000104"/>
        <s v="DE-AR0000105"/>
        <s v="DE-AR0000107"/>
        <s v="DE-AR0000108"/>
        <s v="DE-AR0000110"/>
        <s v="DE-AR0000111"/>
        <s v="DE-AR0000113"/>
        <s v="DE-AR0000114"/>
        <s v="DE-AR0000115"/>
        <s v="DE-AR0000116"/>
        <s v="DE-AR0000117"/>
        <s v="DE-AR0000118"/>
        <s v="DE-AR0000119"/>
        <s v="DE-AR0000122"/>
        <s v="DE-AR0000123"/>
        <s v="DE-AR0000124"/>
        <s v="DE-AR0000127"/>
        <s v="DE-AR0000128"/>
        <s v="DE-AR0000130"/>
        <s v="DE-AR0000131"/>
        <s v="DE-AR0000132"/>
        <s v="DE-AR0000133"/>
        <s v="DE-AR0000136"/>
        <s v="DE-AR0000137"/>
        <s v="DE-AR0000140"/>
        <s v="DE-AR0000141"/>
        <s v="DE-AR0000143"/>
        <s v="DE-AR0000144"/>
        <s v="DE-AR0000147"/>
        <s v="DE-AR0000149"/>
        <s v="DE-AR0000150"/>
        <s v="DE-AR0000153"/>
        <s v="DE-AR0000157"/>
        <s v="DE-AR0000158"/>
        <s v="DE-AR0000159"/>
        <s v="DE-AR0000170"/>
        <s v="DE-AR0000171"/>
        <s v="DE-AR0000173"/>
        <s v="DE-AR0000174"/>
        <s v="DE-AR0000176"/>
        <s v="DE-AR0000177"/>
        <s v="DE-AR0000178"/>
        <s v="DE-AR0000179"/>
        <s v="DE-AR0000180"/>
        <s v="DE-AR0000181"/>
        <s v="DE-AR0000182"/>
        <s v="DE-AR0000183"/>
        <s v="DE-AR0000184"/>
        <s v="DE-AR0000185"/>
        <s v="DE-AR0000186"/>
        <s v="DE-AR0000188"/>
        <s v="DE-AR0000189"/>
        <s v="DE-AR0000190"/>
        <s v="DE-AR0000191"/>
        <s v="DE-AR0000192"/>
        <s v="DE-AR0000194"/>
        <s v="DE-AR0000195"/>
        <s v="DE-AR0000197"/>
        <s v="DE-AR0000199"/>
        <s v="DE-AR0000200"/>
        <s v="DE-AR0000201"/>
        <s v="DE-AR0000202"/>
        <s v="DE-AR0000203"/>
        <s v="DE-AR0000204"/>
        <s v="DE-AR0000206"/>
        <s v="DE-AR0000207"/>
        <s v="DE-AR0000208"/>
        <s v="DE-AR0000209"/>
        <s v="DE-AR0000210"/>
        <s v="DE-AR0000212"/>
        <s v="DE-AR0000213"/>
        <s v="DE-AR0000216"/>
        <s v="DE-AR0000217"/>
        <s v="DE-AR0000219"/>
        <s v="DE-AR0000222"/>
        <s v="DE-AR0000224"/>
        <s v="DE-AR0000225"/>
        <s v="DE-AR0000226"/>
        <s v="DE-AR0000229"/>
        <s v="DE-AR0000231"/>
        <s v="DE-AR0000233"/>
        <s v="DE-AR0000234"/>
        <s v="DE-AR0000235"/>
        <s v="DE-AR0000243"/>
        <s v="DE-AR0000247"/>
        <s v="DE-AR0000249"/>
        <s v="DE-AR0000250"/>
        <s v="DE-AR0000251"/>
        <s v="DE-AR0000253"/>
        <s v="DE-AR0000254"/>
        <s v="DE-AR0000255"/>
        <s v="DE-AR0000256"/>
        <s v="DE-AR0000257"/>
        <s v="DE-AR0000258"/>
        <s v="DE-AR0000259"/>
        <s v="DE-AR0000260"/>
        <s v="DE-AR0000261"/>
        <s v="DE-AR0000262"/>
        <s v="DE-AR0000263"/>
        <s v="DE-AR0000267"/>
        <s v="DE-AR0000269"/>
        <s v="DE-AR0000270"/>
        <s v="DE-AR0000271"/>
        <s v="DE-AR0000272"/>
        <s v="DE-AR0000273"/>
        <s v="DE-AR0000274"/>
        <s v="DE-AR0000275"/>
        <s v="DE-AR0000277"/>
        <s v="DE-AR0000278"/>
        <s v="DE-AR0000279"/>
        <s v="DE-AR0000290"/>
        <s v="DE-AR0000291"/>
        <s v="DE-AR0000292"/>
        <s v="DE-AR0000293"/>
        <s v="DE-AR0000294"/>
        <s v="DE-AR0000295"/>
        <s v="DE-AR0000297"/>
        <s v="DE-AR0000298"/>
        <s v="DE-AR0000300"/>
        <s v="DE-AR0000303"/>
        <s v="DE-AR0000304"/>
        <s v="DE-AR0000305"/>
        <s v="DE-AR0000307"/>
        <s v="DE-AR0000308"/>
        <s v="DE-AR0000309"/>
        <s v="DE-AR0000312"/>
        <s v="DE-AR0000313"/>
        <s v="DE-AR0000316"/>
        <s v="DE-AR0000318"/>
        <s v="DE-AR0000319"/>
        <s v="DE-AR0000321"/>
        <s v="DE-AR0000323"/>
        <s v="DE-AR0000324"/>
        <s v="DE-AR0000325"/>
        <s v="DE-AR0000326"/>
        <s v="DE-AR0000327"/>
        <s v="DE-AR0000328"/>
        <s v="DE-AR0000329"/>
        <s v="DE-AR0000330"/>
        <s v="DE-AR0000331"/>
        <s v="DE-AR0000332"/>
        <s v="DE-AR0000333"/>
        <s v="DE-AR0000334"/>
        <s v="DE-AR0000336"/>
        <s v="DE-AR0000337"/>
        <s v="DE-AR0000338"/>
        <s v="DE-AR0000339"/>
        <s v="DE-AR0000340"/>
        <s v="DE-AR0000344"/>
        <s v="DE-AR0000345"/>
        <s v="DE-AR0000346"/>
        <s v="DE-AR0000347"/>
        <s v="DE-AR0000348"/>
        <s v="DE-AR0000349"/>
        <s v="DE-AR0000350"/>
        <s v="DE-AR0000351"/>
        <s v="DE-AR0000352"/>
        <s v="DE-AR0000353"/>
        <s v="DE-AR0000360"/>
        <s v="DE-AR0000366"/>
        <s v="DE-AR0000368"/>
        <s v="DE-AR0000371"/>
        <s v="DE-AR0000378"/>
        <s v="DE-AR0000379"/>
        <s v="DE-AR0000380"/>
        <s v="DE-AR0000381"/>
        <s v="DE-AR0000382"/>
        <s v="DE-AR0000383"/>
        <s v="DE-AR0000384"/>
        <s v="DE-AR0000386"/>
        <s v="DE-AR0000389"/>
        <s v="DE-AR0000392"/>
        <s v="DE-AR0000393"/>
        <s v="DE-AR0000396"/>
        <s v="DE-AR0000400"/>
        <s v="DE-AR0000402"/>
        <s v="DE-AR0000404"/>
        <s v="DE-AR0000405"/>
        <s v="DE-AR0000406"/>
        <s v="DE-AR0000408"/>
        <s v="DE-AR0000411"/>
        <s v="DE-AR0000412"/>
        <s v="DE-AR0000413"/>
        <s v="DE-AR0000414"/>
        <s v="DE-AR0000417"/>
        <s v="DE-AR0000419"/>
        <s v="DE-AR0000420"/>
        <s v="DE-AR0000421"/>
        <s v="DE-AR0000422"/>
        <s v="DE-AR0000426"/>
        <s v="DE-AR0000428"/>
        <s v="DE-AR0000429"/>
        <s v="DE-AR0000430"/>
        <s v="DE-AR0000431"/>
        <s v="DE-AR0000432"/>
        <s v="DE-AR0000433"/>
        <s v="DE-AR0000435"/>
        <s v="DE-AR0000438"/>
        <s v="DE-AR0000439"/>
        <s v="DE-AR0000442"/>
        <s v="DE-AR0000444"/>
        <s v="DE-AR0000445"/>
        <s v="DE-AR0000446"/>
        <s v="DE-AR0000447"/>
        <s v="DE-AR0000450"/>
        <s v="DE-AR0000451"/>
        <s v="DE-AR0000452"/>
        <s v="DE-AR0000453"/>
        <s v="DE-AR0000454"/>
        <s v="DE-AR0000455"/>
        <s v="DE-AR0000457"/>
        <s v="DE-AR0000459"/>
        <s v="DE-AR0000460"/>
        <s v="DE-AR0000462"/>
        <s v="DE-AR0000463"/>
        <s v="DE-AR0000464"/>
        <s v="DE-AR0000465"/>
        <s v="DE-AR0000466"/>
        <s v="DE-AR0000467"/>
        <s v="DE-AR0000470"/>
        <s v="DE-AR0000471"/>
        <s v="DE-AR0000472"/>
        <s v="DE-AR0000473"/>
        <s v="DE-AR0000474"/>
        <s v="DE-AR0000487"/>
        <s v="DE-AR0000489"/>
        <s v="DE-AR0000490"/>
        <s v="DE-AR0000491"/>
        <s v="DE-AR0000493"/>
        <s v="DE-AR0000494"/>
        <s v="DE-AR0000495"/>
        <s v="DE-AR0000498"/>
        <s v="DE-AR0000499"/>
        <s v="DE-AR0000500"/>
        <s v="DE-AR0000501"/>
        <s v="DE-AR0000502"/>
        <s v="DE-AR0000506"/>
        <s v="DE-AR0000507"/>
        <s v="DE-AR0000514"/>
        <s v="DE-AR0000523"/>
        <s v="DE-AR0000526"/>
        <s v="DE-AR0000527"/>
        <s v="DE-AR0000528"/>
        <s v="DE-AR0000529"/>
        <s v="DE-AR0000530"/>
        <s v="DE-AR0000531"/>
        <s v="DE-AR0000532"/>
        <s v="DE-AR0000533"/>
        <s v="DE-AR0000534"/>
        <s v="DE-AR0000535"/>
        <s v="DE-AR0000536"/>
        <s v="DE-AR0000537"/>
        <s v="DE-AR0000538"/>
        <s v="DE-AR0000539"/>
        <s v="DE-AR0000540"/>
        <s v="DE-AR0000541"/>
        <s v="DE-AR0000542"/>
        <s v="DE-AR0000543"/>
        <s v="DE-AR0000544"/>
        <s v="DE-AR0000546"/>
        <s v="DE-AR0000547"/>
        <s v="DE-AR0000556"/>
        <s v="DE-AR0000563"/>
        <s v="DE-AR0000571"/>
        <s v="DE-AR0000573"/>
        <s v="DE-AR0000575"/>
        <s v="DE-AR0000576"/>
        <s v="DE-AR0000577"/>
        <s v="DE-AR0000578"/>
        <s v="DE-AR0000580"/>
        <s v="DE-AR0000581"/>
        <s v="DE-AR0000582"/>
        <s v="DE-AR0000583"/>
        <s v="DE-AR0000584"/>
        <s v="DE-AR0000585"/>
        <s v="DE-AR0000593"/>
        <s v="DE-AR0000594"/>
        <s v="DE-AR0000595"/>
        <s v="DE-AR0000598"/>
        <s v="DE-AR0000600"/>
        <s v="DE-AR0000603"/>
        <s v="DE-AR0000604"/>
        <s v="DE-AR0000608"/>
        <s v="DE-AR0000611"/>
        <s v="DE-AR0000612"/>
        <s v="DE-AR0000615"/>
        <s v="DE-AR0000616"/>
        <s v="DE-AR0000618"/>
        <s v="DE-AR0000621"/>
        <s v="DE-AR0000625"/>
        <s v="DE-AR0000626"/>
        <s v="DE-AR0000627"/>
        <s v="DE-AR0000631"/>
        <s v="DE-AR0000633"/>
        <s v="DE-AR0000646"/>
        <s v="DE-AR0000647"/>
        <s v="DE-AR0000648"/>
        <s v="DE-AR0000650"/>
        <s v="DE-AR0000653"/>
        <s v="DE-AR0000654"/>
        <s v="DE-AR0000655"/>
        <s v="DE-AR0000657"/>
        <s v="DE-AR0000658"/>
        <s v="DE-AR0000660"/>
        <s v="DE-AR0000664"/>
        <s v="DE-AR0000665"/>
        <s v="DE-AR0000667"/>
        <s v="DE-AR0000668"/>
        <s v="DE-AR0000671"/>
        <s v="DE-AR0000672"/>
        <s v="DE-AR0000674"/>
        <s v="DE-AR0000676"/>
        <s v="DE-AR0000677"/>
        <s v="DE-AR0000679"/>
        <s v="DE-AR0000681"/>
        <s v="DE-AR0000683"/>
        <s v="DE-AR0000684"/>
        <s v="DE-AR0000685"/>
        <s v="DE-AR0000691"/>
        <s v="DE-AR0000693"/>
        <s v="DE-AR0000694"/>
        <s v="DE-AR0000696"/>
        <s v="DE-AR0000697"/>
        <s v="DE-AR0000698"/>
        <s v="DE-AR0000700"/>
        <s v="DE-AR0000701"/>
        <s v="DE-AR0000703"/>
        <s v="DE-AR0000706"/>
        <s v="DE-AR0000708"/>
        <s v="DE-AR0000725"/>
        <s v="DE-AR0000729"/>
        <s v="DE-AR0000734"/>
        <s v="DE-AR0000736"/>
        <s v="DE-AR0000737"/>
        <s v="DE-AR0000738"/>
        <s v="DE-AR0000743"/>
        <s v="DE-AR0000744"/>
        <s v="DE-AR0000745"/>
        <s v="DE-AR0000750"/>
        <s v="DE-AR0000751"/>
        <s v="DE-AR0000754"/>
        <s v="DE-AR0000759"/>
        <s v="DE-AR0000761"/>
        <s v="DE-AR0000762"/>
        <s v="DE-AR0000766"/>
        <s v="DE-AR0000767"/>
        <s v="DE-AR0000768"/>
        <s v="DE-AR0000769"/>
        <s v="DE-AR0000771"/>
        <s v="DE-AR0000772"/>
        <s v="DE-AR0000773"/>
        <s v="DE-AR0000776"/>
        <s v="DE-AR0000777"/>
        <s v="DE-AR0000779"/>
        <s v="DE-AR0000781"/>
        <s v="DE-AR0000784"/>
        <s v="DE-AR0000785"/>
        <s v="DE-AR0000788"/>
        <s v="DE-AR0000790"/>
        <s v="DE-AR0000791"/>
        <s v="DE-AR0000793"/>
        <s v="DE-AR0000794"/>
        <s v="DE-AR0000795"/>
        <s v="DE-AR0000801"/>
        <s v="DE-AR0000804"/>
        <s v="DE-AR0000806"/>
        <s v="DE-AR0000807"/>
        <s v="DE-AR0000809"/>
        <s v="DE-AR0000811"/>
        <s v="DE-AR0000816"/>
        <s v="DE-AR0000819"/>
        <s v="DE-AR0000824"/>
        <s v="DE-AR0000826"/>
        <s v="DE-AR0000830"/>
        <s v="DE-AR0000831"/>
        <s v="DE-AR0000837"/>
        <s v="DE-AR0000843"/>
        <s v="DE-AR0000845"/>
        <s v="DE-AR0000847"/>
        <s v="DE-AR0000848"/>
        <s v="DE-AR0000849"/>
        <s v="DE-AR0000850"/>
        <s v="DE-AR0000855"/>
        <s v="DE-AR0000866"/>
        <s v="DE-AR0000868"/>
        <s v="DE-AR0000869"/>
        <s v="DE-AR0000871"/>
        <s v="DE-AR0000874"/>
        <s v="DE-AR0000881"/>
        <s v="DE-AR0000884"/>
        <s v="DE-AR0000886"/>
        <s v="DE-AR0000888"/>
        <s v="DE-AR0000889"/>
        <s v="DE-AR0000890"/>
        <s v="DE-AR0000891"/>
        <s v="DE-AR0000893"/>
        <s v="DE-AR0000896"/>
        <s v="DE-AR0000897"/>
        <s v="DE-AR0000906"/>
        <s v="DE-AR0000912"/>
        <s v="DE-AR0000924"/>
        <s v="DE-AR0000931"/>
        <s v="DE-AR0000942"/>
        <s v="DE-AR0000944"/>
        <s v="DE-AR0000945"/>
        <s v="DE-AR0000947"/>
        <s v="DE-AR0000949"/>
        <s v="DE-AR0000950"/>
        <s v="DE-AR0000952"/>
        <s v="DE-AR0000956"/>
        <s v="DE-AR0000964"/>
        <s v="DE-AR0000991"/>
        <s v="DE-AR0001000"/>
        <s v="DE-AR0001042"/>
        <s v="DE-AR0001056"/>
      </sharedItems>
    </cacheField>
    <cacheField name="Contractor Name" numFmtId="0">
      <sharedItems containsBlank="1" count="289">
        <s v="MICHIGAN STATE UNIVERSITY - (MICHIGAN S)"/>
        <s v="EXELUS, INC. - (EXELUS)"/>
        <s v="E. I. DU PONT - (E. I. DU PONT)"/>
        <s v="DU PONT - (DU PONT)"/>
        <s v="BIOCEE, INC. - (BIOCEE)"/>
        <s v="UNIVERSITY OF SOUTHERN CALIFORNIA - (U OF CA SC)"/>
        <s v="UNIVERSITY OF DELAWARE - (UNIV. OF D)"/>
        <s v="IOWA STATE UNIVERSITY  - (IOWA STATE)"/>
        <s v="ARIZONA STATE UNIVERSITY - (ARIZONA ST)"/>
        <s v="ARIZONA STATE UNIVERSITY-TEMPE CAMPUS - (ARIZONASTATEUTEMPE)"/>
        <s v="ARIZONA TECHNOLOGY ENTERPRISES - (AZTE)"/>
        <s v="NORTH CAROLINA STATE UNIVERSITY - (NCSTU)"/>
        <s v="FLODESIGN WIND TURBINE CORP. - (FLODESIGNW)"/>
        <s v="INTERNATIONAL RECTIFIER CORP. - (INTERNATIONALRECTIFIER)"/>
        <s v="ADVANCED RESEARCH PROJECTS - (ADVANCED RESEARCH)"/>
        <s v="BERKELEY NATIONAL LABORATORY - (STANFORD U)"/>
        <s v="ITN ENERGY SYSTEMS, INC. - (ITNENERGY)"/>
        <s v="SORAA, INC. - (SORAA)"/>
        <s v="RESEARCH TRIANGLE INSTITUTE - (RESEARCH T)"/>
        <s v="KOHANA TECHNOLOGIES INC. - (KOH)"/>
        <s v="GEORGIA INSTITUTE OF TECHNOLOGY - (GEORGIA IN)"/>
        <s v="NALCO CHEMICAL CORPORATIO - (CN0179)"/>
        <s v="PORIFERA, INC. - (PORIFERA)"/>
        <s v="LEHIGH UNIVERSITY - (LEHIGH UNI)"/>
        <s v="CALIFORNIA INSTITUTE OF TECHNOLOGY - (CALIFINSTI)"/>
        <s v="PHONONIC DEVICES, INC. - (PHONONIC)"/>
        <s v="ENVIA SYSTEMS, INC. - (ENVIA)"/>
        <s v="FASTCAP SYSTEMS, CORP. - (FASTCAP)"/>
        <s v="SUN CATALYTIX CORPORATION - (SUN CATALYTIX)"/>
        <s v="HARVARD UNIVERSITY - (HARVARD UN)"/>
        <s v="ALGEVENTURE SYSTEMS - (ALGAEVEN)"/>
        <s v="FLUIDIC, INC. - (FLUIDIC)"/>
        <s v="GM GLOBAL TECHNOLOGY OPERATIONS, LLC - (GMGLO)"/>
        <s v="UNIVERSITY OF ILLINOIS URBANA-CHAMPAIGN - (UNVILLURB)"/>
        <s v="AGRIVIDA, INC. - (AGRIVIDA)"/>
        <s v="FORO ENERGY, INC. - (FOROENERGY)"/>
        <s v="EAGLE-PICHER INDUSTRIE - (CN0241)"/>
        <s v="MASSACHUSETTS INSTITUTE OF TECHNOLOGY (MIT) - (MASS. INST)"/>
        <s v="MASSACHUSETTS INST. OF TECH - (CN0268)"/>
        <s v="COLUMBIA TECHNOLOGY VENTURES - (COLUMBIA TECH)"/>
        <s v="COLUMBIA UNIVERSITY OF NEW YORK AT MORNINGSIDE - (COLUMBIAUNIV)"/>
        <s v="POLYPLUS BATTERY COMPANY - (POLY)"/>
        <s v="PELLION TECHONOLOGIES - (PELLION)"/>
        <s v="Applied Materials, Inc. - (APPLIEDMAT)"/>
        <s v="UNIVERSITY OF MISSOURI-COLUMBIA - (UNIVMIS-CO)"/>
        <s v="SION POWER CORPORATION - (SIONPOWE)"/>
        <s v="RECAPPING, INC. - (RECAPPING)"/>
        <s v="CODEXIS, INC. - (CODEXIS)"/>
        <s v="UNIVERSITY OF KENTUCKY - (U OF KENTU)"/>
        <s v="TEXAS A&amp;M UNIVERSITY SYSTEM - (TEXAS A&amp;M UNIVERSITY SYSTEM)"/>
        <s v="ALLIANT TECHSYSTEMS INC. - (ALLIANTTE)"/>
        <s v="NORTH CAROLINA STATE UNIVERSITY AT RALEIGH - (NCSUATRALEIGH)"/>
        <s v="UNIVERSITY OF GEORGIA - (UNIV OF G)"/>
        <s v="GE GLOBAL RESEARCH - (GEGLOBAL)"/>
        <s v="UNIVERSITY OF CALIFORNIA, LOS ANGELES - (UCLA)"/>
        <s v="UNIVERSITY OF CALIFORNIA SAN DIEGO - (UNIV OF CALIFORNIA)"/>
        <s v="UNIVERSITY OF CALIFORNIA, LOS ALAMOS - (UNIVOFCALI)"/>
        <s v="UNIVERSITY OF MASSACHUSETTS AMHERST - (UVMASAH)"/>
        <s v="UNIVERSITY OF MASSACHUSETTS - (UNIV. OF M)"/>
        <s v="OPXBIO GOOD CHEMISTRY - (OPXBIO)"/>
        <s v="OPX BIOTECHNOLOGIES, INC. - (OPX BIO)"/>
        <s v="CLEMSON UNIVERSITY - (CLEMSON UN)"/>
        <s v="MEDICAL UNIVERSITY OF SOUTH CAROLINA - (MUSC)"/>
        <s v="GINKGO BIOWORKS, INC. - (GINKGO)"/>
        <s v="AYAR LABS, INC. - (AYA)"/>
        <s v="UNIVERSITY OF NOTRE DAME - (UNIVEOFNOT)"/>
        <s v="BATTELLE MEMORIAL INSTITUTE - (BATTELLE M)"/>
        <s v="BATTELL - (CN0326)"/>
        <s v="UNIVERSITY OF COLORADO - (UNIVCOLO)"/>
        <s v="SUSTAINABLE ENERGY SOLUTIONS, LLC - (SUSTAINABLEENER)"/>
        <s v="24M THECHNOLOGIES, INC. - (24M)"/>
        <s v="WILDCAT DISCOVERY TECHNOLOGIES - (WILDCAT DISC)"/>
        <s v="UNIVERSITY OF GEORGIA RESEARCH FOUNDATION - (UNIV OF GA RESEARCH)"/>
        <s v="UNIVERSITY OF FLORIDA - (UNIVEOFFLO)"/>
        <s v="VIRGINIA TECH. INTELLECTUAL PROPERTIES, INC. - (VATECHIP)"/>
        <s v="GEORGIA INSTITUTE OF TECH. - (GEORGINSTI)"/>
        <s v="CREE, INC. - (CREE)"/>
        <s v="UNIVERSITY OF ARKANSAS AT FAYETTEVILLE - (UOFARKATFAY)"/>
        <s v="CREE, INC - (CN0083)"/>
        <s v="TELEDYNE SCIENTIFIC &amp; IMAGING - (TELEDYNE)"/>
        <s v="CITY COLLEGE OF NEW YORK - (CITY COLLE)"/>
        <s v="NORTH CAROLINA STATE UNIVERSITY RALEIGH - (NORTH CAR STATE)"/>
        <s v="TRANSPHORM, INC. - (TRANS)"/>
        <s v="FEASIBLE, INC. - (FEASIBLE)"/>
        <s v="NOVOPACK APS - (NOVO)"/>
        <s v="HRL LABORATORIES, LLC - (CN0102)"/>
        <s v="GENERAL ELECTRIC GLOBAL RESEARCH CTR - (GENER)"/>
        <s v="MAKANI POWER, INC. - (MAKA)"/>
        <s v="DARTMOUTH COLLEGE - (DARTMCOLLE)"/>
        <s v="GENERAL ATOMICS - (CN0031)"/>
        <s v="SHEETAK, INC. - (SHEE)"/>
        <s v="ASTRONAUTICS CORPORATION OF AMERICA - (ASTRCORAME)"/>
        <s v="PENNSYLVANIA STATE UNIVERSITY - (PENNSSTATE)"/>
        <s v="UNIV OF MARYLAND, COLLEGE PARK - (UNVOFMAR)"/>
        <s v="UNIVERSITY OF MARYLAND - (UNIVEOFMAR)"/>
        <s v="ROBERT BOSCH, LLC - (ROBBOSC H)"/>
        <s v="KAMPACHI FARMS, LLC - (KAMPACHI)"/>
        <s v="UCLA - (UCLAOPI)"/>
        <s v="ABB, INC - (ABB)"/>
        <s v="BROOKHAVEN NATIONAL LABORATORY - (BNL)"/>
        <s v="UNIVERSITY OF HOUSTON - (UNIVEOFHOU)"/>
        <s v="PRIMUS POWER - (PRIPOWE)"/>
        <s v="UNITED TECHNOLOGIES RESEARCH CENTER - (UNITETECHR)"/>
        <s v="3M INNOVATIVE PROPERTIES - (3MIP)"/>
        <s v="RESEARCH FOUNDATION OF CUNY/CITY COLLEGE - (RESFOUCUNCOLLEGE)"/>
        <s v="BOEING COMPANY - (BOEINCOMPA)"/>
        <s v="BEACON POWER LLC - (BEACONPOWERLLC)"/>
        <s v="AMHERST COLLEGE - (AMHECOL)"/>
        <s v="NAVITASMAX, INC. - (NAVITASMAX)"/>
        <s v="ABENGOA SOLAR, LLC - (ABSOL)"/>
        <s v="UNIVERSITY OF UTAH - (UNIVEOFUTA)"/>
        <s v="Utah State - (UTAH STATE)"/>
        <s v="HALOTECHNICS, INC. - (HALOTECHNICS)"/>
        <s v="UNIVERSITY OF SOUTH FLORIDA - (UNIVERSITYOFSOUTHFLORIDA)"/>
        <s v="UNIVERSITY OF TEXAS - (THE UNIVER)"/>
        <s v="UNIVERSITY OF MINNESOTA - (UNIVEOFMIN)"/>
        <s v="GENERAL MOTOR - (CN0155)"/>
        <s v="AMERICAN LITHIUM ENERGY CORPORATION - (ALEC)"/>
        <s v="UNIVERSITY OF ALABAMA - (UNIVEOFALA)"/>
        <s v="AMERICAN SUPERCONDUCTOR CORPORATION - (AMERICAN S)"/>
        <s v="BALDOR ELECTRIC CO. - (BALDORE)"/>
        <s v="VIRGINIA COMMONWEALTH UNIVERSITY - (VACUNIV)"/>
        <s v="VIRGINIA COMOMMONWEALTH UNIVERSITY - (VIRGINIA C)"/>
        <s v="CASE WESTERN RESERVE UNIV. - (CASEWESTER)"/>
        <s v="UNIVERSITY OF KANSAS LAWRENCE - (UNIVKALA)"/>
        <s v="UNIVERSITY OF KANSAS - (UNIV. OF K)"/>
        <s v="NEW MEXICO CONSORTIUM, INC. - (MEXCON)"/>
        <s v="DONALD DANFORTH PLANT SCIENCE CENTER - (DONDANPLANT)"/>
        <s v="TEXAS A&amp;M AGRILIFE RESEARCH - (A&amp;MAGRI)"/>
        <s v="BROOKHAVEN SCIENCE ASSOCIATES - (BSA)"/>
        <s v="UNIVERSITY OF NEBRASKA - (NEBRASKA)"/>
        <s v="UNIVERSITY OF ILLINOIS, URBANA-CHAMPLAIN - (ULUC)"/>
        <s v="CHROMATIN, INC. - (CHROMATIN)"/>
        <s v="UNIVERSITY OF TEXAS AT DALLAS - (UTXD)"/>
        <s v="VIRGINIA POLYTECHNIC INSTITUTE - (VIRGINIA P)"/>
        <s v="CARNEGIE MELLON UNIVERSITY - (CARNEGIE M)"/>
        <s v="CARNEGIE-MELLON UNIVERSITY - (CARNEUNIVE)"/>
        <s v="REL., INC. - (RELIN)"/>
        <s v="RENSSELAER POLYTECHNIC INSTITUTE - (RENSSELAER)"/>
        <s v="VARENTEC, INC. - (VARIN)"/>
        <s v="GE GLOBAL RESEARCH - (CN0169)"/>
        <s v="GENERAL ATOMIC - (GENERAL AT)"/>
        <s v="AUTOGRID SYSTEMS, INC - (AUTOGRID)"/>
        <s v="UNIVERSITY OF SOUTH CAROLINA - (UNIV. OF S)"/>
        <s v="GAS TECHNOLOGY INSTITUTE - (GASTECHINST)"/>
        <s v="TANDEM PV, INC. - (TAN PV)"/>
        <s v="TEXAS A&amp;M UNIVERSITY - (TEXAS A &amp;)"/>
        <s v="SRI INTERNATIONAL - (SRI)"/>
        <s v="FORD MOTOR COMPANY - (FORD MOTOR)"/>
        <s v="OTHER LAB - (OTHERLAB)"/>
        <s v="GENERAL ELECTRIC COMPANY - (GE)"/>
        <s v="EATON CORPORATION - (EATON)"/>
        <s v="OREGON STATE UNIVERSITY - (OREGON STA)"/>
        <s v="ITN ENERGY SYSTEMS, INC. - (ITNE)"/>
        <s v="ENERGY STORAGE SYSTEMS, INC. - (ENEGYSTOSYS)"/>
        <s v="ESS TECH, INC. - (ESS TECH)"/>
        <s v="NORTHEASTERN UNIVERSITY - (NORTHEASTE)"/>
        <s v="MATERIALS &amp; SYSTEMS RESEARCH INC. - (MASYRE)"/>
        <s v="ARBIN - (ARBIN)"/>
        <s v="UNIVERSITY OF MICHIGAN - (UNIVEOFMIC)"/>
        <s v="FARASIS ENERGY, INC. - (FARAS)"/>
        <s v="Palo Alto Research Center - (PARC)"/>
        <s v="WASHINGTON UNIVERSITY - (WASHIUNIVE)"/>
        <s v="SOUTHWEST RESEARCH INSTITUTE - (SOUTHRESEA)"/>
        <s v="PRATT &amp; WHITNEY - (PRATT &amp; WH)"/>
        <s v="UNIVERSITY OF PITTSBURGH - (UNIVEOFPIT)"/>
        <s v="GE POWER AND WATER - (GEPAW)"/>
        <s v="GE POWER SYSTEM - (CN0082)"/>
        <s v="TEXAS ENGINEERING EXPERIMENT STATION - (TEXENG)"/>
        <s v="SHARP LABORATORIES OF AMERICA, INC. - (SHARP)"/>
        <s v="SHARP LABORATORIES OF AMERICA - (SHARPLAB)"/>
        <s v="ALVEO ENERGY - (ALVE)"/>
        <s v="RENSSELAER POLYTECHNIC INST - (CN0312)"/>
        <s v="INTEGRAL CONSULTING INC. - (INTEGRALCONSULTINGINC)"/>
        <s v="DELAVAN, INC. - (DEL)"/>
        <s v="UNIVERSITY OF NORTH DAKOTA - (UNIVEOFNOR)"/>
        <s v="CORNELL UNIVERSITY - (CORNELL UN)"/>
        <s v="COLORADO SCHOOL OF MINES - (COLORADO MINES)"/>
        <s v="KYMA TECHNOLOGIES, INC. - (KYMA TECH)"/>
        <s v="SPARK THERMIONICS, INC. - (SPARK)"/>
        <s v="BROWN UNIVERSITY - (BROWN UNIV)"/>
        <s v="PRINCETON UNIVERSIT - (CN0536)"/>
        <s v="SUNFOLDING, INC. - (PRINCETON)"/>
        <s v="UW-MADISON - (UW-MADISON)"/>
        <s v="ELECTRON ENERGY CORP. - (ELEENCO)"/>
        <s v="BIO2 ELECTRIC, LLC - (BIO2 )"/>
        <s v="CERAMATEC INC. - (CERMAT)"/>
        <s v="UNIVERSITY OF WISCONSIN - MADISON - (UWIM)"/>
        <s v="INDOOR REALITY, INC. - (INDOOR)"/>
        <s v="GLINT PHOTONICS, INC. - (GLINTPO)"/>
        <s v="HELIOTROPE TECHNOLOGIES, INC. - (HELIO)"/>
        <m/>
        <s v="TAI-YANG RESEARCH COMPANY - (TAI-YANGRESCHCO)"/>
        <s v="PURDUE UNIVERSITY - (PURDUE UNI)"/>
        <s v="DOOSAN GRIDTECH, INC. - (DOOSAN)"/>
        <s v="OREGON STATE UNIVERSITY - (OSU)"/>
        <s v="UNIVERSITY OF CALIFORNIA SANTA BARBARA - (UNIVERSITYOFCALSABA)"/>
        <s v="DIOXIDE MATERIALS INC - (DIOXIDEMATERIALS)"/>
        <s v="UNIVERSITY OF NEVADA - (UNV)"/>
        <s v="HARVARD SCHOOL OF ENGINEERING AND APPLIED SCIENCES - (HARVARDSCHOOLOFENGINEERING)"/>
        <s v="UNIVERSITY OF WASHINGTON - (UNIVEOFWAS)"/>
        <s v="JET PROPULSION LABORATORY - (JTPRLAB)"/>
        <s v="NANOSD, INC. - (NANOSD)"/>
        <s v="DAIS ANALYTIC CORPORATION - (DAIS)"/>
        <s v="OPUS 12, INC. - (OPU)"/>
        <s v="BETTERGY CORP. - (BETT)"/>
        <s v="BASF CORPORATION - (BASF CORPO)"/>
        <s v="CADENZA INNOVATION, LLC - (CADINN)"/>
        <s v="ALCO , INC. - (ALCOIN)"/>
        <s v="LELAND STANFORD JR. UNIVERSITY - (LELAND STANFORD JR.)"/>
        <s v="ALCOA PRODUCTS, INC. - (ALCO PRODU)"/>
        <s v="INFINIUM, INC. - (INFIN)"/>
        <s v="PHINIX, LLC - (PHINX)"/>
        <s v="ENERGY RESEARCH - (ENERGRESEA)"/>
        <s v="VALPARAISON UNIVERSITY - (VALP)"/>
        <s v="UHV TECHNOLOGIES, INC. - (UHV)"/>
        <s v="AUBURN UNIVERSITY - (AUBURN UNI)"/>
        <s v="UNIVERSITY OF CALIFORNIA SYS OFFICE/PRES - (UNCAL)"/>
        <s v="UNIVERSITY OF CALIFORNIA, DAVIS - (UCD)"/>
        <s v="TUFTS UNIVERSITY - (TUFTS UNIV)"/>
        <s v="NORTHWESTERN UNIVERSITY - (NORTHUNIVE)"/>
        <s v="LANZATECH, INC. - (LAN)"/>
        <s v="MONOLITH SEMICONDUCTOR INC. - (MONOLITH)"/>
        <s v="SIXPOINT MATERIALS, INC. - (SIXPOINT)"/>
        <s v="MICROLINK DEVICES - (MICROLINKDEVICES)"/>
        <s v="IBEAM MATERIALS, INC. - (IBEAM)"/>
        <s v="COLUMBIA UNIVERSITY - (COLUMBIA)"/>
        <s v="MOGENE GREEN CHEMICALS, LLC - (MOGGR)"/>
        <s v="BLACKPAK, INC. - (BCKP)"/>
        <s v="UNIVERSITY OF TULSA - (UNIVOFTUL)"/>
        <s v="SHARP LABORATORIES OF AMERICA - (SHALAB)"/>
        <s v="UNIVERSITY OF ARIZONA - (UNIVEOFARI)"/>
        <s v="NORTHROP GRUMMAN SYSTEMS CORPORATIONS - (NORTHR)"/>
        <s v="TULANE UNIVERSITY - (TULANEU)"/>
        <s v="UNIVERSITY OF TEXAS, AUSTIN - (UNTEAU)"/>
        <s v="ONBOARD DYNAMICS, INC. - (ONBOA)"/>
        <s v="SIENERGY SYSTEMS, LLC - (SIENSYS)"/>
        <s v="HELION ENERGY,  INC. - (HELION)"/>
        <s v="REDOX POWER SYSTEMS, LLC - (REDOX)"/>
        <s v="SAFECELL, INC. - (SAFE)"/>
        <s v="TENNESSEE, UNIVERSITY O - (CN0489)"/>
        <s v="SYRACUSE UNIVERSITY - (SYRACUNIVE)"/>
        <s v="UNIV OF MARYLAND, COLLEGE PARK - (UNIVOFMD)"/>
        <s v="STATE UNIVERSITY NEW YORK STONY BROOK - (NEWYOST)"/>
        <s v="AXALUME, INC - (AXALUM)"/>
        <s v="LI-COR BIOSCIENCES, INC. - (LI-COR)"/>
        <s v="PRAEVIUM RESEARCH, INC. - (PRAVI)"/>
        <s v="RICE UNIVERSITY - (RICE UNIV)"/>
        <s v="IBM THOMAS J. WASTON RESEARCH CENTER - (IBM THOMAS)"/>
        <s v="INTERNATIONAL BUSINESS MACHINES (IBM) - (IBM)"/>
        <s v="REBELLION PHOTONICS, INC. - (REBELL)"/>
        <s v="C.A. GOUDEY &amp; ASSOCIATES - (CA GOUDEY)"/>
        <s v="DUKE UNIVERSITY - (DUKE UNIVE)"/>
        <s v="MAXION TECHNOLOGIES, INC. - (MAXIONTECH)"/>
        <s v="TDA RESEARCH, INC. - (TDA RESEAR)"/>
        <s v="ADVANCED COOLING TECHNOLOGIES, INC. - (ADVAN)"/>
        <s v="PRECISION COMBUSTION, INC. - (PCI)"/>
        <s v="SUNPOWER, INC. - (SUNPOINC)"/>
        <s v="WEST VIRGINIA UNIVERSITY - (WEST VIRGI)"/>
        <s v="JOHNS HOPKINS UNIVERSITY - (JOHNS HOPK)"/>
        <s v="COLORADO STATE UNIVERSITY - (COLORADO UNIV)"/>
        <s v="UNIVERSITY OF ROCHESTER - (UNIVEOFROC)"/>
        <s v="Sencera Energy Inc. - (Sencera)"/>
        <s v="UNIVERESITY OF ROCHESTER - (MOLECULE)"/>
        <s v="CUMMINS, INC - (CUMM)"/>
        <s v="ACHATES POWER, INC. - (UNVOFCALBER)"/>
        <s v="OCEAN RENEWABLE POWER COMPANY - (ORPC)"/>
        <s v="UNIVERSITY OF TENNESSEE SYSTEM - (UNIVTEN)"/>
        <s v="DOD/DARPA - (DOD)"/>
        <s v="UNIVERSITY OF VIRGINIA - (UNIVEOFVIR)"/>
        <s v="TIBBAR PLASMA TECHNOLOGIES, INC. - (TIBB)"/>
        <s v="STARFIRE ENERGY, LLC - (STARENG)"/>
        <s v="STARFIREENERGY, LLC - (STARFIRE)"/>
        <s v="BOSTON ELECTROMETALLURICAL CORP. - (BOSTELEC)"/>
        <s v="UNIVERSITY OF VERMONT - (UNIVVERM)"/>
        <s v="NATIONAL RENEWABLE ENERGY LAB - (NRELAB)"/>
        <s v="SAINT-GOBAIN/NORTON IND. CERAMICS - (SGNI)"/>
        <s v="3M COMPANY - (3M)"/>
        <s v="SILA NANOTECHNOLOGIES, INC. - (SILA)"/>
        <s v="MICHIGAN TECHNOLOGICAL UNIVERSITY - (MICHIGAN T)"/>
        <s v="CUMMINS, INC. - (CN0168)"/>
        <s v="CUMMINS, INC. D/B/A/CUMMINS TECHNICAL CENTER - (CUMTECH)"/>
        <s v="UNIVERSITY OF NEW MEXICO - (UNM)"/>
        <s v="YALE UNIVERSITY - (YALE UNIVE)"/>
        <s v="NEW YORK UNIVERSITY - (NEW YORK U)"/>
        <s v="ILLINOIS INSTITUTE OF TECHNOLOGY - (ILLINOIS I)"/>
        <s v="C. A. GOUDEY &amp; ASSOCIATES - (CA GO)"/>
        <s v="BOSTON UNIVERSITY - (BOSTON UNI)"/>
        <s v="NEXTECH MATERIALS, LTD. - (NEXTECH)"/>
      </sharedItems>
    </cacheField>
    <cacheField name="Title" numFmtId="0">
      <sharedItems containsBlank="1"/>
    </cacheField>
    <cacheField name="Application Number" numFmtId="0">
      <sharedItems containsBlank="1" count="1353">
        <s v="13/969900"/>
        <m/>
        <s v="13/200723"/>
        <s v="14/045506"/>
        <s v="14/840676"/>
        <s v="14/840649"/>
        <s v="13/428585"/>
        <s v="14/207823"/>
        <s v="13/891963"/>
        <s v="13/560147 "/>
        <s v="61/467261"/>
        <s v="61/472474"/>
        <s v="61/305333"/>
        <s v="13/153866"/>
        <s v="61/467249"/>
        <s v="PCT/US12/48737"/>
        <s v="14/357767"/>
        <s v="13/918452"/>
        <s v="13/918444"/>
        <s v="14/351116"/>
        <s v="61/736632"/>
        <s v="61/527393"/>
        <s v="13/898241"/>
        <s v="13/805733"/>
        <s v="PCT/US2011/042821"/>
        <s v="12/574208"/>
        <s v="12/845827"/>
        <s v="61/392798"/>
        <s v="13/604517"/>
        <s v="13/397190"/>
        <s v="13/750986"/>
        <s v="13/405180"/>
        <s v="13/941335"/>
        <s v="14/750262"/>
        <s v="13/749477"/>
        <s v="13/883795"/>
        <s v=" 14/116627  "/>
        <s v="14/567615"/>
        <s v="13/544391"/>
        <s v="13/758468 "/>
        <s v="13/717364"/>
        <s v="13/758387"/>
        <s v="14/089281"/>
        <s v="14/485516"/>
        <s v="13/812757"/>
        <s v="15/011266"/>
        <s v="16/023137"/>
        <s v="PCT/US2011/045708"/>
        <s v=" 14/649540"/>
        <s v="14/382822"/>
        <s v="13/400014"/>
        <s v="13/185459"/>
        <s v="13/654057"/>
        <s v="13/428843"/>
        <s v="14/112666"/>
        <s v="13/547006"/>
        <s v="13/404548"/>
        <s v="13/416246"/>
        <s v="12/938951"/>
        <s v="13/354096"/>
        <s v="13/108708"/>
        <s v="13/491593"/>
        <s v="13/588452"/>
        <s v="13/776603"/>
        <s v="13/587037"/>
        <s v="13/553716"/>
        <s v="61/739663"/>
        <s v="61/919692"/>
        <s v="13/886177"/>
        <s v="61/557005"/>
        <s v="61/602775"/>
        <s v="61/692790"/>
        <s v="61/808153"/>
        <s v="61/925740"/>
        <s v="14/131666"/>
        <s v="14/679393"/>
        <s v="13/452258"/>
        <s v="14/951339"/>
        <s v="13/269173 "/>
        <s v="13/526342"/>
        <s v="13/085714"/>
        <s v="12/776962"/>
        <s v="13653830"/>
        <s v="13/105794"/>
        <s v="13/448923"/>
        <s v="14/044813"/>
        <s v="13/526058"/>
        <s v="14/862376"/>
        <s v="16/455185"/>
        <s v="PCT/US2011/036151"/>
        <s v="13/229444"/>
        <s v="13/526432"/>
        <s v="13/340886"/>
        <s v="13/340955"/>
        <s v="13/340964"/>
        <s v="13/340897"/>
        <s v="61/447321"/>
        <s v="61/447317"/>
        <s v="61/447315"/>
        <s v="61/447306"/>
        <s v="61/447328"/>
        <s v="62/056852"/>
        <s v="13/508234"/>
        <s v="13/414627"/>
        <s v="13/782942"/>
        <s v="13/403692"/>
        <s v="13/486795"/>
        <s v="12/840978"/>
        <s v="13/403509"/>
        <s v="13/403615"/>
        <s v="13/403723"/>
        <s v="13/403287"/>
        <s v="12/706576"/>
        <s v="13/852719"/>
        <s v="13/768149"/>
        <s v="13/777650"/>
        <s v="13/210581"/>
        <s v="12/896021"/>
        <s v="14/057567"/>
        <s v="12/543968"/>
        <s v="12/543986"/>
        <s v="12/544038"/>
        <s v="12/544136"/>
        <s v="14/104395"/>
        <s v="14/335627"/>
        <s v="12/544094"/>
        <s v="13/800559"/>
        <s v="13/800820"/>
        <s v="13/800879"/>
        <s v="13/800933"/>
        <s v="61/605413"/>
        <s v="61/639960"/>
        <s v="61/605401"/>
        <s v="13/403132"/>
        <s v="61/605429"/>
        <s v="61/605434"/>
        <s v="13/403741"/>
        <s v="61/446312"/>
        <s v="61/446407"/>
        <s v="61/446041"/>
        <s v="61/446043"/>
        <s v="61/374594"/>
        <s v="61/247796"/>
        <s v="61/786763"/>
        <s v="61/446042"/>
        <s v="61/493174"/>
        <s v="13/222931"/>
        <s v="13/211729"/>
        <s v="61/446040"/>
        <s v="61/734809"/>
        <s v="12/696669"/>
        <s v="13/237215"/>
        <s v="14/526897"/>
        <s v="13/548347"/>
        <s v="14/208218"/>
        <s v="14/202396"/>
        <s v="14/045967"/>
        <s v="16/193405"/>
        <s v="PCT/US2011/052316"/>
        <s v="14/678602"/>
        <s v="PCT/US2013/063472"/>
        <s v="14/968381"/>
        <s v="14/199714"/>
        <s v="13/656086"/>
        <s v="14/864493"/>
        <s v="13/923607"/>
        <s v="14/547304"/>
        <s v="14/817489"/>
        <s v="13/774212"/>
        <s v="15/837807"/>
        <s v="PCT/US2013/027351"/>
        <s v="PCT/US2013/047042"/>
        <s v="PCT/US2012/061101"/>
        <s v="16/004670"/>
        <s v="PCT/US2016/050369"/>
        <s v="15/248426"/>
        <s v="13/823419"/>
        <s v="PCT/US2011/032317"/>
        <s v="PCT/US2013/026339"/>
        <s v="14/377223"/>
        <s v="13/650824"/>
        <s v="62/028043"/>
        <s v="62/015890"/>
        <s v="13/475324"/>
        <s v="13/676487"/>
        <s v="PCT/US2012/065251"/>
        <s v="13/525128"/>
        <s v="13/588911"/>
        <s v="13/289889"/>
        <s v="15/956221"/>
        <s v="15/499790"/>
        <s v="13/440847"/>
        <s v="13/794440"/>
        <s v="13/794508"/>
        <s v="13/803456"/>
        <s v="13/794551"/>
        <s v="13/803321"/>
        <s v="PCT/US13/31140"/>
        <s v="14/143898"/>
        <s v="13/803382"/>
        <s v="13/402724"/>
        <s v="61/788134"/>
        <s v="12/953143"/>
        <s v="PCT/US10/58215"/>
        <s v="13/717076"/>
        <s v="61/562101"/>
        <s v="12/895483"/>
        <s v="13/532616"/>
        <s v="13/224709"/>
        <s v="14/172648"/>
        <s v="13/212607"/>
        <s v="14/556330"/>
        <s v="PCT/US2014/014681"/>
        <s v="15/387225"/>
        <s v="13/949875 "/>
        <s v="14/668102"/>
        <s v="12/657198"/>
        <s v="13/644933"/>
        <s v="12/928346"/>
        <s v="14/455230"/>
        <s v="14/209274"/>
        <s v="14/068372"/>
        <s v="13/850437"/>
        <s v="14/068333"/>
        <s v="14/203802"/>
        <s v="14/157329"/>
        <s v="13/833377"/>
        <s v="14/552608"/>
        <s v="14/323269"/>
        <s v="62/005667"/>
        <s v="13/135798"/>
        <s v="13/959220 "/>
        <s v="13/721586"/>
        <s v="PCT/US11/42563"/>
        <s v="13/174253"/>
        <s v="OCT/US11/42563"/>
        <s v="13/174393"/>
        <s v="13/721648"/>
        <s v="12/819626"/>
        <s v="14/405653"/>
        <s v="14/342530"/>
        <s v="14/555535"/>
        <s v="PCT/US2012/069472"/>
        <s v="14/435696"/>
        <s v="PCT/US2013/066221"/>
        <s v="PCT/EP2012/062262"/>
        <s v="61/485518"/>
        <s v="61/526116"/>
        <s v="13/599709"/>
        <s v="PCT/US13/27620 "/>
        <s v="PCT/US13/57974"/>
        <s v="14/426290"/>
        <s v="14/355362"/>
        <s v="14/670601"/>
        <s v="14/506384"/>
        <s v="13/598321"/>
        <s v="14/985537"/>
        <s v="13/931421"/>
        <s v="14/051594"/>
        <s v="13/429503"/>
        <s v="14/078815"/>
        <s v="13/664813"/>
        <s v="13/522288"/>
        <s v="14/875655"/>
        <s v="PCT/US13/26518"/>
        <s v="14/901278"/>
        <s v="14/375782"/>
        <s v="14/860211"/>
        <s v="13/514378"/>
        <s v="14/575927"/>
        <s v="PCT/US10/57527"/>
        <s v="14/006014"/>
        <s v="12/950863"/>
        <s v="12/952149"/>
        <s v="14/246372"/>
        <s v="14/427374"/>
        <s v="PCT/US2013/060131"/>
        <s v="14/354354"/>
        <s v="13/285919"/>
        <s v="PCT/US2013/073582"/>
        <s v="PCT/US2012/062540"/>
        <s v="15/867209"/>
        <s v="14/649973"/>
        <s v="13/782290"/>
        <s v="15/118722"/>
        <s v="PCT/US11/50442"/>
        <s v="15/034464"/>
        <s v="PCT/US2014/064172"/>
        <s v="15/528301"/>
        <s v="15/369039"/>
        <s v="PCT/US2012/026641"/>
        <s v="PCT/US2015/061532"/>
        <s v="14/001130"/>
        <s v="PCT/US2012/070686"/>
        <s v="14/367231"/>
        <s v="14/413772"/>
        <s v="62/247639"/>
        <s v="PCT/US2016/059160"/>
        <s v="62/038406"/>
        <s v="61/521328"/>
        <s v="PCT/US2012/049867"/>
        <s v="15/423691"/>
        <s v="62/521328"/>
        <s v="PCT/US2012/04986"/>
        <s v="14/237690"/>
        <s v="61/810895"/>
        <s v="13/657616"/>
        <s v="13/301731"/>
        <s v="12/875947"/>
        <s v="14/487985"/>
        <s v="13/302131"/>
        <s v="13/250804"/>
        <s v="13/482980"/>
        <s v="14/202606"/>
        <s v="61/531927"/>
        <s v="pct/us12/54219"/>
        <s v="61/648967"/>
        <s v="61/665225"/>
        <s v="61/424026"/>
        <s v="61/662173"/>
        <s v="61/856188"/>
        <s v="PCT/US12/54218"/>
        <s v="PCT/US13/44915"/>
        <s v="61/659248"/>
        <s v="61/659736"/>
        <s v="13/915309"/>
        <s v="13/915312"/>
        <s v="PCT/US11/66902"/>
        <s v="PCT/US2014/022588"/>
        <s v="PCT/US11/65623"/>
        <s v="PCT/US2013/075106"/>
        <s v="14/719566"/>
        <s v="61/787372"/>
        <s v="14/875076"/>
        <s v="13/832836"/>
        <s v="13/832861"/>
        <s v="14/336119"/>
        <s v="PCT/US14/047136"/>
        <s v="PCT/US13/41537"/>
        <s v="14/543489"/>
        <s v="13/606986"/>
        <s v="14/597869"/>
        <s v="13/607021"/>
        <s v="12/970773"/>
        <s v="13/718207"/>
        <s v="13/868600"/>
        <s v="13/757731"/>
        <s v="13/844166"/>
        <s v="13/673966"/>
        <s v="61/567467"/>
        <s v="13/610993"/>
        <s v="13/926313"/>
        <s v="14/476644"/>
        <s v="15/229975"/>
        <s v="15/624152"/>
        <s v="61/826275"/>
        <s v="13/775938"/>
        <s v="14/744726"/>
        <s v="15/083885"/>
        <s v="14/293107"/>
        <s v="14/445760"/>
        <s v="13/403813"/>
        <s v="14/307234"/>
        <s v="14/713843"/>
        <s v="14/290002"/>
        <s v="15/026233"/>
        <s v="PCT/US2014/058366"/>
        <s v="13/733125"/>
        <s v="14/590086"/>
        <s v="14/543189"/>
        <s v="13/911900"/>
        <s v="13/649658"/>
        <s v="14/651012 "/>
        <s v="14/442546"/>
        <s v="14/082618"/>
        <s v="PCT/US2012/059744"/>
        <s v="15/391472"/>
        <s v="PCT/US2014/033267"/>
        <s v="13/843489"/>
        <s v="14/399745"/>
        <s v="14/742364"/>
        <s v="62/156655"/>
        <s v="14/117355"/>
        <s v="14/556424 "/>
        <s v="14/471531 "/>
        <s v="13/431768"/>
        <s v="14/353391"/>
        <s v="15/762333"/>
        <s v="13524761"/>
        <s v="15/104161"/>
        <s v="15/105874"/>
        <s v="14/565677"/>
        <s v="15/037828"/>
        <s v="16/083458"/>
        <s v="16/083450"/>
        <s v="PCT/US2017/019947"/>
        <s v="PCT/US2017/019939"/>
        <s v="62/301609"/>
        <s v="14/475479"/>
        <s v="13/237875"/>
        <s v="61/878486"/>
        <s v="61/927476"/>
        <s v="61/927776"/>
        <s v="PCT/US13/35723"/>
        <s v="14/175461"/>
        <s v="61/801478"/>
        <s v="13/850729"/>
        <s v="13/329889"/>
        <s v="61/599901"/>
        <s v="pct/us12/69989"/>
        <s v="13/982112"/>
        <s v="14/155611"/>
        <s v="14/157958"/>
        <s v="13/164059"/>
        <s v="14/770969"/>
        <s v="13/160193"/>
        <s v="14/770969 "/>
        <s v="PCT/US12/64328"/>
        <s v="PCT/US13/32038"/>
        <s v="PCT/US13/32091"/>
        <s v="14/439679"/>
        <s v="14/768622"/>
        <s v="PCT/US12/71549"/>
        <s v="PCT/US2011/066143"/>
        <s v="PCT/US13/77456"/>
        <s v="13/023101"/>
        <s v="14/364712"/>
        <s v="15/107499"/>
        <s v="14/652131"/>
        <s v="14/380008"/>
        <s v="13/501673"/>
        <s v="14/441766"/>
        <s v="62/067215"/>
        <s v="62/062983"/>
        <s v="62/043860"/>
        <s v="61/725976"/>
        <s v="61/788132"/>
        <s v="61/787295"/>
        <s v="61/833194"/>
        <s v="61/547247"/>
        <s v="62/067646"/>
        <s v="62/067654"/>
        <s v="62/290161"/>
        <s v="61/595256"/>
        <s v="61/724873"/>
        <s v="61/732926"/>
        <s v="13/104456"/>
        <s v="13/788218"/>
        <s v="13/538229"/>
        <s v="14/091380"/>
        <s v="13/686886"/>
        <s v="PCT/US13/76624"/>
        <s v="PCT/US13/77002"/>
        <s v="PCT/US13/77016"/>
        <s v="14/130617 "/>
        <s v="PCT/US2015/056733"/>
        <s v="15/521229"/>
        <s v="61/723929"/>
        <s v="61/727271"/>
        <s v="61/713966"/>
        <s v="61/603687"/>
        <s v="61/603712"/>
        <s v="61/647402"/>
        <s v="16/030160"/>
        <s v="PCT/US2014/053472"/>
        <s v="14/915403"/>
        <s v="14/741427"/>
        <s v="15/862983"/>
        <s v="14/270276"/>
        <s v="PCT/US2014/036862"/>
        <s v="14/060024"/>
        <s v="14/359802 "/>
        <s v="61/840248"/>
        <s v="PCT/US2014/043902"/>
        <s v="14/900944"/>
        <s v="61/762147"/>
        <s v="14/851096"/>
        <s v="14/367495"/>
        <s v="14/653427"/>
        <s v="14/896993"/>
        <s v="15/384837"/>
        <s v="15/645239"/>
        <s v="15/645223"/>
        <s v="15/128225"/>
        <s v="13/657302"/>
        <s v="14/151224"/>
        <s v="PCT/US2013/073549"/>
        <s v="PCT/US2014/065365"/>
        <s v="15/828397"/>
        <s v="16/200496"/>
        <s v="16/231865"/>
        <s v="14/227083"/>
        <s v="14/540164"/>
        <s v="PCT/US2012/061311"/>
        <s v="PCT/US2015/033665"/>
        <s v="13/798292"/>
        <s v="12/089876"/>
        <s v="13/164495"/>
        <s v="PCT/US16/48520"/>
        <s v="US16/48520"/>
        <s v="15/246739"/>
        <s v="14/208747"/>
        <s v="14/104724"/>
        <s v="13/827560"/>
        <s v="14/370138"/>
        <s v="14/227283"/>
        <s v="61/806238"/>
        <s v="PCT/US2013/020214"/>
        <s v="61/736704"/>
        <s v="61/662053"/>
        <s v="PCT/US2012/070086"/>
        <s v="15/974517"/>
        <s v="14/304102"/>
        <s v="14/834861"/>
        <s v="13/786807"/>
        <s v="14/820284"/>
        <s v="15/622785"/>
        <s v="14/238835"/>
        <s v="14/821520"/>
        <s v="15/501670"/>
        <s v="62/107733"/>
        <s v="15/501697"/>
        <s v="16/003428"/>
        <s v="62/677093"/>
        <s v="62/677095"/>
        <s v="PCT/US2018/031113"/>
        <s v="15/840747"/>
        <s v="PCT/US2012/051382"/>
        <s v="14/754284"/>
        <s v="15/129439"/>
        <s v="61/840221"/>
        <s v="61/840213"/>
        <s v="15/902697"/>
        <s v="PCT/US2016/058109"/>
        <s v="PCT/US2014/072347"/>
        <s v="61/922141"/>
        <s v="PCT/US2014/032009"/>
        <s v="PCT/US2016/030193"/>
        <s v="15/569570"/>
        <s v="14/194396"/>
        <s v="15/501822"/>
        <s v="PCT/GB2015/052279"/>
        <s v="16/313864"/>
        <s v="PCT/US2016/039050"/>
        <s v="PCT/US2017/039685"/>
        <s v="15/739101"/>
        <s v="13/933196"/>
        <s v="14/815377"/>
        <s v="14/514206"/>
        <s v="14/995109"/>
        <s v="15/217711"/>
        <s v="15/875313"/>
        <s v="61/838789"/>
        <s v="14/900775"/>
        <s v="13/925340"/>
        <s v="15/875272"/>
        <s v="14/900799"/>
        <s v="PCT/US2014/043407"/>
        <s v="12/836465"/>
        <s v="13/025340"/>
        <s v="14/191067"/>
        <s v="14/086713"/>
        <s v="61/560099"/>
        <s v="61/586632"/>
        <s v="15/436402"/>
        <s v="14/318170"/>
        <s v="13/799989"/>
        <s v="14/714964"/>
        <s v="14/542937"/>
        <s v="61/814979"/>
        <s v="61/973581"/>
        <s v="13/842943 "/>
        <s v="14/475985"/>
        <s v="14/851625"/>
        <s v="14/837118"/>
        <s v="14/751502"/>
        <s v="14/278836"/>
        <s v="15/205217"/>
        <s v="15/188218"/>
        <s v="PCT/US2016/045615"/>
        <s v="14/458597"/>
        <s v="15/752503"/>
        <s v="14/176093"/>
        <s v="13/688658"/>
        <s v="14/020111"/>
        <s v="14/026737"/>
        <s v="13/842844"/>
        <s v="62/905428"/>
        <s v="14/770970"/>
        <s v="15/135249"/>
        <s v="PCT/US2015/043676"/>
        <s v="16/436436"/>
        <s v="14/818203"/>
        <s v="13/707558"/>
        <s v="14/260253"/>
        <s v="14/187114"/>
        <s v="14/511217"/>
        <s v="13/870615"/>
        <s v="14/345235"/>
        <s v="14/345248 "/>
        <s v=" 14/345255  "/>
        <s v="14/442904"/>
        <s v=" 14/345391  "/>
        <s v="13/719198"/>
        <s v="14/262161"/>
        <s v="15/165247"/>
        <s v="15/307267"/>
        <s v="PCT/GB2015/051383"/>
        <s v="PCT/GB2014/053507"/>
        <s v="PCT/GB2015/051382"/>
        <s v="14/696425"/>
        <s v="14/546107"/>
        <s v="15/033748"/>
        <s v="16/044123"/>
        <s v="PCT/US2014/063869"/>
        <s v="15/766495"/>
        <s v="14/218969"/>
        <s v="11/949720"/>
        <s v="13/836001"/>
        <s v="13/840423"/>
        <s v="14/671787"/>
        <s v="15/481597"/>
        <s v="15/440448"/>
        <s v="pct/us14/59398"/>
        <s v="pct/us16/28953"/>
        <s v="pct/us14/33949"/>
        <s v="pct/us14/59402"/>
        <s v="13/887201"/>
        <s v="14/172831"/>
        <s v="15/232355"/>
        <s v="15/368182"/>
        <s v="14/624370"/>
        <s v="15/160439"/>
        <s v="PCT/US2016/033545"/>
        <s v="62/257126"/>
        <s v="PCT/US2016/064796"/>
        <s v="14/536174"/>
        <s v="PCT/US2018/056103"/>
        <s v="PCT/US2015/059523"/>
        <s v="15/785963"/>
        <s v="14/244807"/>
        <s v="14/676725"/>
        <s v="61/989985"/>
        <s v="61/778160"/>
        <s v="15/436593"/>
        <s v="PCT/US13/58342"/>
        <s v="14/588225"/>
        <s v="61/949040"/>
        <s v="15/965722 "/>
        <s v="15/965671 "/>
        <s v="15/965728 "/>
        <s v="15/965673 "/>
        <s v="15/891277 "/>
        <s v="15/601560 "/>
        <s v="14/984416 "/>
        <s v="15/182543"/>
        <s v="16/000724"/>
        <s v="15/711879"/>
        <s v="15/476795"/>
        <s v="15/297011"/>
        <s v="14/019491"/>
        <s v="14/199794"/>
        <s v="14/201244"/>
        <s v="14/019488"/>
        <s v="PCT/US2016/032173"/>
        <s v="15/572563"/>
        <s v="61/866992"/>
        <s v="61/771507"/>
        <s v="PCT/US13/41912"/>
        <s v="14/461358"/>
        <s v="13/898441"/>
        <s v="14/535586"/>
        <s v="62/043519"/>
        <s v="14/743263"/>
        <s v="14/667252"/>
        <s v="15/793057"/>
        <s v="PCT/US2017/058222"/>
        <s v="14/164106"/>
        <s v="15/238003"/>
        <s v="14/591917"/>
        <s v="15/237994"/>
        <s v="15/224275"/>
        <s v="15/224123"/>
        <s v="PCT/US2015/01053"/>
        <s v="14/620635"/>
        <s v="14/620600"/>
        <s v="14/414984"/>
        <s v="14/620568"/>
        <s v="14/257673"/>
        <s v="14/242850"/>
        <s v="14/331318"/>
        <s v="14/242853"/>
        <s v="14/141827"/>
        <s v="15/728385"/>
        <s v="15/652973"/>
        <s v="14/338916"/>
        <s v="14/339050"/>
        <s v="14/810919"/>
        <s v="14/079490"/>
        <s v="15/745984"/>
        <s v="15/725192"/>
        <s v="PCT/US2016/043188"/>
        <s v="61/725572"/>
        <s v="62/572612"/>
        <s v="14/956011"/>
        <s v="14/102197"/>
        <s v="15/011118"/>
        <s v="15072839"/>
        <s v="15/011148"/>
        <s v="15/273040"/>
        <s v="15/160659"/>
        <s v="15/010873"/>
        <s v="16/197053"/>
        <s v="PCT/EP2017/051322"/>
        <s v="PCT/US2017/051333"/>
        <s v="16/197097"/>
        <s v="PCT/EP2017/051325"/>
        <s v="PCT/EP2017/073770"/>
        <s v="PCT/EP2017/61923"/>
        <s v="16/196978"/>
        <s v="14/436433 "/>
        <s v="15/527630"/>
        <s v="PCT/US2015/061181"/>
        <s v="14/683599"/>
        <s v="15/006201"/>
        <s v="14/574536"/>
        <s v="14/574523"/>
        <s v="14/251752"/>
        <s v="14/195073"/>
        <s v="15/512003"/>
        <s v="16/041169"/>
        <s v="14/857133"/>
        <s v="15/815803"/>
        <s v="14/716819"/>
        <s v="14827001"/>
        <s v="14795834"/>
        <s v="14067038"/>
        <s v="09/531003"/>
        <s v="15/218508"/>
        <s v="15/173866"/>
        <s v="14/823399"/>
        <s v="14/830838"/>
        <s v="14/928559"/>
        <s v="14/472228"/>
        <s v="14/656808"/>
        <s v="14/198663"/>
        <s v="14/731667"/>
        <s v="14/271498"/>
        <s v="14/320352"/>
        <s v="14/193501"/>
        <s v="13/897492"/>
        <s v="14/731607"/>
        <s v="13/907892"/>
        <s v="14/174171"/>
        <s v="14/198755"/>
        <s v="14/230882"/>
        <s v="14/668788"/>
        <s v="14/289746"/>
        <s v="14/193782"/>
        <s v="14/198702"/>
        <s v="14/274686"/>
        <s v="14/059599"/>
        <s v="14/699962"/>
        <s v="14/989602"/>
        <s v="14/699918"/>
        <s v="PCT/US2017/021121"/>
        <s v="15/452337"/>
        <s v="13/872673"/>
        <s v="15/860225"/>
        <s v="14/776758"/>
        <s v="15/933602"/>
        <s v="PCT/US2013/041987"/>
        <s v="15/891539"/>
        <s v="14/072911"/>
        <s v="14/072889"/>
        <s v="15/199367"/>
        <s v="15/136375"/>
        <s v="14/824752"/>
        <s v="14/824657"/>
        <s v="13/904874"/>
        <s v="15085881"/>
        <s v="14/880010"/>
        <s v="14/523825"/>
        <s v="13/892777"/>
        <s v="13/892982"/>
        <s v="13/893174"/>
        <s v="14/231571"/>
        <s v="14/755607"/>
        <s v="61/937736"/>
        <s v="14/338259"/>
        <s v="14/076445"/>
        <s v="14/944632 "/>
        <s v="14/936428"/>
        <s v="14/822713"/>
        <s v="14/573454"/>
        <s v="14/450520"/>
        <s v="14/722347"/>
        <s v="14/325866"/>
        <s v="14/911211"/>
        <s v="14/822731"/>
        <s v="15/349643"/>
        <s v="14/600927"/>
        <s v="14/770246"/>
        <s v="61/776083"/>
        <s v="15/787562"/>
        <s v="14/540935"/>
        <s v="14/160337"/>
        <s v="16/086882"/>
        <s v="15/055505"/>
        <s v="14/739184"/>
        <s v="14/414207"/>
        <s v="14/414684"/>
        <s v="15/522680"/>
        <s v="14/414668"/>
        <s v="14/414291"/>
        <s v="15/549991"/>
        <s v="PCT/US2016/017167"/>
        <s v="PCT/US2015/025422"/>
        <s v="15/302315"/>
        <s v="15/568639"/>
        <s v="PCT/US2016/028959"/>
        <s v="61/927220"/>
        <s v="PCT/US2017/013637"/>
        <s v="PCT/WO2016/049144"/>
        <s v="15/422743"/>
        <s v="15/514428"/>
        <s v="14/248994"/>
        <s v="14/248729"/>
        <s v="15/012715"/>
        <s v="14/064070"/>
        <s v="15/955506"/>
        <s v="15/955044"/>
        <s v="15/955519 "/>
        <s v="PCT/US2016/015857"/>
        <s v="15/820382"/>
        <s v="14/947869"/>
        <s v="62/457819"/>
        <s v="62/399911"/>
        <s v="62/452381"/>
        <s v="62/462935"/>
        <s v="14/882169"/>
        <s v="61/818994"/>
        <s v="14/327720"/>
        <s v="62/411987"/>
        <s v="15/386217"/>
        <s v="15/677801"/>
        <s v="14/912219"/>
        <s v="PCT/US2014/051064"/>
        <s v="PC/US2017-042829"/>
        <s v="15/799280"/>
        <s v="16/318246"/>
        <s v="62/324063"/>
        <s v="PCT/US2017/028091"/>
        <s v="15/463749"/>
        <s v="62/028757"/>
        <s v="14/692695"/>
        <s v="15/601811"/>
        <s v="15/400775"/>
        <s v="15/260213 "/>
        <s v="14/704935"/>
        <s v="15/226894"/>
        <s v="15/090477"/>
        <s v="14/704934"/>
        <s v="15/545000"/>
        <s v="PCT/US2016/017885"/>
        <s v="PCT/US2016/021253"/>
        <s v="62/556805"/>
        <s v="15/556140"/>
        <s v="62/739575"/>
        <s v="14/823546"/>
        <s v="62/374075"/>
        <s v="14/431175"/>
        <s v="62/451336"/>
        <s v="PCT/US2015/063234"/>
        <s v="14/994011"/>
        <s v="15/956250"/>
        <s v="15/726302"/>
        <s v="15/582343"/>
        <s v="14/954816"/>
        <s v="14/954812"/>
        <s v="15/380989"/>
        <s v="14/156267"/>
        <s v="14/565249"/>
        <s v="14/334573"/>
        <s v="13/938029"/>
        <s v="14/657695"/>
        <s v="13/864142"/>
        <s v="15/030144"/>
        <s v="14/519075"/>
        <s v="62/051817"/>
        <s v="16/080080"/>
        <s v="PCT/US2012/040429"/>
        <s v="PCT/US2017/019644"/>
        <s v="14/122885"/>
        <s v="14/307030"/>
        <s v="15/723071"/>
        <s v="PCT/US2019/021774"/>
        <s v="PCT/US2014/042775"/>
        <s v="62/641776"/>
        <s v="15/458500"/>
        <s v="16/161647"/>
        <s v="13/721323"/>
        <s v="13/721332"/>
        <s v="15/996380"/>
        <s v="14/551670"/>
        <s v="15/036763"/>
        <s v="14/249671"/>
        <s v="PCT/US16/18583"/>
        <s v="14/720005"/>
        <s v="14/520513"/>
        <s v="15/378200"/>
        <s v="PCT/US2014/067700"/>
        <s v="15/111602"/>
        <s v="15/522459"/>
        <s v="62/481898"/>
        <s v="15/364528"/>
        <s v="14/693332"/>
        <s v="15/142109"/>
        <s v="14/669588"/>
        <s v="14/615796 "/>
        <s v="14/614753"/>
        <s v="14/693296"/>
        <s v="14/603904"/>
        <s v="14/340913 "/>
        <s v="62/550456"/>
        <s v="62/436702"/>
        <s v="PCT/US2017/067647"/>
        <s v="62/814618"/>
        <s v="62/645669"/>
        <s v="PCT/US2019/023170"/>
        <s v="15/763652"/>
        <s v="PCT/US2016/054155"/>
        <s v="62/598252"/>
        <s v="62/561927"/>
        <s v="61/050195"/>
        <s v="15/840162"/>
        <s v="15/832110"/>
        <s v="15/926433"/>
        <s v="15/562792"/>
        <s v="62/236512"/>
        <s v="62/395050"/>
        <s v="62/266813"/>
        <s v="62/107845"/>
        <s v="62/107630"/>
        <s v="15/616438"/>
        <s v="14/434848"/>
        <s v="62/352655"/>
        <s v="14/893893"/>
        <s v="15/546918 "/>
        <s v="PCT/US2014/041035"/>
        <s v="PCT/US2014/041051"/>
        <s v="PCT/US2016/015736"/>
        <s v="14/714160"/>
        <s v="14/952755"/>
        <s v="14/952754"/>
        <s v="14/893895"/>
        <s v="14/952762"/>
        <s v="15/055576"/>
        <s v="15/560599"/>
        <s v="15/297114"/>
        <s v="15/741159"/>
        <s v="15/425755"/>
        <s v="PCT/US2016/021044"/>
        <s v="15/650003"/>
        <s v="14/576309"/>
        <s v="14/626092"/>
        <s v="14/626332"/>
        <s v="15/943171 "/>
        <s v="62/300429"/>
        <s v="15/756535"/>
        <s v="62/217005"/>
        <s v="PCT/US2016/051124"/>
        <s v="62/643301"/>
        <s v="PCT/US2019/022575"/>
        <s v="62/011652"/>
        <s v="PCT/US14/63743"/>
        <s v="PCT/US14/45762"/>
        <s v="62/016484"/>
        <s v="14/168332"/>
        <s v="62/554257"/>
        <s v="PCT/IS2018/049587"/>
        <s v="14/912846"/>
        <s v="14/935245"/>
        <s v="15/216549"/>
        <s v="14/865875"/>
        <s v="14/963836 "/>
        <s v="15/588376"/>
        <s v="15/317656"/>
        <s v="PCT/US2017/040223"/>
        <s v="62/357901"/>
        <s v="15/376489 "/>
        <s v="14/211415"/>
        <s v="14/853946"/>
        <s v="62/445871"/>
        <s v="PCT/US2017/063109"/>
        <s v="62/425421"/>
        <s v="15/112364"/>
        <s v="61/940947"/>
        <s v="PCT/US2018/017913"/>
        <s v="62/279066"/>
        <s v="PCT/US2017/013413"/>
        <s v="15/142877"/>
        <s v="16/023336"/>
        <s v="PCT/US2016/061064"/>
        <s v="15/774862"/>
        <s v="PCT/US2016/062297"/>
        <s v="15/981753"/>
        <s v="15/636712"/>
        <s v="15/844766"/>
        <s v="PCT/US2016/017518"/>
        <s v="PCT/US2014/056274"/>
        <s v="15/793532"/>
        <s v="14/456110"/>
        <s v="14/963381"/>
        <s v="14/966476"/>
        <s v="15/412462"/>
        <s v="14/303019"/>
        <s v="14/619742"/>
        <s v="62/106709"/>
        <s v="62/114504"/>
        <s v="PCT/US2016/017421"/>
        <s v="15/675598"/>
        <s v="62/262815"/>
        <s v="PTC/US2016/01742"/>
        <s v="62/452285"/>
        <s v="15/041017"/>
        <s v="15/663584"/>
        <s v="15/903710"/>
        <s v="15/099390"/>
        <s v="62/335460"/>
        <s v="16/379138"/>
        <s v="15/388963"/>
        <s v="15/591671"/>
        <s v="15/824519"/>
        <s v="14/470569"/>
        <s v="14/513656"/>
        <s v="14/442087"/>
        <s v="14/710367"/>
        <s v="14/710509"/>
        <s v="15/209239"/>
        <s v="14/461577"/>
        <s v="14/506405"/>
        <s v="PCT/US2017/016241"/>
        <s v="16/049205"/>
        <s v="15/187993"/>
        <s v="15/463333"/>
        <s v="14/503822"/>
        <s v="14/577842"/>
        <s v="62/636783"/>
        <s v="2/28/2018"/>
        <s v="15/381698"/>
        <s v="15/367959"/>
        <s v="15/603599"/>
        <s v="15/738458"/>
        <s v="16/394447"/>
        <s v="16/079172"/>
        <s v="15/487182"/>
        <s v="62/861769"/>
        <s v="62/861716"/>
        <s v="16/089294"/>
        <s v="62/463333"/>
        <s v="PCT/US2018/019782"/>
        <s v="15/322417"/>
        <s v="15/116442"/>
        <s v="15/683254"/>
        <s v="16/328399"/>
        <s v="PCT/US2017/048365"/>
        <s v="PCT/US2015/025785"/>
        <s v="15/304177"/>
        <s v="16/096418"/>
        <s v="62/379862"/>
        <s v="PCT/US2017/030108"/>
        <s v="62/537722"/>
        <s v="62/540001"/>
        <s v="62/480261"/>
        <s v="62/509403"/>
        <s v="62/482618"/>
        <s v="62175706"/>
        <s v="62/101285"/>
        <s v="14/991027"/>
        <s v="15/184425"/>
        <s v="PCT/US2017/037534"/>
        <s v="15/623220"/>
        <s v="14/946031"/>
        <s v="16/345643"/>
        <s v="PCT/US2017/058826"/>
        <s v="15/114997"/>
        <s v="PCT/2015/013322"/>
        <s v="15/928041 "/>
        <s v="62/444083"/>
        <s v="62/091728"/>
        <s v="62/042012"/>
        <s v="62/735589"/>
        <s v="PCT/US2018/012872"/>
        <s v="62/444962"/>
        <s v="62/526193"/>
        <s v="PCT/US2019/029781"/>
        <s v="62/746347"/>
        <s v="62/629566"/>
        <s v="62/716156"/>
        <s v="15/159666"/>
        <s v="62/824268"/>
        <s v="16/073700"/>
        <s v="PCT/US2017/015641"/>
        <s v="62/551860"/>
        <s v="PCT/US2018/048895"/>
        <s v="PCT/US2016/037103"/>
        <s v="15/735538"/>
        <s v="62/376169"/>
        <s v="62/483566"/>
        <s v="PCT/US2018/026864"/>
        <s v="PCT/US2018/013281"/>
        <s v="62/401017"/>
        <s v="62/403395"/>
        <s v="16/475444"/>
        <s v="62/502251"/>
        <s v="16/267242"/>
        <s v="PCT/US2017/053305"/>
        <s v="62/399974"/>
        <s v="PCT/US2019/016554"/>
        <s v="PCT/US2017/018420"/>
        <s v="16/066247"/>
        <s v="15/780551"/>
        <s v="15/820284"/>
        <s v="PCT/US2017/056414"/>
        <s v="15/949881"/>
        <s v="62/638495"/>
        <s v="PCT/US2018/026941"/>
        <s v="PCT/US2018/025331"/>
        <s v="15/596695"/>
        <s v="16/037850 "/>
        <s v="62/795996"/>
        <s v="15/729079"/>
        <s v="16/263540"/>
        <s v="15/152543"/>
        <s v="15/914455"/>
        <s v="15/981467"/>
        <s v="62/584684"/>
        <s v="PCT/US2017/057725"/>
        <s v="62/584076"/>
        <s v="15/853432"/>
        <s v="15/669725"/>
        <s v="15/582172"/>
        <s v="15/472018"/>
        <s v="62/665218"/>
        <s v="62/665211"/>
        <s v="15/154509 "/>
        <s v="14/977820 "/>
        <s v="15/285787"/>
        <s v="15/285550"/>
        <s v="62/566581"/>
        <s v="16/206800"/>
        <s v="62/503063"/>
        <s v="PCT/US2017/057156"/>
        <s v="62/409731"/>
        <s v="13/887563"/>
        <s v="62/516508"/>
        <s v="PCT/US2018/036388"/>
        <s v="16/193733"/>
        <s v="15/293723"/>
        <s v="62/743892"/>
        <s v="62/656964"/>
        <s v="PCT/US2017/026218"/>
        <s v="15/056680"/>
        <s v="15/149152"/>
        <s v="15/689245"/>
        <s v="15/270083"/>
        <s v="15/444029"/>
        <s v="15/714481"/>
        <s v="16/233005"/>
        <s v="16/103909"/>
        <s v="62/831026"/>
        <s v="PV201900299"/>
        <s v="62/408069"/>
        <s v="62/408072"/>
        <s v="62/413985"/>
        <s v="PCT/US2018/047947"/>
        <s v="16/036364"/>
        <s v="62/813785"/>
        <s v=" 15/050318 "/>
        <s v="PCT/US2017/039307"/>
        <s v="PCT/US2017/03932"/>
        <s v="PCT/US2018/044879"/>
        <s v="16/239420"/>
        <s v="PCT/US2019/012213"/>
        <s v="15/636639"/>
        <s v="15/633668"/>
        <s v="16/117421"/>
        <s v="PCT/US2018/012913"/>
        <s v="16/465641"/>
        <s v="16/113844"/>
        <s v="15/582296"/>
        <s v="15/591959"/>
        <s v="15/372975"/>
        <s v="16/235655"/>
        <s v="16/235178"/>
        <s v="62/743321"/>
        <s v="62/579331"/>
        <s v="16/414082"/>
        <s v="62/693217"/>
        <s v="PCT/US2017/057017"/>
        <s v="16/382022"/>
        <s v="16/445558"/>
        <s v="PCT/US2019/032618"/>
        <s v="62/456817"/>
        <s v="62/536202"/>
        <s v="16/044215"/>
        <s v="PCT/US2018/043541"/>
        <s v="62/692512"/>
        <s v="62/669774"/>
        <s v="62/626810"/>
        <s v="PCT/US2017/044724"/>
        <s v="16/320295"/>
        <s v="PCT/US2017/050512"/>
        <s v="62/384622"/>
        <s v="PCT/US2019/033980"/>
        <s v="PCT/US2019/033990"/>
        <s v="62/676127"/>
        <s v="62/676109"/>
        <s v="62/561592"/>
        <s v="15/953037"/>
        <s v="62/847238"/>
        <s v="15/601899"/>
        <s v="15/602298"/>
        <s v="15/339774"/>
        <s v="15/336508"/>
        <s v="15/338197"/>
        <s v="62/483799"/>
        <s v="15/914762"/>
        <s v="PCT/US2016/058245"/>
        <s v="15/960086"/>
        <s v="16/019914"/>
        <s v="15/922883"/>
        <s v="15/908325"/>
        <s v="15/967293"/>
        <s v="15/400712"/>
        <s v="PCT/US2018/034637"/>
        <s v="PCT/US2018/062295"/>
        <s v="62/799595"/>
        <s v="62/511862"/>
        <s v="62/590570"/>
        <s v="62/801578"/>
        <s v="PCT/US2017/020201"/>
        <s v="62/421482"/>
        <s v="62/301991"/>
        <s v="62/880322"/>
        <s v="16/555490"/>
        <s v="62/560827"/>
        <s v="15/477696"/>
        <s v="15/462136"/>
        <s v="PCT/US2018/050903"/>
        <s v="16/298912"/>
        <s v="62/767248"/>
        <s v="PCT/US2019/018480"/>
        <s v="62/632483"/>
        <s v="15/778195"/>
        <s v="16/046692"/>
        <s v="62/679254"/>
        <s v="62/868228"/>
        <s v="PCT/US2019/034797"/>
        <s v="62/696420"/>
        <s v="62/689548"/>
        <s v="PCT/US2019/037122"/>
        <s v="PCT/US2019/037123"/>
        <s v="16/136063"/>
        <s v="PCT/US2016/066144"/>
        <s v="14/900298"/>
        <s v="16/060779"/>
        <s v="PCT/US2014/045384"/>
        <s v="15/688231"/>
        <s v="15/971408"/>
        <s v="62/853434"/>
        <s v="62/544388"/>
        <s v="62/518856"/>
        <s v="15/867902"/>
        <s v="PCT/US2018/013286"/>
        <s v="16/376538"/>
        <s v="16/570290"/>
        <s v="PCT/US2019/051028"/>
        <s v="PCT/US2019/051036"/>
        <s v="PCT/US2019/044155"/>
        <s v="62/712657"/>
        <s v="16/292693"/>
        <s v="16/052973"/>
        <s v="62/764912"/>
        <s v="62/648508"/>
        <s v="PCT/US2019/024273"/>
        <s v="62/652063"/>
        <s v="62/652037"/>
        <s v="62/458637"/>
        <s v="62/647930"/>
        <s v="PCT/US2018/040898"/>
        <s v="PCT/US2019/028925"/>
        <s v="62/661705"/>
        <s v="15/370355"/>
        <s v="PCT/US2016/065259"/>
        <s v="PCT/US2018/056370"/>
        <s v="16/278505"/>
        <s v="16/341872"/>
        <s v="16/341874"/>
        <s v="16/012588"/>
        <s v="62/534624"/>
        <s v="62/620958"/>
        <s v="62/782623"/>
        <s v="16/509385"/>
        <s v="62/752227"/>
        <s v="15/487364"/>
        <s v="15/592102"/>
        <s v="15/150231"/>
        <s v="62/550128"/>
        <s v="16/113774"/>
        <s v="16/136043"/>
        <s v="16/136054"/>
        <s v="15/880918"/>
        <s v="15/944003"/>
        <s v="16/130367"/>
        <s v="16/380275"/>
        <s v="16/176947"/>
        <s v="62/652523"/>
        <s v="62/650449"/>
        <s v="62/884315"/>
        <s v="62/675827"/>
        <s v="62/580718"/>
        <s v="62/834126"/>
        <s v="16/398468"/>
        <s v="62/750663"/>
        <s v="62/919520"/>
        <s v="15/598831"/>
        <s v="62/242557"/>
        <s v="16/019512"/>
        <s v="62/804613"/>
        <s v="15/959199"/>
        <s v="62/792561"/>
        <s v="62/749536"/>
        <s v="62/768456"/>
        <s v="16/513661"/>
        <s v="62/821605"/>
        <s v="16/404255"/>
        <s v="62/736061"/>
        <s v="62/814852"/>
        <s v="60/011800"/>
        <s v="16/354453"/>
        <s v="PCT/US2019/046952"/>
        <s v="62/720356"/>
        <s v="16/376158"/>
        <s v="62/825349"/>
        <s v="62/818965"/>
        <s v="16/420797"/>
        <s v="62/847055"/>
        <s v="16/170500"/>
        <s v="62/789169"/>
        <s v="15/712089"/>
        <s v="PCT/US2017/052828"/>
      </sharedItems>
    </cacheField>
    <cacheField name="Application Date" numFmtId="0">
      <sharedItems containsDate="1" containsMixedTypes="1" minDate="2012-12-23T00:00:00" maxDate="2016-09-10T00:00:00"/>
    </cacheField>
    <cacheField name="Patent Number" numFmtId="0">
      <sharedItems containsBlank="1" containsMixedTypes="1" containsNumber="1" containsInteger="1" minValue="8075827" maxValue="10323151" count="318">
        <m/>
        <n v="9079815"/>
        <n v="9273330"/>
        <n v="9422582"/>
        <n v="9422581"/>
        <n v="9580705"/>
        <n v="9169467"/>
        <n v="9238828"/>
        <n v="9917323"/>
        <n v="9303264"/>
        <n v="9255283"/>
        <n v="8796738"/>
        <n v="8659030"/>
        <n v="8969881"/>
        <n v="8957454"/>
        <n v="9070755"/>
        <n v="9564498"/>
        <n v="9379231"/>
        <n v="9217198"/>
        <n v="9013777"/>
        <n v="8637996"/>
        <n v="8976440"/>
        <n v="9589792"/>
        <n v="9543392"/>
        <n v="10145021"/>
        <n v="9133819"/>
        <n v="9227360"/>
        <n v="9216391"/>
        <n v="9316545"/>
        <n v="8901612"/>
        <n v="8563844"/>
        <n v="9190694"/>
        <n v="9139441"/>
        <n v="9601228"/>
        <n v="9218917"/>
        <n v="9017634"/>
        <n v="9558894"/>
        <n v="9001495"/>
        <n v="9205420"/>
        <n v="9118089"/>
        <n v="8808929"/>
        <n v="8895197"/>
        <n v="9236643"/>
        <n v="9184478"/>
        <n v="8741491"/>
        <n v="9029027"/>
        <n v="9147919"/>
        <s v="10374236"/>
        <n v="9003789"/>
        <n v="8607562"/>
        <n v="8844281"/>
        <n v="8800283"/>
        <n v="9464333"/>
        <n v="9249474"/>
        <n v="9244235"/>
        <n v="9027668"/>
        <n v="9360643"/>
        <n v="8571368"/>
        <n v="9360631"/>
        <n v="9562395"/>
        <n v="9074422"/>
        <n v="9267330"/>
        <n v="9347271"/>
        <n v="9284783"/>
        <n v="9242309"/>
        <n v="8997894"/>
        <n v="8662160"/>
        <n v="8627901"/>
        <n v="8879876"/>
        <n v="8636085"/>
        <n v="8826973"/>
        <n v="8820434"/>
        <n v="8511401"/>
        <n v="9512679"/>
        <s v="9534447"/>
        <n v="8424617"/>
        <n v="8701794"/>
        <n v="8869914"/>
        <n v="8936108"/>
        <n v="8757292"/>
        <n v="8505858"/>
        <n v="9000713"/>
        <n v="9153803"/>
        <n v="8951776"/>
        <n v="9994876"/>
        <n v="9096876"/>
        <n v="9879248"/>
        <n v="8828574"/>
        <n v="8828575"/>
        <n v="8932771"/>
        <n v="9660311"/>
        <n v="9240612"/>
        <n v="9401528"/>
        <n v="8951676"/>
        <n v="9172111"/>
        <n v="9293790"/>
        <n v="8927068"/>
        <n v="9065122"/>
        <n v="9583779"/>
        <n v="9397345"/>
        <n v="8802287"/>
        <n v="8936870"/>
        <n v="8877367"/>
        <n v="9040197"/>
        <n v="9312398"/>
        <n v="8512989"/>
        <n v="8354262"/>
        <n v="8420364"/>
        <n v="8569031"/>
        <n v="8328911"/>
        <n v="9409116"/>
        <n v="9421514"/>
        <n v="9102691"/>
        <n v="9283502"/>
        <n v="9587256"/>
        <n v="9567678"/>
        <n v="9302219"/>
        <n v="9427698"/>
        <n v="9427697"/>
        <n v="9302220"/>
        <n v="9150889"/>
        <n v="9481898"/>
        <n v="9856449"/>
        <n v="9175408"/>
        <n v="9428778"/>
        <n v="8349587"/>
        <n v="8691171"/>
        <n v="9410736"/>
        <n v="8764885"/>
        <n v="8646538"/>
        <n v="9362583"/>
        <n v="9437864"/>
        <n v="9385392"/>
        <n v="9178200"/>
        <n v="9484569"/>
        <n v="9401501"/>
        <n v="9184464"/>
        <n v="9203092"/>
        <n v="8722226"/>
        <n v="8739603"/>
        <n v="9325171"/>
        <n v="9114281"/>
        <n v="9281756"/>
        <n v="9184237"/>
        <n v="9607748"/>
        <n v="9295116"/>
        <n v="9359259"/>
        <n v="8786327"/>
        <n v="9041435"/>
        <n v="9905367"/>
        <n v="9538875"/>
        <n v="8955795"/>
        <n v="9555895"/>
        <n v="9598170"/>
        <n v="9041003"/>
        <n v="9911813"/>
        <n v="9570600"/>
        <n v="9293538"/>
        <n v="9722236"/>
        <n v="9488392"/>
        <n v="9577298"/>
        <n v="8137831"/>
        <n v="9308491"/>
        <n v="9273876"/>
        <n v="8668997"/>
        <n v="9083019"/>
        <n v="9419289"/>
        <n v="8803384"/>
        <n v="9251938"/>
        <n v="9373433"/>
        <n v="9879166"/>
        <n v="9527741"/>
        <n v="9669379"/>
        <n v="9776154"/>
        <n v="9142350"/>
        <n v="9419479"/>
        <n v="9461523"/>
        <n v="9362788"/>
        <n v="9997285"/>
        <n v="9548150"/>
        <n v="9715957"/>
        <n v="10068689"/>
        <n v="10002694"/>
        <n v="10240163"/>
        <n v="10106826"/>
        <n v="9394503"/>
        <n v="9337767"/>
        <n v="9087718"/>
        <n v="9590060"/>
        <n v="9318593"/>
        <n v="9407157"/>
        <n v="9306391"/>
        <n v="10158229"/>
        <n v="9197065"/>
        <n v="9590421"/>
        <n v="9054530"/>
        <n v="8888049"/>
        <n v="9249934"/>
        <n v="9724668"/>
        <n v="9452380"/>
        <n v="10035127"/>
        <n v="9550341"/>
        <n v="8075827"/>
        <n v="9476546"/>
        <n v="9217538"/>
        <n v="9316178"/>
        <n v="9528465"/>
        <n v="9806366"/>
        <n v="9685651"/>
        <n v="9509011"/>
        <s v="9865895"/>
        <s v="9614244"/>
        <n v="10131245"/>
        <n v="10063066"/>
        <s v="9570781"/>
        <s v="10177421"/>
        <n v="9553465"/>
        <s v="9583796"/>
        <n v="9677916"/>
        <s v="9209494"/>
        <s v="9201000"/>
        <n v="9209494"/>
        <s v="10243385"/>
        <n v="10224579"/>
        <s v="10263447"/>
        <n v="9643159"/>
        <s v="9651024"/>
        <s v="9505182"/>
        <s v="9850146"/>
        <s v="10099945"/>
        <n v="9455446"/>
        <s v="9431655"/>
        <s v="9450224"/>
        <s v="6321772"/>
        <s v="9531003"/>
        <s v="9680152"/>
        <s v="9478798"/>
        <s v="9546097"/>
        <s v="9537131"/>
        <s v="9735444"/>
        <s v="9419278"/>
        <s v=" 9620815"/>
        <s v="9406919"/>
        <s v="9099719"/>
        <s v="9745202"/>
        <s v="8968925"/>
        <s v="9455431"/>
        <s v="9531002"/>
        <s v="9484578"/>
        <n v="9627671"/>
        <s v="9583751"/>
        <s v="9443664"/>
        <s v="9557009"/>
        <s v="9330876"/>
        <s v="9520801"/>
        <n v="9748857"/>
        <s v="9359219"/>
        <s v="9099740"/>
        <s v="9130234"/>
        <s v="9123966"/>
        <s v="9287589"/>
        <s v="9299981"/>
        <s v="9499917"/>
        <n v="9923111"/>
        <n v="10138182"/>
        <n v="10135388"/>
        <s v="9624911"/>
        <s v="20160139476"/>
        <n v="9370773"/>
        <n v="9957624"/>
        <n v="9580824"/>
        <n v="9481939"/>
        <n v="9640826"/>
        <s v="9287573"/>
        <s v="9660265"/>
        <s v="8691444"/>
        <s v="9559375"/>
        <s v="9614245"/>
        <s v="9899695"/>
        <n v="9859531"/>
        <s v="9935315"/>
        <s v="9954222"/>
        <n v="9502715"/>
        <n v="9768445"/>
        <s v="9871236"/>
        <s v="9685644"/>
        <s v="10020487"/>
        <s v="9905836"/>
        <s v="9315914"/>
        <n v="10184138"/>
        <n v="10266831"/>
        <n v="9518278"/>
        <n v="10006033"/>
        <s v="9214572"/>
        <n v="9853147"/>
        <n v="9991376"/>
        <n v="9876104"/>
        <s v="9583482"/>
        <s v="9735318"/>
        <n v="9899482"/>
        <n v="9865725"/>
        <s v="10418475"/>
        <s v="9362389"/>
        <n v="9415996"/>
        <s v="9370765"/>
        <s v="9773934"/>
        <s v="9787247"/>
        <n v="10031040"/>
        <n v="9823184"/>
        <n v="9910014"/>
        <s v="9291610"/>
        <n v="10323151"/>
        <s v="9776860 "/>
        <n v="9815021"/>
        <s v="9702596"/>
        <n v="9702596"/>
        <s v="9666850"/>
        <s v="9153803"/>
      </sharedItems>
    </cacheField>
    <cacheField name="Grant Date" numFmtId="0">
      <sharedItems containsDate="1" containsBlank="1" containsMixedTypes="1" minDate="2018-05-01T00:00:00" maxDate="2018-05-02T00:00:00"/>
    </cacheField>
    <cacheField name="PatSnap Patent Application Number" numFmtId="0">
      <sharedItems containsBlank="1" count="383">
        <s v="US13/969900"/>
        <m/>
        <s v="US13/200723"/>
        <s v="US14/045506"/>
        <s v="14/840676"/>
        <s v="US13/840649"/>
        <s v=" US13/428585"/>
        <s v="US14/207823"/>
        <s v="US13/891963"/>
        <s v="US13/560147"/>
        <s v="US61/467261"/>
        <s v="US61/472474"/>
        <s v="15/340084"/>
        <s v="US13/153866"/>
        <s v="US61/467249"/>
        <s v="US14/357767"/>
        <s v="13/091122"/>
        <s v="US13/918452"/>
        <s v="US13/918444"/>
        <s v="PCT/US2011/042821"/>
        <s v="PCT/US2012/044555"/>
        <s v="US13/898241"/>
        <s v="US13/805733"/>
        <s v="US12/574208"/>
        <s v="US13/604517"/>
        <s v="US13/397190"/>
        <s v="US13/750986"/>
        <s v="US13/405180"/>
        <s v="US13/941335"/>
        <s v="US14/750262"/>
        <s v="US13/749477"/>
        <s v="PCT/US2012/070686"/>
        <s v="PCT/US2017/037534"/>
        <e v="#N/A"/>
        <s v="US14/567615"/>
        <s v="13/544391"/>
        <s v="13/758468 "/>
        <s v="13/717364"/>
        <s v="US13/758387"/>
        <s v="US14/089281"/>
        <s v="US14/485516"/>
        <s v="US13/812757"/>
        <s v="US15/011266"/>
        <s v="US16/023137"/>
        <s v="PCT/US2011/045708"/>
        <s v="US14/649540"/>
        <s v="US14/382822"/>
        <s v="US13/400014"/>
        <s v="US13/185459"/>
        <s v="US9227360"/>
        <s v="US13/428843"/>
        <s v="US14/112666"/>
        <s v="US13/547006"/>
        <s v="US13/404548"/>
        <s v="US13/416246"/>
        <s v="US12/938951"/>
        <s v="US13/354096"/>
        <s v="US13/108708"/>
        <s v="US13/491593"/>
        <s v="PCT/US2014/041035"/>
        <s v="PCT/US2016/015736"/>
        <s v="PCT/US2011/036151"/>
        <s v="PCT/US2017/039685"/>
        <s v="PCT/US2018/048895"/>
        <s v="US13/553716"/>
        <s v="US15/186534"/>
        <s v="US61/919692"/>
        <s v="US13/886177"/>
        <s v="PCT/US2017/013637"/>
        <s v="PCT/US2015/043676"/>
        <s v="US14/951339"/>
        <s v="PCT/US2016/017421"/>
        <s v="PCT/US2017/039307"/>
        <s v="PCT/US2011/032317"/>
        <s v="PCT/US2013/026339"/>
        <s v="PCT/US2017/015641"/>
        <s v="PCT/US2016/066144"/>
        <s v="PCT/US2014/045384"/>
        <s v="PCT/US2017/019644"/>
        <s v="PCT/US2013/041987"/>
        <s v="PCT/US2017/026218"/>
        <s v="PCT/US2014/051064"/>
        <s v="PCT/US2012/062540"/>
        <s v="PCT/US2016/059160"/>
        <s v="PCT/US2019/022575"/>
        <s v="PCT/US2017/019947"/>
        <s v="PCT/US2017/019939"/>
        <s v="PCT/US2017/058826"/>
        <s v="PCT/US2017/057156"/>
        <s v="PCT/US2018/025331"/>
        <s v="PCT/US2011/052316"/>
        <s v="PCT/US2016/017167"/>
        <s v="PCT/US2013/027351"/>
        <s v="PCT/US2013/047042"/>
        <s v="PCT/US2012/061101"/>
        <s v="PCT/US2016/050369"/>
        <s v="PCT/US2014/014681"/>
        <s v="PCT/US2014/036862"/>
        <s v="PCT/US2012/061311"/>
        <s v="PCT/US2015/033665"/>
        <s v="PCT/US2016/030193"/>
        <s v="PCT/US2016/045615"/>
        <s v="PCT/US2016/017518"/>
        <s v="PCT/US2014/043407"/>
        <s v="PCT/US2016/033545"/>
        <s v="PCT/US2016/028959"/>
        <s v="PCT/US2018/012913"/>
        <s v="PCT/US2017/051333"/>
        <s v="PCT/EP2017/051325"/>
        <s v="PCT/US2017/053305"/>
        <s v="PCT/US2019/016554"/>
        <s v="PCT/US2017/018420"/>
        <s v="PCT/US2018/043541"/>
        <s v="PCT/US2018/034637"/>
        <s v="PCT/US2018/062295"/>
        <s v="PCT/US2017/020201"/>
        <s v="PCT/US2018/026864"/>
        <s v="PCT/US2018/013281"/>
        <s v="PCT/US2016/015857"/>
        <s v="PCT/US2018/012872"/>
        <s v="PCT/US2018/013286"/>
        <s v="PCT/GB2015/052279"/>
        <s v="PCT/GB2014/053507"/>
        <s v="PCT/US2012/069472"/>
        <s v="PCT/US2013/066221"/>
        <s v="PCT/EP2012/062262"/>
        <s v="PCT/US2016/061064"/>
        <s v="PCT/US2018/019782"/>
        <s v="PCT/US2011/066143"/>
        <s v="PCT/US2014/063869"/>
        <s v="PCT/US2017/044724"/>
        <s v="PCT/US2013/063472"/>
        <s v="PCT/US2016/058245"/>
        <s v="PCT/US2018/017913"/>
        <s v="PCT/US2017/013413"/>
        <s v="PCT/US2018/056370"/>
        <s v="PCT/US2019/023170"/>
        <s v="PCT/US2016/054155"/>
        <s v="PCT/US2016/037103"/>
        <s v="PCT/US2014/043902"/>
        <s v="PCT/US2017/048365"/>
        <s v="PCT/US2017/030108"/>
        <s v="PCT/US2017/016241"/>
        <s v="PCT/US2018/036388"/>
        <s v="PCT/US2015/056733"/>
        <s v="PCT/US2013/020214"/>
        <s v="PCT/US2016/043188"/>
        <s v="US13/794508"/>
        <s v="US13/803456"/>
        <s v="US13/794551"/>
        <s v="US13/803321"/>
        <s v="PCT/US2015/025422"/>
        <s v="PCT/US2014/067700"/>
        <s v="PCT/US2017/063109"/>
        <s v="PCT/US2015/063234"/>
        <s v="PCT/US2017/028091"/>
        <s v="PCT/US2017/057725"/>
        <s v="PCT/US2018/040898"/>
        <s v="PCT/US2019/028925"/>
        <s v="PCT/EP2017/051322"/>
        <s v="PCT/EP2017/073770"/>
        <s v="PCT/GB2015/051382"/>
        <s v="US13/532616"/>
        <s v="US13/224709"/>
        <s v="US14/172648"/>
        <s v="US13/949875"/>
        <s v="US14/668102"/>
        <s v="US12/657198"/>
        <s v="US13/644933"/>
        <s v="US12/928346"/>
        <s v="US14/455230"/>
        <s v="US14/209274"/>
        <s v="US14/068372"/>
        <s v="US13/850437"/>
        <s v="US13/135798"/>
        <s v="US13/721586"/>
        <s v="US13/174393"/>
        <s v="US13/174253"/>
        <s v="US13/721648"/>
        <s v="US12/819626"/>
        <s v="US14/405653"/>
        <s v="US14/342530"/>
        <s v="US14/555535"/>
        <s v="US13/599709"/>
        <s v="US14/426290"/>
        <s v="US14/506384"/>
        <s v="US13/598321"/>
        <s v="US13/931421"/>
        <s v="US14/051594"/>
        <s v="US13/429503"/>
        <s v="US14/078815"/>
        <s v="US13/522288"/>
        <s v="US14/875655"/>
        <s v="US14/860211"/>
        <s v="US13/514378"/>
        <s v="US14/575927"/>
        <s v="US14/427374"/>
        <s v="US14/354354"/>
        <s v="US13/285919"/>
        <s v="PCT/US2013/073582"/>
        <s v="US13/782290"/>
        <s v="PCT/US2014/064172"/>
        <s v="PCT/US2012/070086"/>
        <s v="PCT/US2012/049867"/>
        <s v="PCT/US2012/026641"/>
        <s v="PCT/US2015/061532"/>
        <s v="US13/657616"/>
        <s v="US13/301731"/>
        <s v="US12/875947"/>
        <s v="PCT/US2014/022588"/>
        <s v="PCT/US2013/075106"/>
        <s v="US14/719566"/>
        <s v="US14/202606"/>
        <s v="US14/875076"/>
        <s v="US13/832836"/>
        <s v="US13/832861"/>
        <s v="US14/336119"/>
        <s v="US14/543489"/>
        <s v="US13/606986"/>
        <s v="US14/597869"/>
        <s v="US13/607021"/>
        <s v="US12/970773"/>
        <s v="US13/718207"/>
        <s v="US13/757731"/>
        <s v="US13/844166"/>
        <s v="US13/673966"/>
        <s v="US13/926313"/>
        <s v="US14/476644"/>
        <s v="US15/083885"/>
        <s v="US14/293107"/>
        <s v="US14/445760"/>
        <s v="US13/403813"/>
        <s v="US14/307234"/>
        <s v="US14/713843"/>
        <s v="US14/290002"/>
        <s v="PCT/US2014/058366"/>
        <s v="US13/733125"/>
        <s v="US14/590086"/>
        <s v="US14/543189"/>
        <s v="US13/649658"/>
        <s v="US14/651012"/>
        <s v="US14/442546"/>
        <s v="US14/082618"/>
        <s v="PCT/US2014/033267"/>
        <s v="US13/843489"/>
        <s v="PCT/US2017/058222"/>
        <s v="US14/353391"/>
        <s v="US13/524761"/>
        <s v="US14/175461"/>
        <s v="US13/169487"/>
        <s v="US14/155611"/>
        <s v="US14/157958"/>
        <s v="US13/164059"/>
        <s v="US14/770969"/>
        <s v="US13/160193"/>
        <s v="US14/380008"/>
        <s v="US13/104456"/>
        <s v="US13/788218"/>
        <s v="US13/538229"/>
        <s v="PCT/US2014/053472"/>
        <s v="US14/741427"/>
        <s v="US14/270276"/>
        <s v="US14/367495"/>
        <s v="US14/653427"/>
        <s v="PCT/US2014/042775"/>
        <s v="US13/657302"/>
        <s v="US14/151224"/>
        <s v="PCT/US2014/065365"/>
        <s v="PCT/US2013/073549"/>
        <s v="US13/798292"/>
        <s v="PCT/US2016/062297"/>
        <s v="PCT/US2016/064796"/>
        <s v="PCT/US2018/026941"/>
        <s v="US14/208747"/>
        <s v="US14/104724"/>
        <s v="US13/827560"/>
        <s v="US14/370138"/>
        <s v="US14/304102"/>
        <s v="US14/834861"/>
        <s v="US13/786807"/>
        <s v="US14/820284"/>
        <s v="US14/766101"/>
        <s v="US14/238835"/>
        <s v="US14/821520"/>
        <s v="PCT/US2018/031113"/>
        <s v="PCT/US2012/051382"/>
        <s v="PCT/US2016/058109"/>
        <s v="PCT/US2014/072347"/>
        <s v="US14/866125"/>
        <s v="US14/194396"/>
        <s v="PCT/US2016/039050"/>
        <s v="PCT/US2017/021121"/>
        <s v="US14/815377"/>
        <s v="US14/514206"/>
        <s v="US14/318170"/>
        <s v="US13/799989"/>
        <s v="US14/714964"/>
        <s v="US14/542937"/>
        <s v="US14/475985"/>
        <s v="US15/188218"/>
        <s v="US14/026737"/>
        <s v="US13/842844"/>
        <s v="US14/818203"/>
        <s v="US13/707558"/>
        <s v="US14/260253"/>
        <s v="US13/870615"/>
        <s v="PCT/US2016/017885"/>
        <s v="PCT/US2019/021774"/>
        <s v="US13/719198"/>
        <s v="US14/262161"/>
        <s v="US15/165247"/>
        <s v="US15/307267"/>
        <s v="PCT/GB2015/051383"/>
        <s v="US14/696425"/>
        <s v="US15/033748"/>
        <s v="US14/218969"/>
        <s v="US11/949720"/>
        <s v="US14/671787"/>
        <s v="US13/887201"/>
        <s v="US14/172831"/>
        <s v="US15/232355"/>
        <s v="PCT/US2018/056103"/>
        <s v="PCT/US2015/059523"/>
        <s v="US14/244807"/>
        <s v="US14/676725"/>
        <s v="US15/297011"/>
        <s v="US14/019491"/>
        <s v="US14/199794"/>
        <s v="PCT/US2016/032173"/>
        <s v="US14/164106"/>
        <s v="US14/956011"/>
        <s v="US14/102197"/>
        <s v="15072839"/>
        <s v="PCT/US2015/061181"/>
        <s v="US14/683599"/>
        <s v="US15/006201"/>
        <s v="US14/574523"/>
        <s v="US9455446"/>
        <s v="14795834"/>
        <s v="14067038"/>
        <s v="US14/823399"/>
        <s v="US14/928559"/>
        <s v="US14/656808"/>
        <s v="US14/198755"/>
        <s v="US14/230882"/>
        <s v="US15/199367"/>
        <s v="US15/136375"/>
        <s v="15085881"/>
        <s v="US13/892982"/>
        <s v="US14/822713"/>
        <s v="US14/248729"/>
        <s v="US14/327720"/>
        <s v="PCT/US2015/025785"/>
        <s v="PCT/US2016/021253"/>
        <s v="PCT/US2012/040429"/>
        <s v="PCT/US2017/050512"/>
        <s v="PCT/US2017/040223"/>
        <s v="PCT/US2017/067647"/>
        <s v="PCT/US2014/041051"/>
        <s v="PCT/US2014/056274"/>
        <s v="PCT/US2017/056414"/>
        <s v="US14/893895"/>
        <s v="PCT/US2016/051124"/>
        <s v="PCT/US2016/021044"/>
        <s v="US14/576309"/>
        <s v="US14/626092"/>
        <s v="US14/626332"/>
        <s v="US15/112364"/>
        <s v="US14/303019"/>
        <s v="PCT/US2018/044879"/>
        <s v="PCT/US2019/012213"/>
        <s v="US14/710509"/>
        <s v="PCT/US2018/047947"/>
        <s v="US14/991027"/>
        <s v="US15/184425"/>
        <s v="US15/149152"/>
        <s v="PCT/US2017/057017"/>
        <s v="US15/085881"/>
        <s v="PCT/US2019/018480"/>
        <s v="PCT/US2019/024273"/>
        <s v="PCT/US2016/065259"/>
        <s v="US15/712089"/>
        <s v="PCT/US2017/052828"/>
      </sharedItems>
    </cacheField>
    <cacheField name="PatSnap Patent Publication #" numFmtId="0">
      <sharedItems count="354">
        <s v="US9856791"/>
        <e v="#N/A"/>
        <s v="US9079815"/>
        <s v="US9273330"/>
        <s v="US9422582"/>
        <s v="US9422581"/>
        <s v="US9580705"/>
        <s v="US9169467"/>
        <s v="US9238828"/>
        <s v="US61467261P0"/>
        <s v="US61472474P0"/>
        <s v="US20120258873A1"/>
        <s v="US61467249P0"/>
        <s v="US9744515"/>
        <s v="US9917323"/>
        <s v="WO2012003460A3"/>
        <s v="WO2013006361A1"/>
        <s v="US9303264"/>
        <s v="US9255283"/>
        <s v="US20100166547A1"/>
        <s v="US8796738"/>
        <s v="US8659030"/>
        <s v="US8969881"/>
        <s v="US8957454"/>
        <s v="US9070755"/>
        <s v="US9379231"/>
        <s v="WO2013096488A2"/>
        <s v="WO2017218692A1"/>
        <s v="US20150161233A1"/>
        <s v="US9217198"/>
        <s v="US9013777"/>
        <s v="US8637996"/>
        <s v="US8976440"/>
        <s v="US9589792"/>
        <s v="US9543392"/>
        <s v="US10145021"/>
        <s v="US10094017"/>
        <s v="WO2012016033A1"/>
        <s v="US10155908"/>
        <s v="US9133819"/>
        <s v="US9227360"/>
        <s v="US9216391"/>
        <s v="US9316545"/>
        <s v="US8901612"/>
        <s v="US9190694"/>
        <s v="US9139441"/>
        <s v="US9601228"/>
        <s v="US9218917"/>
        <s v="WO2014197666A2"/>
        <s v="WO2016123531A1"/>
        <s v="WO2011143368A1"/>
        <s v="WO2018005612A1"/>
        <s v="WO2019046605A2"/>
        <s v="US20190080854A9"/>
        <s v="US61919692P0"/>
        <s v="WO2017136124A1"/>
        <s v="WO2016022603A1"/>
        <s v="US14/951339"/>
        <s v="WO2016130725A1"/>
        <s v="WO2018005371A1"/>
        <s v="WO2011130407A1"/>
        <s v="WO2013123326A1"/>
        <s v="WO2017132672A1"/>
        <s v="WO2017100758A1"/>
        <s v="WO2015003120A1"/>
        <s v="WO2017147568A1"/>
        <s v="WO2014143100A1"/>
        <s v="WO2018186859A1"/>
        <s v="WO2015023847A1"/>
        <s v="WO2017075242A1"/>
        <s v="WO2019178537A1"/>
        <s v="WO2017151612A1"/>
        <s v="WO2017151606A1"/>
        <s v="WO2018081608A1"/>
        <s v="WO2018075624A1"/>
        <s v="WO2018212837A1"/>
        <s v="WO2012040176A1"/>
        <s v="WO2016130558A1"/>
        <s v="WO2013126721A1"/>
        <s v="WO2013192520A1"/>
        <s v="WO2018048382A1"/>
        <s v="WO2014121276A2"/>
        <s v="WO2014189667A1"/>
        <s v="WO2015187618A2"/>
        <s v="WO2016176612A1"/>
        <s v="WO2017030804A1"/>
        <s v="WO2016130783A1"/>
        <s v="WO2014209792A1"/>
        <s v="WO2016187547A1"/>
        <s v="WO2016172561A1"/>
        <s v="WO2018136259A1"/>
        <s v="WO2019054999A1"/>
        <s v="WO2017129522A1"/>
        <s v="WO2018058062A1"/>
        <s v="WO2019152952A1"/>
        <s v="WO2017143222A1"/>
        <s v="WO2019023268A1"/>
        <s v="WO2018218144A2"/>
        <s v="WO2019104204A1"/>
        <s v="WO2017151769A1"/>
        <s v="WO2018191251A1"/>
        <s v="WO2018132546A1"/>
        <s v="WO2016123592A1"/>
        <s v="WO2018132344A1"/>
        <s v="WO2019139589A1"/>
        <s v="WO2016020689A1"/>
        <s v="WO2015079230A1"/>
        <s v="WO2013184162A1"/>
        <s v="WO2014066415A2"/>
        <s v="WO2013029830A1"/>
        <s v="WO2017083338A1"/>
        <s v="WO2018157089A1"/>
        <s v="WO2013095378A1"/>
        <s v="WO2015066693A1"/>
        <s v="WO2018023125A1"/>
        <s v="WO2014055873A1"/>
        <s v="WO2017070560A1"/>
        <s v="WO2018148703A1"/>
        <s v="WO2017123930A1"/>
        <s v="WO2019079513A1"/>
        <s v="WO2019183224A1"/>
        <s v="WO2017105578A3"/>
        <s v="WO2016201384A2"/>
        <s v="WO2014210027A1"/>
        <s v="WO2013059649A1"/>
        <s v="WO2018039428A1"/>
        <s v="WO2017189991A1"/>
        <s v="WO2017136569A2"/>
        <s v="WO2018226914A1"/>
        <s v="WO2016065048A1"/>
        <s v="WO2013103762A1"/>
        <s v="WO2017015396A1"/>
        <s v="US8951676"/>
        <s v="US9172111"/>
        <s v="WO2015199791A2"/>
        <s v="WO2015112257A1"/>
        <s v="WO2018098349A1"/>
        <s v="WO2016089899A1"/>
        <s v="WO2017184580A1"/>
        <s v="WO2018075964A1"/>
        <s v="WO2019010290A1"/>
        <s v="WO2019209959A1"/>
        <s v="WO2017129520A1"/>
        <s v="WO2018054972A1"/>
        <s v="US8927068"/>
        <s v="US9065122"/>
        <s v="US9583779"/>
        <s v="US9397345"/>
        <s v="US9755268"/>
        <s v="US8802287"/>
        <s v="US8877367"/>
        <s v="US10020479"/>
        <s v="US9728768"/>
        <s v="US10069135"/>
        <s v="US9040197"/>
        <s v="US9312398"/>
        <s v="US8512989"/>
        <s v="US8420364"/>
        <s v="US8354262"/>
        <s v="US8569031"/>
        <s v="US8328911"/>
        <s v="US9409116"/>
        <s v="US9421514"/>
        <s v="US9102691"/>
        <s v="US9283502"/>
        <s v="US9587256"/>
        <s v="US9567678"/>
        <s v="US9302219"/>
        <s v="US9656205"/>
        <s v="US9427698"/>
        <s v="US9427697"/>
        <s v="US9302220"/>
        <s v="US9150889"/>
        <s v="US9856449"/>
        <s v="US9428778"/>
        <s v="US9879251"/>
        <s v="US9902980"/>
        <s v="US8349587"/>
        <s v="WO2014089436A1"/>
        <s v="WO2013066848A1"/>
        <s v="US8691171"/>
        <s v="WO2015069799A1"/>
        <s v="WO2013090895A1"/>
        <s v="WO2013022896A1"/>
        <s v="WO2012116338A1"/>
        <s v="WO2016081704A1"/>
        <s v="US9410736"/>
        <s v="US8764885"/>
        <s v="US8646538"/>
        <s v="WO2014150210A1"/>
        <s v="WO2014093876A1"/>
        <s v="US9362583"/>
        <s v="US9437864"/>
        <s v="US9178200"/>
        <s v="US9484569"/>
        <s v="US10122044"/>
        <s v="US9401501"/>
        <s v="US9825280"/>
        <s v="US9184464"/>
        <s v="US9203092"/>
        <s v="US8722226"/>
        <s v="US8739603"/>
        <s v="US9325171"/>
        <s v="US9114281"/>
        <s v="US9281756"/>
        <s v="US9184237"/>
        <s v="US9607748"/>
        <s v="US10118862"/>
        <s v="US9295116"/>
        <s v="US9359259"/>
        <s v="US8786327"/>
        <s v="US9041435"/>
        <s v="US9905367"/>
        <s v="US9538875"/>
        <s v="WO2015048765A1"/>
        <s v="US9555895"/>
        <s v="US9598170"/>
        <s v="US9041003"/>
        <s v="US9911813"/>
        <s v="US9570600"/>
        <s v="WO2014168911A1"/>
        <s v="US9722236"/>
        <s v="WO2018081224A1"/>
        <s v="US9488392"/>
        <s v="US9577298"/>
        <s v="US9800167"/>
        <s v="US8137831"/>
        <s v="US9308491"/>
        <s v="US9273876"/>
        <s v="US8668997"/>
        <s v="US10044058"/>
        <s v="US9083019"/>
        <s v="US9419289"/>
        <s v="US8803384"/>
        <s v="US9251938"/>
        <s v="US9373433"/>
        <s v="WO2015031788A1"/>
        <s v="US9879166"/>
        <s v="US9527741"/>
        <s v="US9669379"/>
        <s v="US9776154"/>
        <s v="WO2014204985A1"/>
        <s v="US10139169"/>
        <s v="US10072638"/>
        <s v="WO2015073620A1"/>
        <s v="WO2013059785A1"/>
        <s v="WO2014089422A1"/>
        <s v="US9142350"/>
        <s v="WO2017087535A1"/>
        <s v="WO2017096283A1"/>
        <s v="WO2018191291A1"/>
        <s v="US9419479"/>
        <s v="US9461523"/>
        <s v="US9362788"/>
        <s v="US9997285"/>
        <s v="US10062482"/>
        <s v="US9548150"/>
        <s v="US10072356"/>
        <s v="US9715957"/>
        <s v="US10068689"/>
        <s v="US10002694"/>
        <s v="WO2018204800A1"/>
        <s v="WO2013026007A2"/>
        <s v="WO2017091309A2"/>
        <s v="WO2015103074A1"/>
        <s v="US10240163"/>
        <s v="US10106826"/>
        <s v="WO2016210154A1"/>
        <s v="WO2017160529A1"/>
        <s v="US10100325"/>
        <s v="US9394503"/>
        <s v="US9337767"/>
        <s v="US9590060"/>
        <s v="US9318593"/>
        <s v="US9799779"/>
        <s v="US10033263"/>
        <s v="US9407157"/>
        <s v="US9306391"/>
        <s v="US10158229"/>
        <s v="US9197065"/>
        <s v="US9590421"/>
        <s v="US9054530"/>
        <s v="WO2016131008A1"/>
        <s v="WO2019178041A1"/>
        <s v="US9249934"/>
        <s v="US9951095"/>
        <s v="WO2015173553A1"/>
        <s v="US9452380"/>
        <s v="US10035127"/>
        <s v="US9550341"/>
        <s v="US8075827"/>
        <s v="US9476546"/>
        <s v="US9217538"/>
        <s v="US10088101"/>
        <s v="US10107452"/>
        <s v="WO2019079312A1"/>
        <s v="WO2016073883A1"/>
        <s v="US9316178"/>
        <s v="US9528465"/>
        <s v="US9685651"/>
        <s v="US9509011"/>
        <s v="WO2016183356A1"/>
        <s v="US10079413"/>
        <s v="US10120035"/>
        <s v="US9660299"/>
        <s v="US10224579"/>
        <s v="WO2016081513A1"/>
        <s v="US9777122"/>
        <s v="US9957438"/>
        <s v="US10006436"/>
        <s v="US9455446"/>
        <s v="US20150311515A1"/>
        <s v="US9450224"/>
        <s v="US9705130"/>
        <s v="US9660268"/>
        <s v="US9742027"/>
        <s v="US9634317"/>
        <s v="US10096999"/>
        <s v="US9973092"/>
        <s v="US20160293932A1"/>
        <s v="US9853318"/>
        <s v="US10041171"/>
        <s v="US9738529"/>
        <s v="US10005674"/>
        <s v="WO2015160829A1"/>
        <s v="WO2016144909A9"/>
        <s v="WO2012167057A3"/>
        <s v="WO2018049050A1"/>
        <s v="WO2018005934A1"/>
        <s v="WO2018119102A1"/>
        <s v="WO2014197675A3"/>
        <s v="WO2015042244A1"/>
        <s v="WO2018071723A1"/>
        <s v="US10115942"/>
        <s v="WO2017044863A1"/>
        <s v="WO2017003528A1"/>
        <s v="US9880144"/>
        <s v="US9702845"/>
        <s v="US9797857"/>
        <s v="US10059920"/>
        <s v="US10062749"/>
        <s v="WO2019028180A1"/>
        <s v="WO2019164589A1"/>
        <s v="US9882215"/>
        <s v="WO2019040866A3"/>
        <s v="US10014529"/>
        <s v="US10059584"/>
        <s v="US9927178"/>
        <s v="WO2018080842A1"/>
        <s v="WO2019164797A1"/>
        <s v="WO2019191225A1"/>
        <s v="US9702596"/>
        <s v="US20180082385A1"/>
        <s v="WO2018057818A1"/>
      </sharedItems>
    </cacheField>
    <cacheField name="PI Name" numFmtId="0">
      <sharedItems count="433">
        <s v="Norbert Mueller"/>
        <s v="Mitrajit Mukherjee"/>
        <s v="Yuki Kashiyama"/>
        <s v="Lawrence Wackett"/>
        <s v="Yushan  Yan"/>
        <s v="Martin Spalding"/>
        <s v="Willem Vermaas"/>
        <s v="Robert Dold"/>
        <s v="Monty Hayes"/>
        <s v="Liang-Shih Fan"/>
        <s v="James Sweeney"/>
        <s v="Brian Berland "/>
        <s v="Mark D'Evelyn"/>
        <s v="David Dayton"/>
        <s v="Paul Lees"/>
        <s v="Wayne Carlson"/>
        <s v="Olgica Bakajin"/>
        <s v="David Moore"/>
        <s v="Anthony Atti"/>
        <s v="Herman Lopez"/>
        <s v="Riccardo Signorelli"/>
        <s v="Daniel Nocera"/>
        <s v="Ross Youngs"/>
        <s v="Cody Friesen"/>
        <s v="Alan Browne"/>
        <s v="Sanjiv Sinha"/>
        <s v="R. Raab"/>
        <s v="Mark Zediker"/>
        <s v="Ron Nowlin"/>
        <s v="Donald Sadoway"/>
        <s v="Anthony Sinskey"/>
        <s v="Gregory Stephanopoulos"/>
        <s v="Scott Banta"/>
        <s v="Steven Visco"/>
        <s v="Robert Doe"/>
        <s v="Connie Wang"/>
        <s v="Yet-Ming Chiang"/>
        <s v="Yangchuan Xing"/>
        <s v="Yuriy  Mikhaylik"/>
        <s v="Fritz Prinz"/>
        <s v="Aram Yang"/>
        <s v="James Lalonde"/>
        <s v="Kunlei Liu"/>
        <s v="Hongcai Zhou"/>
        <s v="Vladimir Balepin"/>
        <s v="Pamela Silver"/>
        <s v="Robert Kelly"/>
        <s v="T. Hatton"/>
        <s v="Robert Perry"/>
        <s v="James Liao"/>
        <s v="Derek Lovley"/>
        <s v="David Hogsett"/>
        <s v="Harold May"/>
        <s v="Jason Kelly"/>
        <s v="Luke Coleman"/>
        <s v="Joan Brennecke"/>
        <s v="F. Tabita"/>
        <s v="Richard Noble"/>
        <s v="Ah-Hyung Park"/>
        <s v="Larry Baxter"/>
        <s v="Taison  Tan"/>
        <s v="Jeff Long"/>
        <e v="#N/A"/>
        <s v="Khai Ngo"/>
        <s v="Mark Allen"/>
        <s v="Deepak Divan"/>
        <s v="David Grider"/>
        <s v="Alex Lostetter"/>
        <s v="Vivek Mehrotra"/>
        <s v="Steven O'Brien"/>
        <s v="YiFeng Wu"/>
        <s v="Gerhard Welsch"/>
        <s v="Karim Boutros"/>
        <s v="Satish Prabhakaran"/>
        <s v="William Schneider"/>
        <s v="Corwin Hardham"/>
        <s v="David Perreault"/>
        <s v="Aaron Sathrum"/>
        <s v="Uttam Ghoshal"/>
        <s v="Steve L.  Russek"/>
        <s v="Robert Keolian"/>
        <s v="Ichiro Takeuchi"/>
        <s v="Stephen Ricci"/>
        <s v="Saeed Moghaddam"/>
        <s v="Sri Narayan"/>
        <s v="Richard Wirz"/>
        <s v="VR Ramanan"/>
        <s v="Rick Winter"/>
        <s v="Frederick Cogswell"/>
        <s v="Timothy Wagner"/>
        <s v="Michael Perry"/>
        <s v="Sanjoy Banerjee"/>
        <s v="Michael Strasik"/>
        <s v="Richard Hockney"/>
        <s v="Francis Johnson"/>
        <s v="Kelly Herbst"/>
        <s v="NULL"/>
        <s v="Z. Zak Fang"/>
        <s v="Justin Raade"/>
        <s v="Li Shi"/>
        <s v="Yogi Goswami"/>
        <s v="Jeffrey C. Grossman"/>
        <s v="Gang Chen"/>
        <s v="Jane Davidson"/>
        <s v="Catherine Thibaud-Erkey"/>
        <s v="David Hahn"/>
        <s v="Evelyn Wang"/>
        <s v="Laura H. Lewis"/>
        <s v="Ian Baker"/>
        <s v="Yang-Ki Hong"/>
        <s v="Steve Evon"/>
        <s v="Everett Carpenter"/>
        <s v="David Matthiesen"/>
        <s v="Frederick Pinkerton"/>
        <s v="Jianping Wang"/>
        <s v="Danny Schnell"/>
        <s v="Toni Kutchan"/>
        <s v="Joshua Yuan"/>
        <s v="Tasios Melis"/>
        <s v="Stephen  Long"/>
        <s v="Heike Sederoff"/>
        <s v="Daphne Preuss"/>
        <s v="Gary Peter"/>
        <s v="Babak Fahimi"/>
        <s v="Rakesh Lal"/>
        <s v="Bill Alexander"/>
        <s v="Dragan Maksimovic"/>
        <s v="Patrick Chapman"/>
        <s v="Michael McHenry"/>
        <s v="Fang Z Peng"/>
        <s v="Rob Sellick"/>
        <s v="Carlos Grijalva"/>
        <s v="Steven Low"/>
        <s v="Anish Prasai"/>
        <s v="Qin Chen"/>
        <s v="Frank Kreikebaum"/>
        <s v="Geoff  Staines "/>
        <s v="Amit  Narayan "/>
        <s v="Shiguang LI"/>
        <s v="Marc Hornbostel"/>
        <s v="Mike Veenstra"/>
        <s v="Adam Loukus"/>
        <s v="Ellen Sun"/>
        <s v="Saul Griffith"/>
        <s v="Anna Lis Laursen"/>
        <s v="Michael Lewis"/>
        <s v="Clark Fortune"/>
        <s v="Christopher Hagen"/>
        <s v="Thomas Kodenkandath"/>
        <s v="Yang Song"/>
        <s v="Guangyu Lin"/>
        <s v="Jack Chen"/>
        <s v="Alvaro Masias"/>
        <s v="Aaron Knobloch"/>
        <s v="Keith Kepler"/>
        <s v="Regan Zane"/>
        <s v="James Saunders"/>
        <s v="Hosam Fathy"/>
        <s v="Ajay Raghavan"/>
        <s v="Venkat Subramanian"/>
        <s v="Jeff Xu"/>
        <s v="Sungbae Park"/>
        <s v="Chinmaya Patil"/>
        <s v="Kenneth Sprouse"/>
        <s v="Alan  Weimer"/>
        <s v="Robert Enick"/>
        <s v="Qi  Zhu"/>
        <s v="Jongyoon Han"/>
        <s v="Matt Koch"/>
        <s v="Jong-Jan Lee"/>
        <s v="Timothy Sommerer"/>
        <s v="Colin Wessells"/>
        <s v="Kyoung Moon"/>
        <s v="Tat-Sing Chow"/>
        <s v="Chinbay Fan"/>
        <s v="Wayde Schmidt"/>
        <s v="Christopher Martin"/>
        <s v="David Erickson"/>
        <s v="Neal Stewart"/>
        <s v="Shanhui Fan"/>
        <s v="Shreyas Mandre"/>
        <s v="John  Lettow"/>
        <s v="Corie Cobb"/>
        <s v="Jinfang Liu"/>
        <s v="Joanna Aizenberg"/>
        <s v="John Sofranko"/>
        <s v="Pallavi Chitta"/>
        <s v="George Huber"/>
        <s v="Leila Madrone"/>
        <s v="Edward Arens"/>
        <s v="Peter Kozodoy"/>
        <s v="Harry Atwater"/>
        <s v="David Syracuse"/>
        <s v="Chris Rey"/>
        <s v="Michael Tsapatsis"/>
        <s v="Asegun Henry"/>
        <s v="Alexandra von Meier"/>
        <s v="Galen Stucky"/>
        <s v="Rich Masel"/>
        <s v="Yushan Yan"/>
        <s v="Yusheng Zhao"/>
        <s v="Michael Aziz"/>
        <s v="Mary Lidstrom"/>
        <s v="Frank Turano"/>
        <s v="Robert Savinell"/>
        <s v="Ajey Joshi"/>
        <s v="Ratnakumar Bugga"/>
        <s v="Mike Amato"/>
        <s v="Brian Johnson"/>
        <s v="Wayne Chen"/>
        <s v="Shirley Meng"/>
        <s v="Yan Yao"/>
        <s v="Sergei Kniajanski"/>
        <s v="Lin-Feng Li"/>
        <s v="Chris Rahn"/>
        <s v="Kwo Young"/>
        <s v="Chunsheng Wang"/>
        <s v="Christina Lampe-Onnerud"/>
        <s v="Fu-Kuo Chang"/>
        <s v="Yu Qiao"/>
        <s v="Daniel Steingart"/>
        <s v="Jeffrey Long"/>
        <s v="Alan Weimer"/>
        <s v="Jessy Rivest"/>
        <s v="Mark Ripepi"/>
        <s v="Rohan Akolkar"/>
        <s v="Raj Rajamani"/>
        <s v="Adam Powell"/>
        <s v="Subodh Das"/>
        <s v="Gary Howe"/>
        <s v="Robert De Saro"/>
        <s v="Pei  Sun"/>
        <s v="Luke Venstrom"/>
        <s v="Nalin Kumar"/>
        <s v="Stephen Ragsdale"/>
        <s v="Daniela Grabs"/>
        <s v="Shota Atsumi"/>
        <s v="Tony Wu"/>
        <s v="James &quot;Greg&quot; Ferry"/>
        <s v="Eleftherios Papoutsakis"/>
        <s v="Amy Rosenzweig"/>
        <s v="Derek Griffin "/>
        <s v="Goran Jovanovic"/>
        <s v="Kevin Matocha"/>
        <s v="Jacob Leach"/>
        <s v="Tadao Hashimoto"/>
        <s v="Robert McCarthy"/>
        <s v="Vladimir Matias"/>
        <s v="Rongming Chu"/>
        <s v="Umesh Mishra"/>
        <s v="Kenneth Shepard"/>
        <s v="Robert Nemanich"/>
        <s v="Huili (Grace) Xing"/>
        <s v="Timothy Grotjohn"/>
        <s v="Abhay Singh"/>
        <s v="Jordi Perez"/>
        <s v="Doug  Kirkpatrick"/>
        <s v="Todd Otanicar"/>
        <s v="Aleksandr Kozlov"/>
        <s v="David Lee"/>
        <s v="Doug  Hofer"/>
        <s v="Stephen Goodnick"/>
        <s v="Jurgen Michel"/>
        <s v="Matthew Escarra"/>
        <s v="Zachary Holman"/>
        <s v="Greg  Buchholz"/>
        <s v="Delia  Milliron"/>
        <s v="Rita Hansen"/>
        <s v="Masaru Tsuchiya"/>
        <s v="Ryan O'Hayre"/>
        <s v="Bryan Blackburn"/>
        <s v="Calum Chisholm"/>
        <s v="Tianli Zhu"/>
        <s v="Ashish Pattekar"/>
        <s v="Yunfeng Lu"/>
        <s v="Meilin Liu"/>
        <s v="John Carpenter"/>
        <s v="Michael Ohadi"/>
        <s v="Grace Chang"/>
        <s v="Stephen Maldonado"/>
        <s v="H. Ezzat Khalifa"/>
        <s v="YuHuang Wang"/>
        <s v="Jintu Fan"/>
        <s v="Hui  Zhang"/>
        <s v="Reinhard Radermacher"/>
        <s v="Ya Wang"/>
        <s v="Roy Kornbluh"/>
        <s v="Alon Gorodetsky"/>
        <s v="Joseph Wang"/>
        <s v="Brent Ridley"/>
        <s v="Mark Johnson"/>
        <s v="Stephen Segal "/>
        <s v="Gregory Rieker"/>
        <s v="Hendrik Hamann"/>
        <s v="Robert Kester"/>
        <s v="David Schwartz"/>
        <s v="William Challener"/>
        <s v="Mike Thorpe"/>
        <s v="Jeffrey Glass"/>
        <s v="Michael Frish"/>
        <s v="James Bowie"/>
        <s v="David Kirtley"/>
        <s v="Uri Shumlak"/>
        <s v="Gregory Nellis"/>
        <s v="Jon Longtin"/>
        <s v="Erik Torgerson"/>
        <s v="Raj Manglik"/>
        <s v="CJ  Tang"/>
        <s v="Ronggui Yang"/>
        <s v="Girish Srinivas"/>
        <s v="Richard Bonner"/>
        <s v="Bernard Casse"/>
        <s v="Amir Shooshtari"/>
        <s v="Bao Yang"/>
        <s v="Mitchell Tuinstra"/>
        <s v="Todd Mockler"/>
        <s v="Stephen Kresovich"/>
        <s v="Stephen Long"/>
        <s v="Rolf Reitz"/>
        <s v="Jim Kesseli"/>
        <s v="Gary Wood"/>
        <s v="Parviz Famouri"/>
        <s v="Professors Ben-Akiva and Trancik"/>
        <s v="Matthew  Klenk"/>
        <s v="Lei Zhang"/>
        <s v="Jonah Erlebacher"/>
        <s v="Khurram Afridi"/>
        <s v="Chris Giebink"/>
        <s v="JengPing Lu"/>
        <s v="Greg Schmidt"/>
        <s v="Russell Jewett"/>
        <s v="Bryce Shaffer"/>
        <s v="Charles Culp"/>
        <s v="Jeff Sakamoto"/>
        <s v="Steve Martin"/>
        <s v="John Pendray"/>
        <s v="Fabien Redon"/>
        <s v="Jarlath McEntee"/>
        <s v="Roger Howe"/>
        <s v="Fei (Fred) Wang"/>
        <s v="Eric Loth"/>
        <s v="Alexis Abramson"/>
        <s v="Shuji Nakamura"/>
        <s v="John Bowers"/>
        <s v="Reza Ghandi"/>
        <s v="Pat Brady"/>
        <s v="Richard Nebel"/>
        <s v="Nicholas AuYeung"/>
        <s v="Devin Halliday"/>
        <s v="Garret Miyake"/>
        <s v="Joseph Beach"/>
        <s v="Richard Bradshaw"/>
        <s v="Mads Almassalkhi"/>
        <s v="Junshan Zhang"/>
        <s v="Ram Rajagopal"/>
        <s v="Reza  Ghaemi"/>
        <s v="Murti Salapaka"/>
        <s v="Mike Nowak"/>
        <s v="Raymond Bryden"/>
        <s v="Marc Donohue"/>
        <s v="Philip Benfey"/>
        <s v="Todd  Otanicar"/>
        <s v="Mahati Chintapalli"/>
        <s v="Massimo Bertino"/>
        <s v="Laurent Pilon"/>
        <s v="Ivan Smalyukh"/>
        <s v="Sungho Jin"/>
        <s v="Erika Vreeland"/>
        <s v="Lynden Archer"/>
        <s v="Sankar Nair"/>
        <s v="Philseok  Kim"/>
        <s v="Terry Marker"/>
        <s v="Ramon Gonzalez"/>
        <s v="Enrique Gomez"/>
        <s v="Vijay Ramani"/>
        <s v="Chulsung Bae"/>
        <s v="Andrew Herring"/>
        <s v="Michael Yandrasits"/>
        <s v="Rishi Raj"/>
        <s v="Gene Berdichevsky"/>
        <s v="Ping Liu"/>
        <s v="Thomas Zawodzinski"/>
        <s v="J. Douglas Way"/>
        <s v="Jeff Naber"/>
        <s v="Chen-Fang Chang"/>
        <s v="Francesco Borrelli"/>
        <s v="Gregory Shaver"/>
        <s v="Giorgio Rizzoni"/>
        <s v="William Northrop"/>
        <s v="Alon McCormick"/>
        <s v="Jianli (John) Hu"/>
        <s v="Sameer Parvathikar"/>
        <s v="Wei Liu"/>
        <s v="Kendra Kuhl"/>
        <s v="Liang Dong"/>
        <s v="John McKay"/>
        <s v="Robert Norwood"/>
        <s v="Mahshid Amirabadi"/>
        <s v="Scott Hotz"/>
        <s v="Keren Bergman"/>
        <s v="George Papen"/>
        <s v="Juejun Hu"/>
        <s v="Clint Schow"/>
        <s v="Ming Wu"/>
        <s v="Roy Meade"/>
        <s v="Ram Ranjan"/>
        <s v="Andrew Hsieh"/>
        <s v="Yuji Zhao"/>
        <s v="Jung Han"/>
        <s v="Jae Kwon"/>
        <s v="Julia Greer"/>
        <s v="Federica Bianco"/>
        <s v="Colin Bailie"/>
        <s v="Suman Dwari"/>
        <s v="Zheng Shen"/>
        <s v="Vladimir Blasko"/>
        <s v="Thomas Jahns"/>
        <s v="Birger Pahl"/>
        <s v="Robert Erickson"/>
        <s v="Robert Pilawa-Podgurski"/>
        <s v="Loretta Roberson"/>
        <s v="Neil Sims"/>
        <s v="Miao Yu"/>
        <s v="Bob Karlicek"/>
        <s v="Janusz Konrad"/>
        <s v="Fernando Garzon"/>
        <s v="Claire Hartmann-Thompson"/>
        <s v="Scott Swartz"/>
        <s v="Jingyu Lin"/>
        <s v="Joerg Petrasch"/>
        <s v="Bahman Abbasi"/>
        <s v="Daniel Blumenthal"/>
        <s v="Mahmoud Hussein"/>
      </sharedItems>
    </cacheField>
    <cacheField name="PI Email" numFmtId="0">
      <sharedItems count="433">
        <s v="mueller@egr.msu.edu"/>
        <s v="mmukherjee@exelusinc.com"/>
        <s v="Kashiyama@ba-lab.com"/>
        <s v="wacke003@umn.edu"/>
        <s v="yanys@udel.edu"/>
        <s v="mspaldin@iastate.edu"/>
        <s v="wim@asu.edu"/>
        <s v="fmadden@fdwt.com"/>
        <s v="greg.l.grant@delphi.com"/>
        <s v="fan.1@osu.edu"/>
        <s v="jim.sweeney@stanford.edu"/>
        <s v="bberland@itnes.com"/>
        <s v="mdevelyn@soraa.com"/>
        <s v="ddayton@rti.org"/>
        <s v="paul@kohanatech.com"/>
        <s v="wcarlson@nalco.com"/>
        <s v="olgica@poriferanano.com"/>
        <s v="david.moore@lehigh.edu"/>
        <s v="atti@phononicdevices.com"/>
        <s v="hlopez@enviasystems.com"/>
        <s v="riccardo@fastcapsystems.com"/>
        <s v="nocera@suncatalytix.com"/>
        <s v="ryoungs@algaevs.com"/>
        <s v="cfriesen@asu.edu"/>
        <s v="alan.l.browne@gm.com"/>
        <s v="sanjiv@illinois.edu"/>
        <s v="rmraab@agrivida.com"/>
        <s v="joel.moxley@foroenergy.com"/>
        <s v="dave.lucero@eaglepicher.com"/>
        <s v="dsadoway@mit.edu"/>
        <s v="cbrigham@MIT.edu"/>
        <s v="gregstep@mit.edu"/>
        <s v="sbanta@columbia.edu"/>
        <s v="svisco@polyplus.com"/>
        <s v="rob@pelliontech.com"/>
        <s v="ajey_m_joshi@amat.com"/>
        <s v="ychiang@mit.edu"/>
        <s v="xingy@mst.edu"/>
        <s v="ymikhaylik@sionpower.com"/>
        <s v="kchesley@stanford.edu"/>
        <s v="a.yang@recappinginc.com"/>
        <s v="jim.lalonde@codexis.com"/>
        <s v="kunlei.liu@uky.edu"/>
        <s v="zhouh@tamu.edu"/>
        <s v="vladimir.balepin@atk.com"/>
        <s v="pamela_silver@hms.harvard.edu"/>
        <s v="rmkelly@eos.ncsu.edu"/>
        <s v="tahatton@mit.edu"/>
        <s v="robert.perry@crd.ge.com"/>
        <s v="liaoj@ucla.edu"/>
        <s v="dlovley@microbio.umass.edu"/>
        <s v="mlynch@opxbio.com"/>
        <s v="mayh@musc.edu"/>
        <s v="jason@ginkgobioworks.com"/>
        <s v="lcoleman@rti.org"/>
        <s v="stakach@nd.edu"/>
        <s v="tabita.1@osu.edu"/>
        <s v="nobler@colorado.edu"/>
        <s v="ap2622@columbia.edu"/>
        <s v="l.baxter@sesinnovation.com"/>
        <s v="ttan@24-m.com"/>
        <s v="jrlong@berkeley.edu"/>
        <e v="#N/A"/>
        <s v="kdtn@vt.edu"/>
        <s v="mallen@ece.gatech.edu"/>
        <s v="deepak.divan@ece.gatech.edu"/>
        <s v="David_Grider@cree.com"/>
        <s v="tmcnutt@apei.net"/>
        <s v="vmehrotra@teledyne.com"/>
        <s v="sobrien@ccny.cuny.edu"/>
        <s v="pparikh@transphormusa.com"/>
        <s v="Gxw2@case.edu"/>
        <s v="ksboutros@hrl.com"/>
        <s v="prabhaka@ge.com"/>
        <s v="wschneider@nd.edu"/>
        <s v="corwin@makanipower.com"/>
        <s v="djperrea@mit.edu"/>
        <s v="aaron.sathrum@ga.com"/>
        <s v="ghoshal@sheetak.com"/>
        <s v="s.russek@astronautics.com"/>
        <s v="rmk10@arl.psu.edu"/>
        <s v="takeuchi@umd.edu"/>
        <s v="ricci@battelle.org"/>
        <s v="saeedmog@ufl.edu"/>
        <s v="srnaraya@usc.edu"/>
        <s v="wirz@ucla.edu"/>
        <s v="vr.v.ramanan@us.abb.com"/>
        <s v="rick.winter@primuspower.net"/>
        <s v="misseljm@utrc.utc.com"/>
        <s v="reevehm@utrc.utc.com"/>
        <s v="perryml@utrc.utc.com"/>
        <s v="madams@che.ccny.cuny.edu"/>
        <s v="michael.strasik@boeing.com"/>
        <s v="hockney@beaconpower.com"/>
        <s v="johnsonf@ge.com"/>
        <s v="kcherbst@msn.com"/>
        <s v="NULL"/>
        <s v="zak.fang@utah.edu"/>
        <s v="jraade@halotechnics.com"/>
        <s v="lishi@mail.utexas.edu"/>
        <s v="goswami@usf.edu"/>
        <s v="jcg@mit.edu"/>
        <s v="gchen2@mit.edu"/>
        <s v="jhd@me.umn.edu"/>
        <s v="vanhasba@utrc.utc.com"/>
        <s v="dwhahn@ufl.edu"/>
        <s v="enwang@mit.edu"/>
        <s v="lhlewis@neu.edu"/>
        <s v="ian.baker@dartmouth.edu"/>
        <s v="ykhong@eng.ua.edu"/>
        <s v="Steve.Evon@baldor.abb.com"/>
        <s v="ecarpenter2@vcu.edu"/>
        <s v="david.matthiesen@case.edu"/>
        <s v="frederick.e.pinkerton@gm.com"/>
        <s v="jpwang@umn.edu"/>
        <s v="dschnell@biochem.umass.edu"/>
        <s v="liaoj@seas.ucla.edu"/>
        <s v="tmkutchan@danforthcenter.org"/>
        <s v="syuan@tamu.edu"/>
        <s v="melis@berkeley.edu"/>
        <s v="slong@illinois.edu"/>
        <s v="hwsedero@ncsu.edu"/>
        <s v="dpreuss@chromatininc.com"/>
        <s v="gfpeter@ufl.edu"/>
        <s v="fahimi@utdallas.edu"/>
        <s v="rlal@transphormusa.com"/>
        <s v="paul.bundschuh@idealpower.com"/>
        <s v="maksimov@colorado.edu"/>
        <s v="p.chapman@solarbridgetech.com"/>
        <s v="mm7g@andrew.cmu.edu"/>
        <s v="fzpeng@egr.msu.edu"/>
        <s v="Rob.Sellick@ge.com"/>
        <s v="sgrijalva@ece.gatech.edu"/>
        <s v="slow@caltech.edu"/>
        <s v="aprasai@varentec.com"/>
        <s v="chenq@ge.com"/>
        <s v="frank.kreikebaum@smartwires.com"/>
        <s v="geoff.staines@ga.com"/>
        <s v="amit@auto-grid.com"/>
        <s v="andrea@makanipower.com"/>
        <s v="shiguang.li@gastechnology.org"/>
        <s v="zhou@chem.tamu.edu"/>
        <s v="marc.hornbostel@sri.com"/>
        <s v="mveenstr@ford.com"/>
        <s v="adam@relinc.net"/>
        <s v="gotkinae@utrc.utc.com"/>
        <s v="danrecht@voluteinc.com"/>
        <s v="anna.laursen@ge.com"/>
        <s v="mclewis@cem.utexas.edu"/>
        <s v="gclarkfortune@eaton.com"/>
        <s v="chris.hagen@osucascades.edu"/>
        <s v="pthoen@itnes.com"/>
        <s v="julia.song@energystoragesystems.com"/>
        <s v="glin@tvnsystems.com"/>
        <s v="jack_chen@outlook.com"/>
        <s v="amasias@ford.com"/>
        <s v="knobloch@research.ge.com"/>
        <s v="KKepler@Farasis.com"/>
        <s v="regan.zane@usu.edu"/>
        <s v="jhs@battelle.org"/>
        <s v="hkf2@psu.edu"/>
        <s v="Ajay.Raghavan@parc.com"/>
        <s v="vsubram@uw.edu"/>
        <s v="jeff.xu@swri.org"/>
        <s v="Sungbae.Park@nl.bosch.com"/>
        <s v="chinmayapatil@eaton.com"/>
        <s v="Kenneth.Sprouse@rocket.com"/>
        <s v="alan.weimer@colorado.edu"/>
        <s v="rme@pitt.edu"/>
        <s v="zhujo@ge.com"/>
        <s v="jyhan@mit.edu"/>
        <s v="mattkoch@tees.tamus.edu"/>
        <s v="jjanlee@sharplabs.com"/>
        <s v="timothy.sommerer@ge.com"/>
        <s v="wessells1@gmail.com"/>
        <s v="jack.moon@gatech.edu"/>
        <s v="chowt@rpi.edu"/>
        <s v="chinbay.fan@gastechnology.org"/>
        <s v="veronewa@utrc.utc.com"/>
        <s v="cmartin@undeerc.org"/>
        <s v="de54@cornell.edu"/>
        <s v="nealstewart@utk.edu"/>
        <s v="shanhui@stanford.edu"/>
        <s v="shreyas_mandre@brown.edu"/>
        <s v="john.lettow@vorbeck.com"/>
        <s v="Corie.Cobb@parc.com"/>
        <s v="jfl@electronenergy.com"/>
        <s v="jaiz@seas.harvard.edu"/>
        <s v="jasofranko@ecocatalytic.com"/>
        <s v="huber@engr.wisc.edu"/>
        <s v="leila@otherlab.com"/>
        <s v="earens@berkeley.edu"/>
        <s v="peter@glintphotonics.com"/>
        <s v="haa@caltech.edu"/>
        <s v="david_syracuse@siliconpower.com"/>
        <s v="cmrey@tai-yang.com"/>
        <s v="tsapatsis@umn.edu"/>
        <s v="ase@gatech.edu"/>
        <s v="vonmeier@uc-ciee.org"/>
        <s v="stucky@chem.ucsb.edu"/>
        <s v="rich.masel@dioxidematerials.com"/>
        <s v="yusheng.zhao@unlv.edu"/>
        <s v="karoff@seas.harvard.edu"/>
        <s v="lidstrom@uw.edu"/>
        <s v="fturano@plant-ss.com"/>
        <s v="rfs2@case.edu"/>
        <s v="sri.narayan@usc.edu"/>
        <s v="ratnakumar.v.bugga@jpl.nasa.gov"/>
        <s v="mamato@itcpowersolutions.com"/>
        <s v="brian.johnson@daisanalytic.com"/>
        <s v="wchen@purdue.edu"/>
        <s v="shirleymeng@ucsd.edu"/>
        <s v="yyao4@uh.edu"/>
        <s v="kniajans@ge.com"/>
        <s v="linfengli@bettergy.com"/>
        <s v="cdrahn@psu.edu"/>
        <s v="kwo.young@basf.com"/>
        <s v="cswang@umd.edu"/>
        <s v="clo@cadenzainnovation.com"/>
        <s v="fkchang@stanford.edu"/>
        <s v="yqiao@ucsd.edu"/>
        <s v="steingart@princeton.edu"/>
        <s v="Jessy.Rivest@parc.com"/>
        <s v="Mark.Ripepi@alcoa.com"/>
        <s v="rna3@case.edu"/>
        <s v="raj.rajamani@utah.edu"/>
        <s v="apowell@infiniummetals.com"/>
        <s v="skdas@phinix.net"/>
        <s v="gbh@rti.org"/>
        <s v="rdesaro@er-co.com"/>
        <s v="pei.sun@utah.edu"/>
        <s v="luke.venstrom@valpo.edu"/>
        <s v="kumarmaple@aol.com"/>
        <s v="sragsdal@umich.edu"/>
        <s v="daniela.grabs@arzeda.com"/>
        <s v="satsumi@ucdavis.edu"/>
        <s v="idealgas314@gmail.com"/>
        <s v="jgf3@psu.edu"/>
        <s v="papoutsakis@dbi.udel.edu"/>
        <s v="amyr@northwestern.edu"/>
        <s v="Derek.Griffin@lanzatech.com"/>
        <s v="goran.jovanovic@oregonstate.edu"/>
        <s v="kmatocha@monolithsemi.com"/>
        <s v="leach@kymatech.com"/>
        <s v="tadao@spmaterials.com"/>
        <s v="rmccarthy@mldevices.com"/>
        <s v="vlado@ibeammaterials.com"/>
        <s v="rchu@hrl.com"/>
        <s v="mishra@ece.ucsb.edu"/>
        <s v="shepard@ee.columbia.edu"/>
        <s v="robert.nemanich@asu.edu"/>
        <s v="grace.xing@cornell.edu"/>
        <s v="grotjohn@egr.msu.edu"/>
        <s v="asingh@mogene.com"/>
        <s v="jordi.perez.mariano@sri.com"/>
        <s v="dkirkpatrick@blackpaktech.com"/>
        <s v="todd-otanicar@utulsa.edu"/>
        <s v="aleksandr.kozlov@gastechnology.org"/>
        <s v="david.e.lee@ngc.com"/>
        <s v="douglas.hofer@ge.com"/>
        <s v="Stephen.Goodnick@asu.edu"/>
        <s v="jmichel@mit.edu"/>
        <s v="escarra@tulane.edu"/>
        <s v="zachary.holman@asu.edu"/>
        <s v="greg.buchholz@amsc.com"/>
        <s v="milliron@che.utexas.edu"/>
        <s v="rita.hansen@onboarddynamics.com"/>
        <s v="masaru.tsuchiya@sienergysystems.com"/>
        <s v="rohayre@mines.edu"/>
        <s v="bryan@redoxpowersystems.com"/>
        <s v="calum.chisholm@safcell.com"/>
        <s v="ZhuTL@utrc.utc.com"/>
        <s v="pattekar@parc.com"/>
        <s v="luucla@ucla.edu"/>
        <s v="meilin.liu@mse.gatech.edu"/>
        <s v="jcarpenter@rti.org"/>
        <s v="ohadi@umd.edu"/>
        <s v="gchang@integral-corp.com"/>
        <s v="smald@umich.edu"/>
        <s v="hekhalif@syr.edu"/>
        <s v="yhw@umd.edu"/>
        <s v="jf456@cornell.edu"/>
        <s v="zhanghui@berkeley.edu"/>
        <s v="raderm@umd.edu"/>
        <s v="ya.s.wang@stonybrook.edu"/>
        <s v="roy.kornbluh@sri.com"/>
        <s v="alon.gorodetsky@uci.edu"/>
        <s v="josephwang@ucsd.edu"/>
        <s v="brent@otherlab.com"/>
        <s v="mark.johnson@licor.com"/>
        <s v="SSegal@thorlabs.com"/>
        <s v="greg.rieker@colorado.edu"/>
        <s v="hendrikh@us.ibm.com"/>
        <s v="robert@rebellionphotonics.com"/>
        <s v="David.Schwartz@parc.com"/>
        <s v="william.challener@ge.com"/>
        <s v="thorpe@bridgerphotonics.com"/>
        <s v="jeff.glass@duke.edu"/>
        <s v="frish@psicorp.com"/>
        <s v="bowie@mbi.ucla.edu"/>
        <s v="inquiries@helionenergy.com"/>
        <s v="shumlak@uw.edu"/>
        <s v="gfnellis@engr.wisc.edu"/>
        <s v="Jon.Longtin@stonybrook.edu"/>
        <s v="erik.torgerson@sri.com"/>
        <s v="raj.manglik@uc.edu"/>
        <s v="tangc@ge.com"/>
        <s v="Ronggui.Yang@Colorado.Edu"/>
        <s v="gsrinivas@tda.com"/>
        <s v="richard.bonner@1-act.com"/>
        <s v="bernard.casse@parc.com"/>
        <s v="amir@umd.edu"/>
        <s v="baoyang@umd.edu"/>
        <s v="mtuinstr@purdue.edu"/>
        <s v="tmockler@danforthcenter.org"/>
        <s v="skresov@clemson.edu"/>
        <s v="reitz@engr.wisc.edu"/>
        <s v="kesseli@braytonenergy.com"/>
        <s v="gary.wood@ametek.com"/>
        <s v="Parviz.Famouri@mail.wvu.edu"/>
        <s v="memot@mit.edu"/>
        <s v="klenk@parc.com"/>
        <s v="lei@umd.edu"/>
        <s v="Jonah.Erlebacher@jhu.edu"/>
        <s v="khurram.afridi@colorado.edu"/>
        <s v="ncg2@psu.edu"/>
        <s v="JengPing.Lu@parc.com"/>
        <s v="gschmidt@optics.rochester.edu"/>
        <s v="shmeng@ucsd.edu"/>
        <s v="rusty.jewett@sencera.com"/>
        <s v="bryce@airsquared.com"/>
        <s v="cculp@tamu.edu"/>
        <s v="jeffsaka@umich.edu"/>
        <s v="swmartin@iastate.edu"/>
        <s v="john.pendray@cummins.com"/>
        <s v="redon@achatespower.com"/>
        <s v="jmcentee@orpc.co"/>
        <s v="rthowe@stanford.edu"/>
        <s v="fred.wang@utk.edu"/>
        <s v="loth@virginia.edu"/>
        <s v="alexis.abramson@case.edu"/>
        <s v="shuji@engineering.ucsb.edu"/>
        <s v="bowers@ece.ucsb.edu"/>
        <s v="ghandi@ge.com"/>
        <s v="pat.brady@redwaveenergy.com"/>
        <s v="r_nebel@tibbartech.com"/>
        <s v="Nick.AuYeung@oregonstate.edu"/>
        <s v="devin.halliday@gastechnology.org"/>
        <s v="Garret.Miyake@colostate.edu"/>
        <s v="Joe.Beach@StarfireEnergy.com"/>
        <s v="rbradshaw@bostonelectromet.com"/>
        <s v="malmassa@uvm.edu"/>
        <s v="junshan.zhang@asu.edu"/>
        <s v="ramr@stanford.edu"/>
        <s v="Reza.Ghaemi@ge.com"/>
        <s v="murtis@umn.edu"/>
        <s v="MichaelNowak@Eaton.com"/>
        <s v="Raymond.H.Bryden@saint-gobain.com"/>
        <s v="mdd@jhu.edu"/>
        <s v="philip.benfey@duke.edu"/>
        <s v="Mahati.Chintapalli@parc.com"/>
        <s v="mfbertino@vcu.edu"/>
        <s v="pilon@seas.ucla.edu"/>
        <s v="Ivan.Smalyukh@Colorado.EDU"/>
        <s v="sjin@nanosdinc.com"/>
        <s v="erika@irdynamics.com"/>
        <s v="laa25@cornell.edu"/>
        <s v="sankar.nair@chbe.gatech.edu"/>
        <s v="phil@adaptivesurface.tech"/>
        <s v="terry.marker@gastechnology.org"/>
        <s v="Ramon.Gonzalez@rice.edu"/>
        <s v="edg12@psu.edu"/>
        <s v="ramani@wustl.edu"/>
        <s v="baec@rpi.edu"/>
        <s v="aherring@mines.edu"/>
        <s v="mayandrasits@mmm.com"/>
        <s v="rishi.raj@colorado.edu"/>
        <s v="gene@silanano.com"/>
        <s v="piliu@eng.ucsd.edu"/>
        <s v="tzawodzi@utk.edu"/>
        <s v="dway@mines.edu"/>
        <s v="jnaber@mtu.edu"/>
        <s v="chen-fang.chang@gm.com"/>
        <s v="fborrelli@berkeley.edu"/>
        <s v="gshaver@purdue.edu"/>
        <s v="rizzoni.1@osu.edu"/>
        <s v="wnorthro@umn.edu"/>
        <s v="mccormic@umn.edu"/>
        <s v="sli@gti.energy"/>
        <s v="john.hu@mail.wvu.edu"/>
        <s v="sparvathikar@rti.org"/>
        <s v="wei.liu@moleculeworks.com"/>
        <s v="kendra@opus-12.com"/>
        <s v="ldong@iastate.edu"/>
        <s v="jkmckay@colostate.edu"/>
        <s v="rnorwood@optics.arizona.edu"/>
        <s v="m.amirabadi@neu.edu"/>
        <s v="shotz@swri.org"/>
        <s v="bergman@ee.columbia.edu"/>
        <s v="gpapen@ucsd.edu"/>
        <s v="hujuejun@mit.edu"/>
        <s v="schow@ece.ucsb.edu"/>
        <s v="wu@eecs.berkeley.edu"/>
        <s v="roy@ayarlabs.com"/>
        <s v="ranjanr1@utrc.utc.com"/>
        <s v="andrew@feasible.io"/>
        <s v="yuji.zhao@asu.edu"/>
        <s v="jung.han@yale.edu"/>
        <s v="kwonj@missouri.edu"/>
        <s v="jrgreer@caltech.edu"/>
        <s v="fb55@nyu.edu"/>
        <s v="cdbailie@tandempv.com"/>
        <s v="DwariS@utrc.utc.com"/>
        <s v="zshen6@iit.edu"/>
        <s v="BlaskoV@utrc.utc.com"/>
        <s v="jahns@engr.wisc.edu"/>
        <s v="BirgerPahl@eaton.com"/>
        <s v="rwe@colorado.edu"/>
        <s v="pilawa@berkeley.edu"/>
        <s v="lroberson@mbl.edu"/>
        <s v="neil@kampachifarm.com"/>
        <s v="yum5@rpi.edu"/>
        <s v="karlir@rpi.edu"/>
        <s v="jkonrad@bu.edu"/>
        <s v="ya.wang@tamu.edu"/>
        <s v="garzon@unm.edu"/>
        <s v="chartmann-thompson@mmm.com"/>
        <s v="s.swartz@nexceris.com"/>
        <s v="jingyu.lin@ttu.edu"/>
        <s v="petrasc1@msu.edu"/>
        <s v="AbbasiB@oregonstate.edu"/>
        <s v="danb@ucsb.edu"/>
        <s v="mih@colorado.edu"/>
      </sharedItems>
    </cacheField>
    <cacheField name="IMPACTS Notes" numFmtId="0">
      <sharedItems containsBlank="1" count="9">
        <m/>
        <s v="Email for PI no longer active. michelle.reardon@usa.dupont.com is also listed as an award POC."/>
        <s v="The GC-62 patent application number is considered part of the patent record but listed as &quot;priority data&quot;. Email for PI no longer active. michelle.reardon@usa.dupont.com is also listed as an award POC."/>
        <s v=" Email for PI no longer active. michelle.reardon@usa.dupont.com is also listed as an award POC.Patent Application number in PatSnap differs from GC-62 data."/>
        <s v="Patent application number does not match GC-62 records."/>
        <s v="Email no longer valid."/>
        <s v="This patent application number defers from the one associated with the patent number in PatSnap."/>
        <s v="Patent application differs from what is listed on the patent record in PatSnap."/>
        <s v="Award number in GC-62 records appears to be incorrect. GC-62 listed the award number as DE-AR0001289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9">
  <r>
    <x v="0"/>
    <x v="0"/>
    <x v="0"/>
    <s v="WAVE DISC ENGINE APPARATUS"/>
    <x v="0"/>
    <s v="08/19/2013"/>
    <x v="0"/>
    <s v=""/>
    <x v="0"/>
    <x v="0"/>
    <x v="0"/>
    <x v="0"/>
    <x v="0"/>
  </r>
  <r>
    <x v="1"/>
    <x v="0"/>
    <x v="0"/>
    <s v="RADIAL WAVE ROTOR (WAVE DISC)"/>
    <x v="1"/>
    <s v=""/>
    <x v="0"/>
    <s v=""/>
    <x v="1"/>
    <x v="1"/>
    <x v="0"/>
    <x v="0"/>
    <x v="0"/>
  </r>
  <r>
    <x v="2"/>
    <x v="1"/>
    <x v="1"/>
    <s v="PRODUCTION OF A HIGH OCTANE ALKYLATE FROM ETHYLENE AND ISOBUTENE"/>
    <x v="2"/>
    <s v="09/29/2011"/>
    <x v="1"/>
    <s v="07/14/2015"/>
    <x v="2"/>
    <x v="2"/>
    <x v="1"/>
    <x v="1"/>
    <x v="0"/>
  </r>
  <r>
    <x v="3"/>
    <x v="2"/>
    <x v="2"/>
    <s v="BUTANOL TOLERANCE IN MICROORGANISMS"/>
    <x v="3"/>
    <s v="10/03/2013"/>
    <x v="2"/>
    <s v="03/01/2016"/>
    <x v="3"/>
    <x v="3"/>
    <x v="2"/>
    <x v="2"/>
    <x v="1"/>
  </r>
  <r>
    <x v="4"/>
    <x v="2"/>
    <x v="2"/>
    <s v="HOST CELLS AND METHODS FOR PRODUCTION OF ISOBUTANOL"/>
    <x v="4"/>
    <s v="03/15/2013"/>
    <x v="3"/>
    <s v="08/23/2016"/>
    <x v="4"/>
    <x v="4"/>
    <x v="2"/>
    <x v="2"/>
    <x v="1"/>
  </r>
  <r>
    <x v="5"/>
    <x v="2"/>
    <x v="2"/>
    <s v="HOST CELLS AND METHODS FOR PRODUCTION OF ISOBUTANOL"/>
    <x v="5"/>
    <s v="03/15/2013"/>
    <x v="4"/>
    <s v="08/23/2016"/>
    <x v="5"/>
    <x v="5"/>
    <x v="2"/>
    <x v="2"/>
    <x v="1"/>
  </r>
  <r>
    <x v="6"/>
    <x v="2"/>
    <x v="2"/>
    <s v="HOST CELLS AND METHODS FOR PRODUCTION OF ISOBUTANOL"/>
    <x v="6"/>
    <s v="03/23/2012"/>
    <x v="0"/>
    <s v=""/>
    <x v="6"/>
    <x v="1"/>
    <x v="2"/>
    <x v="2"/>
    <x v="1"/>
  </r>
  <r>
    <x v="7"/>
    <x v="2"/>
    <x v="2"/>
    <s v="DHAD VARIANTS AND METHODS OF SCREENING"/>
    <x v="7"/>
    <s v="03/13/2014"/>
    <x v="5"/>
    <s v=""/>
    <x v="7"/>
    <x v="6"/>
    <x v="2"/>
    <x v="2"/>
    <x v="1"/>
  </r>
  <r>
    <x v="8"/>
    <x v="2"/>
    <x v="2"/>
    <s v="KETOL-ACID REDUCTOISOMERASE ENZYMES AND METHODS OF USE"/>
    <x v="8"/>
    <s v="05/10/2013"/>
    <x v="6"/>
    <s v="10/27/2015"/>
    <x v="8"/>
    <x v="7"/>
    <x v="2"/>
    <x v="2"/>
    <x v="1"/>
  </r>
  <r>
    <x v="9"/>
    <x v="2"/>
    <x v="2"/>
    <s v="KETO-ISOVALERATE DECARBOXYLASE ENZYMES AND METHODS OF USE THEREOF"/>
    <x v="9"/>
    <s v="07/27/2012"/>
    <x v="7"/>
    <s v="01/19/2016"/>
    <x v="9"/>
    <x v="8"/>
    <x v="2"/>
    <x v="2"/>
    <x v="1"/>
  </r>
  <r>
    <x v="10"/>
    <x v="2"/>
    <x v="3"/>
    <s v="MUTATIONS IN CYR1 THAT IMPROVES ISOBUTANOL TOLERANCE IN SACCHAROMYCES CEREVISIAE"/>
    <x v="1"/>
    <s v=""/>
    <x v="0"/>
    <s v=""/>
    <x v="1"/>
    <x v="1"/>
    <x v="2"/>
    <x v="2"/>
    <x v="1"/>
  </r>
  <r>
    <x v="11"/>
    <x v="2"/>
    <x v="3"/>
    <s v="IMPROVED KARI FOR ISOBUTANOL PRODUCTION"/>
    <x v="1"/>
    <s v=""/>
    <x v="0"/>
    <s v=""/>
    <x v="1"/>
    <x v="1"/>
    <x v="2"/>
    <x v="2"/>
    <x v="1"/>
  </r>
  <r>
    <x v="12"/>
    <x v="2"/>
    <x v="3"/>
    <s v="REDUCTION OF ALDEHYDE DEHYDROGENASE AND/0R ALDEHYDE OXIDASE ACTIVITY FORBUTANOL PRODUCTION"/>
    <x v="10"/>
    <s v="03/24/2011"/>
    <x v="0"/>
    <s v=""/>
    <x v="10"/>
    <x v="9"/>
    <x v="2"/>
    <x v="2"/>
    <x v="1"/>
  </r>
  <r>
    <x v="13"/>
    <x v="2"/>
    <x v="3"/>
    <s v="IMPROVED HOST CELLS FOR PRODUCTION OF ISOBUTANOL"/>
    <x v="11"/>
    <s v="04/06/2011"/>
    <x v="0"/>
    <s v=""/>
    <x v="11"/>
    <x v="10"/>
    <x v="2"/>
    <x v="2"/>
    <x v="1"/>
  </r>
  <r>
    <x v="14"/>
    <x v="2"/>
    <x v="3"/>
    <s v="IMPROVING ACTIVITY OF FE-S CLUSTER REQUIRING PROTEINS"/>
    <x v="12"/>
    <s v="02/17/2010"/>
    <x v="0"/>
    <s v=""/>
    <x v="12"/>
    <x v="1"/>
    <x v="2"/>
    <x v="2"/>
    <x v="2"/>
  </r>
  <r>
    <x v="15"/>
    <x v="2"/>
    <x v="3"/>
    <s v="REDUCTION OF 2,3-DIHYDROXY-2-METHYL BUTYRATE(DHMB) IN BUTANOL PRODUCTION"/>
    <x v="13"/>
    <s v="07/06/2016"/>
    <x v="0"/>
    <s v=""/>
    <x v="13"/>
    <x v="11"/>
    <x v="2"/>
    <x v="2"/>
    <x v="1"/>
  </r>
  <r>
    <x v="16"/>
    <x v="2"/>
    <x v="3"/>
    <s v="POLYPEPTIDES WITH KETOL-ACID REDUCTOISOMERASE ACTIVITY FOR ISOBUTANOL PRODUCTION IN RECOMBINANT HOST CELLS"/>
    <x v="14"/>
    <s v="03/24/2011"/>
    <x v="0"/>
    <s v=""/>
    <x v="14"/>
    <x v="12"/>
    <x v="2"/>
    <x v="2"/>
    <x v="1"/>
  </r>
  <r>
    <x v="17"/>
    <x v="2"/>
    <x v="2"/>
    <s v="KETO-ISOVALERATE DECARBOXYLASE ENZYMES AND METHODS OF USE THEREOF"/>
    <x v="15"/>
    <s v="07/27/2012"/>
    <x v="0"/>
    <s v=""/>
    <x v="9"/>
    <x v="8"/>
    <x v="2"/>
    <x v="2"/>
    <x v="3"/>
  </r>
  <r>
    <x v="18"/>
    <x v="3"/>
    <x v="4"/>
    <s v="MULTIPHASE POROUS FLOW REACTORS AND METHODS OF USING SAME"/>
    <x v="1"/>
    <s v=""/>
    <x v="0"/>
    <s v=""/>
    <x v="1"/>
    <x v="1"/>
    <x v="3"/>
    <x v="3"/>
    <x v="0"/>
  </r>
  <r>
    <x v="19"/>
    <x v="3"/>
    <x v="4"/>
    <s v="MULTIPHASE POROUS FLOW REACTORS AND METHODS OF USING SAME"/>
    <x v="1"/>
    <s v=""/>
    <x v="0"/>
    <s v=""/>
    <x v="1"/>
    <x v="1"/>
    <x v="3"/>
    <x v="3"/>
    <x v="0"/>
  </r>
  <r>
    <x v="20"/>
    <x v="3"/>
    <x v="4"/>
    <s v="MULTIPHASE POROUS FLOW REACTORS AND METHODS OF USING SAME"/>
    <x v="16"/>
    <s v="05/12/2014"/>
    <x v="0"/>
    <s v=""/>
    <x v="15"/>
    <x v="13"/>
    <x v="3"/>
    <x v="3"/>
    <x v="0"/>
  </r>
  <r>
    <x v="21"/>
    <x v="4"/>
    <x v="5"/>
    <s v="HIGH BASED IONOMERS AND MEMBRANES AND ANION/HYDROXIDE EXCHANGE FUEL CELLS COMPRISING THE IONOMERS AND MEMBRANES"/>
    <x v="1"/>
    <s v=""/>
    <x v="0"/>
    <s v=""/>
    <x v="16"/>
    <x v="1"/>
    <x v="4"/>
    <x v="4"/>
    <x v="0"/>
  </r>
  <r>
    <x v="22"/>
    <x v="4"/>
    <x v="6"/>
    <s v="DOUBLE-MEMBRANE TRIPLE-ELECTROLYTE DESIGN FOR HIGH-VOLTAGE AND LOW-CROSSOVER REDOX FLOW BATTERIES"/>
    <x v="17"/>
    <s v="06/14/2013"/>
    <x v="0"/>
    <s v=""/>
    <x v="17"/>
    <x v="1"/>
    <x v="4"/>
    <x v="4"/>
    <x v="0"/>
  </r>
  <r>
    <x v="23"/>
    <x v="4"/>
    <x v="6"/>
    <s v="DOUBLE-MEMBRANE TRIPLE-ELECTROLYTE DESIGN FOR HIGH-VOLTAGE AND LOW-CROSSOVER REDOX FLOW BATTERIES"/>
    <x v="18"/>
    <s v="06/14/2013"/>
    <x v="0"/>
    <s v=""/>
    <x v="18"/>
    <x v="14"/>
    <x v="4"/>
    <x v="4"/>
    <x v="0"/>
  </r>
  <r>
    <x v="24"/>
    <x v="4"/>
    <x v="6"/>
    <s v="DOUBLE-MEMBRANE TRIPLE-ELECTROLYTE DESIGN FOR HIGH-VOLTAGE AND LOW-CROSSOVER REDOX FLOW BATTERIES"/>
    <x v="18"/>
    <s v="06/14/2013"/>
    <x v="8"/>
    <s v="03/13/2018"/>
    <x v="18"/>
    <x v="14"/>
    <x v="4"/>
    <x v="4"/>
    <x v="0"/>
  </r>
  <r>
    <x v="25"/>
    <x v="4"/>
    <x v="6"/>
    <s v="DOUBLE-MEMBRANE TRIPLE-ELECTROLYTE DESIGN FOR HIGH-VOLTAGE AND LOW-CROSSOVER REDOX FLOW BATTERIES"/>
    <x v="17"/>
    <s v="06/14/2013"/>
    <x v="0"/>
    <s v=""/>
    <x v="17"/>
    <x v="1"/>
    <x v="4"/>
    <x v="4"/>
    <x v="0"/>
  </r>
  <r>
    <x v="26"/>
    <x v="4"/>
    <x v="6"/>
    <s v="MEMBRANES AND CATALYSTS FOR FUEL CELLS, GAS SEPARATION CELLS, ELECTROLYZERS AND SOLAR HYDROGEN APPLICATIONS"/>
    <x v="19"/>
    <s v="04/10/2014"/>
    <x v="0"/>
    <s v=""/>
    <x v="19"/>
    <x v="15"/>
    <x v="4"/>
    <x v="4"/>
    <x v="0"/>
  </r>
  <r>
    <x v="27"/>
    <x v="4"/>
    <x v="6"/>
    <s v="NICKEL PHOSPHIDES BASED ELECTROCHEMICAL CATALYSTS FOR HYDROGEN OXIDATION REACTION AND HYDROGEN EVOLUTION REACTION"/>
    <x v="20"/>
    <s v="12/13/2012"/>
    <x v="0"/>
    <s v=""/>
    <x v="1"/>
    <x v="1"/>
    <x v="4"/>
    <x v="4"/>
    <x v="0"/>
  </r>
  <r>
    <x v="28"/>
    <x v="5"/>
    <x v="7"/>
    <s v="A METHOD TO GENERATE DNA BINDING DOMAINS BASED ON TAL EFFECTOR COMPOSITION"/>
    <x v="1"/>
    <s v=""/>
    <x v="0"/>
    <s v=""/>
    <x v="1"/>
    <x v="1"/>
    <x v="5"/>
    <x v="5"/>
    <x v="0"/>
  </r>
  <r>
    <x v="29"/>
    <x v="5"/>
    <x v="7"/>
    <s v="ACTIVATION OF GENES IN ALGAE USING SYNTHETIC TRANSCRIPTION-ACTIVATOR-LIKE(TAL)"/>
    <x v="1"/>
    <s v=""/>
    <x v="0"/>
    <s v=""/>
    <x v="1"/>
    <x v="1"/>
    <x v="5"/>
    <x v="5"/>
    <x v="0"/>
  </r>
  <r>
    <x v="30"/>
    <x v="5"/>
    <x v="7"/>
    <s v="USE OF VITAMIN B12 PRODUCING BACTERIA OR EXOGENOUS VITAMIN B12 SUPPLEMENT TO ENHANCE THE THERMOTOLERANCE OF CHLAMYDOMONAS REINHARDTII AND OTHER MICROALGAE"/>
    <x v="1"/>
    <s v=""/>
    <x v="0"/>
    <s v=""/>
    <x v="1"/>
    <x v="1"/>
    <x v="5"/>
    <x v="5"/>
    <x v="0"/>
  </r>
  <r>
    <x v="31"/>
    <x v="5"/>
    <x v="7"/>
    <s v="OVER EXPRESSION OF GENES IN ALGAE USING A 2A RIBOSOMAL STUTTER SEQUENCE TO JOIN THE GENE OF INTEREST AND A MARKER GENE"/>
    <x v="1"/>
    <s v=""/>
    <x v="0"/>
    <s v=""/>
    <x v="1"/>
    <x v="1"/>
    <x v="5"/>
    <x v="5"/>
    <x v="0"/>
  </r>
  <r>
    <x v="32"/>
    <x v="5"/>
    <x v="7"/>
    <s v="ENHANCING PHOTOSYNTHESIS AND PRODUCTIVITY IN MICROALGAE AND PLANTS BY OVEREXPRESSION OF THE LCIA AND LCIB GENES FROM MICROALGAE"/>
    <x v="21"/>
    <s v="08/25/2011"/>
    <x v="0"/>
    <s v=""/>
    <x v="20"/>
    <x v="16"/>
    <x v="5"/>
    <x v="5"/>
    <x v="0"/>
  </r>
  <r>
    <x v="33"/>
    <x v="6"/>
    <x v="8"/>
    <s v="CONTINUOUS CATALYTIC REACTIVE DISTILLATION OF FATTY ACIDS TO ALKANES"/>
    <x v="1"/>
    <s v=""/>
    <x v="0"/>
    <s v=""/>
    <x v="1"/>
    <x v="1"/>
    <x v="6"/>
    <x v="6"/>
    <x v="0"/>
  </r>
  <r>
    <x v="34"/>
    <x v="6"/>
    <x v="9"/>
    <s v="SELECTIVE GROWTH OF CYANOBACTERIAL STRAINS TO THE COMPETITIVE DETRIMENT OF OTHER MICROORGANISMS THAT MIGHT CONTAMINATE PRODUCTIVE CYANOBACTERIAL CULTURES"/>
    <x v="1"/>
    <s v=""/>
    <x v="0"/>
    <s v=""/>
    <x v="1"/>
    <x v="1"/>
    <x v="6"/>
    <x v="6"/>
    <x v="0"/>
  </r>
  <r>
    <x v="35"/>
    <x v="6"/>
    <x v="9"/>
    <s v="SCYANOBACTERIAL STRAINS THAT INHIBIT FATTY ACID CONUMPTION BY MICROORGANISMS CONTAINATING CYANOBACTERIAL CULTURES"/>
    <x v="1"/>
    <s v=""/>
    <x v="0"/>
    <s v=""/>
    <x v="1"/>
    <x v="1"/>
    <x v="6"/>
    <x v="6"/>
    <x v="0"/>
  </r>
  <r>
    <x v="36"/>
    <x v="6"/>
    <x v="10"/>
    <s v="REGULATED AUTOAGGLUTINATION OF BIOFUEL-PRODUCING PHOTOTROPHS FOR BIOMASS RECOVERY"/>
    <x v="1"/>
    <s v=""/>
    <x v="0"/>
    <s v=""/>
    <x v="1"/>
    <x v="1"/>
    <x v="6"/>
    <x v="6"/>
    <x v="0"/>
  </r>
  <r>
    <x v="37"/>
    <x v="6"/>
    <x v="10"/>
    <s v="USING BIOLUMINESCENCE/FLUORESCENCE TO ENABLE/ENHANCE PHOTOSYNTHESIS"/>
    <x v="1"/>
    <s v=""/>
    <x v="0"/>
    <s v=""/>
    <x v="1"/>
    <x v="1"/>
    <x v="6"/>
    <x v="6"/>
    <x v="0"/>
  </r>
  <r>
    <x v="38"/>
    <x v="6"/>
    <x v="10"/>
    <s v="AUTOCLAVABLE PHOTOBIOREACTOR"/>
    <x v="1"/>
    <s v=""/>
    <x v="0"/>
    <s v=""/>
    <x v="1"/>
    <x v="1"/>
    <x v="6"/>
    <x v="6"/>
    <x v="0"/>
  </r>
  <r>
    <x v="39"/>
    <x v="6"/>
    <x v="10"/>
    <s v="MEMBRANE-CARBONATION PHOTOBIOREACTER"/>
    <x v="1"/>
    <s v=""/>
    <x v="0"/>
    <s v=""/>
    <x v="1"/>
    <x v="1"/>
    <x v="6"/>
    <x v="6"/>
    <x v="0"/>
  </r>
  <r>
    <x v="40"/>
    <x v="6"/>
    <x v="9"/>
    <s v="GREN RECOVERY OF CYANOBACTERIAL PRODUCED BIOFUELS AT ELEVATED TEMPERATURES"/>
    <x v="1"/>
    <s v=""/>
    <x v="0"/>
    <s v=""/>
    <x v="1"/>
    <x v="1"/>
    <x v="6"/>
    <x v="6"/>
    <x v="0"/>
  </r>
  <r>
    <x v="41"/>
    <x v="6"/>
    <x v="10"/>
    <s v="GENETIC MODIFICATION TO OPTIMIZE THE ADHESIVE PROPERTIES OF PHOTOTROPHIC MICROBES FOR ENVIRONMENTAL BIOTECHNOLOGY APPLICATIONS"/>
    <x v="1"/>
    <s v=""/>
    <x v="0"/>
    <s v=""/>
    <x v="1"/>
    <x v="1"/>
    <x v="6"/>
    <x v="6"/>
    <x v="0"/>
  </r>
  <r>
    <x v="42"/>
    <x v="6"/>
    <x v="11"/>
    <s v="CONTINUOUS CATALYTIC REACTIVE DISTILLATION OF FATTY ACIDS TO ALKANES"/>
    <x v="1"/>
    <s v=""/>
    <x v="0"/>
    <s v=""/>
    <x v="1"/>
    <x v="1"/>
    <x v="6"/>
    <x v="6"/>
    <x v="0"/>
  </r>
  <r>
    <x v="43"/>
    <x v="6"/>
    <x v="8"/>
    <s v="PHOTOSYNTHETIC MICROORGANISMS EXPRESSING THERMOSTABLE LIPASE"/>
    <x v="22"/>
    <s v="05/20/2013"/>
    <x v="9"/>
    <s v="04/05/2016"/>
    <x v="21"/>
    <x v="17"/>
    <x v="6"/>
    <x v="6"/>
    <x v="0"/>
  </r>
  <r>
    <x v="44"/>
    <x v="6"/>
    <x v="4"/>
    <s v="CYANOBACTERIA DESIGNED FOR SOLAR-POWERED HIGHLY EFFICIENT PRODUCTION OF BIOFUELS"/>
    <x v="1"/>
    <s v=""/>
    <x v="0"/>
    <s v=""/>
    <x v="1"/>
    <x v="1"/>
    <x v="6"/>
    <x v="6"/>
    <x v="0"/>
  </r>
  <r>
    <x v="45"/>
    <x v="6"/>
    <x v="8"/>
    <s v="COMPOSITIONS AND METHODS FOR BACTERIAL LYSIS AND NEUTRAL LIPID"/>
    <x v="23"/>
    <s v="07/01/2011"/>
    <x v="10"/>
    <s v="02/09/2016"/>
    <x v="22"/>
    <x v="18"/>
    <x v="6"/>
    <x v="6"/>
    <x v="0"/>
  </r>
  <r>
    <x v="46"/>
    <x v="6"/>
    <x v="8"/>
    <s v="COMPOSITIONS AND METHODS FOR BACTERIAL LYSIS AND NEUTRAL LIPID"/>
    <x v="24"/>
    <s v="07/01/2011"/>
    <x v="10"/>
    <s v="02/09/2016"/>
    <x v="22"/>
    <x v="18"/>
    <x v="6"/>
    <x v="6"/>
    <x v="4"/>
  </r>
  <r>
    <x v="47"/>
    <x v="7"/>
    <x v="12"/>
    <s v="FLUID TURBINE WITH ELECTRONIC BRAKING"/>
    <x v="1"/>
    <s v=""/>
    <x v="0"/>
    <s v=""/>
    <x v="1"/>
    <x v="1"/>
    <x v="7"/>
    <x v="7"/>
    <x v="0"/>
  </r>
  <r>
    <x v="48"/>
    <x v="7"/>
    <x v="12"/>
    <s v="WIND TURBINE WITH REDUCED RADAR SIGNATURE"/>
    <x v="25"/>
    <s v="10/06/2009"/>
    <x v="0"/>
    <s v=""/>
    <x v="23"/>
    <x v="19"/>
    <x v="7"/>
    <x v="7"/>
    <x v="0"/>
  </r>
  <r>
    <x v="49"/>
    <x v="7"/>
    <x v="12"/>
    <s v="WIND TURBINE WITH REDUCED RADAR SIGNATURE"/>
    <x v="26"/>
    <s v="07/29/2010"/>
    <x v="0"/>
    <s v=""/>
    <x v="23"/>
    <x v="19"/>
    <x v="7"/>
    <x v="7"/>
    <x v="0"/>
  </r>
  <r>
    <x v="50"/>
    <x v="7"/>
    <x v="12"/>
    <s v="RIM GENERATOR FOR A WIND TURBINE UTILIZING NEW MAGNETIC MATERIAL"/>
    <x v="27"/>
    <s v="10/13/2010"/>
    <x v="0"/>
    <s v=""/>
    <x v="1"/>
    <x v="1"/>
    <x v="7"/>
    <x v="7"/>
    <x v="0"/>
  </r>
  <r>
    <x v="51"/>
    <x v="8"/>
    <x v="13"/>
    <s v="GROUP III-V DEVICE STRUCTURE HAVING A SELECTIVELY REDUCED IMPURITY CONCENTRATION"/>
    <x v="28"/>
    <s v="09/05/2012"/>
    <x v="11"/>
    <s v="08/05/2014"/>
    <x v="24"/>
    <x v="20"/>
    <x v="8"/>
    <x v="8"/>
    <x v="0"/>
  </r>
  <r>
    <x v="52"/>
    <x v="8"/>
    <x v="13"/>
    <s v="III-NITRIDE HETEROJUNCTION DEVICES HAVING A MULTILAYER SPACER"/>
    <x v="29"/>
    <s v="02/15/2012"/>
    <x v="12"/>
    <s v="02/25/2014"/>
    <x v="25"/>
    <x v="21"/>
    <x v="8"/>
    <x v="8"/>
    <x v="0"/>
  </r>
  <r>
    <x v="53"/>
    <x v="8"/>
    <x v="13"/>
    <s v="POWER TRANSISTOR HAVING SEGMENTED GATE"/>
    <x v="30"/>
    <s v="01/25/2013"/>
    <x v="13"/>
    <s v="03/03/2015"/>
    <x v="26"/>
    <x v="22"/>
    <x v="8"/>
    <x v="8"/>
    <x v="0"/>
  </r>
  <r>
    <x v="54"/>
    <x v="8"/>
    <x v="13"/>
    <s v="III-NITRIDE SEMICONDUCTOR STRUCTURES WITH STRAIN ABSORBING INTERLAYER TRANSITION MODULES"/>
    <x v="31"/>
    <s v="02/24/2012"/>
    <x v="14"/>
    <s v="02/17/2015"/>
    <x v="27"/>
    <x v="23"/>
    <x v="8"/>
    <x v="8"/>
    <x v="0"/>
  </r>
  <r>
    <x v="55"/>
    <x v="8"/>
    <x v="13"/>
    <s v="TRANSISTOR HAVING ELEVATED DRAIN FINGER TERMINATION"/>
    <x v="32"/>
    <s v="07/12/2013"/>
    <x v="15"/>
    <s v="06/30/2015"/>
    <x v="28"/>
    <x v="24"/>
    <x v="8"/>
    <x v="8"/>
    <x v="0"/>
  </r>
  <r>
    <x v="56"/>
    <x v="8"/>
    <x v="13"/>
    <s v="TRANSISTOR WITH ELEVATED DRAIN TERMINATION"/>
    <x v="33"/>
    <s v="06/25/2015"/>
    <x v="16"/>
    <s v="02/07/2017"/>
    <x v="29"/>
    <x v="1"/>
    <x v="8"/>
    <x v="8"/>
    <x v="0"/>
  </r>
  <r>
    <x v="57"/>
    <x v="8"/>
    <x v="13"/>
    <s v="TRANSISTOR HAVING INCREASED BREAKDOWN VOLTAGE"/>
    <x v="34"/>
    <s v="01/24/2013"/>
    <x v="17"/>
    <s v="06/28/2016"/>
    <x v="30"/>
    <x v="25"/>
    <x v="8"/>
    <x v="8"/>
    <x v="0"/>
  </r>
  <r>
    <x v="58"/>
    <x v="9"/>
    <x v="14"/>
    <s v="CIRCULATING FLUIDIZED BED WITH MOVING BED DOWNCOMERS AND GAS SEALING BETWEEN REACTORS"/>
    <x v="35"/>
    <s v="11/08/2011"/>
    <x v="0"/>
    <s v=""/>
    <x v="31"/>
    <x v="26"/>
    <x v="9"/>
    <x v="9"/>
    <x v="0"/>
  </r>
  <r>
    <x v="59"/>
    <x v="9"/>
    <x v="14"/>
    <s v="CONTINUOUS REDUCTION AND OXIDATION OF COMPOSITE METAL OXIDES"/>
    <x v="36"/>
    <s v="05/11/2012"/>
    <x v="0"/>
    <s v=""/>
    <x v="32"/>
    <x v="27"/>
    <x v="9"/>
    <x v="9"/>
    <x v="0"/>
  </r>
  <r>
    <x v="60"/>
    <x v="10"/>
    <x v="15"/>
    <s v="THERMAL PROFILING OF RESIDENTIAL ENERGY USE"/>
    <x v="1"/>
    <s v=""/>
    <x v="0"/>
    <s v=""/>
    <x v="1"/>
    <x v="1"/>
    <x v="10"/>
    <x v="10"/>
    <x v="0"/>
  </r>
  <r>
    <x v="61"/>
    <x v="10"/>
    <x v="15"/>
    <s v="ENERGY AND BEHAVIOR DATA PLATFORM"/>
    <x v="1"/>
    <s v=""/>
    <x v="0"/>
    <s v=""/>
    <x v="33"/>
    <x v="1"/>
    <x v="10"/>
    <x v="10"/>
    <x v="0"/>
  </r>
  <r>
    <x v="62"/>
    <x v="10"/>
    <x v="15"/>
    <s v="DATA-DRIVEN TARGETING OF ENERGY PROGRAMS"/>
    <x v="37"/>
    <s v="12/11/2014"/>
    <x v="0"/>
    <s v=""/>
    <x v="34"/>
    <x v="28"/>
    <x v="10"/>
    <x v="10"/>
    <x v="0"/>
  </r>
  <r>
    <x v="63"/>
    <x v="11"/>
    <x v="16"/>
    <s v="INSERTION OF LITHIUM INTO ELECTROCHROMIC DEVICES AFTER COMPLETION"/>
    <x v="38"/>
    <s v="07/09/2012"/>
    <x v="18"/>
    <s v="12/22/2015"/>
    <x v="35"/>
    <x v="29"/>
    <x v="11"/>
    <x v="11"/>
    <x v="0"/>
  </r>
  <r>
    <x v="64"/>
    <x v="11"/>
    <x v="16"/>
    <s v="INTEGRATED DEVICE ARCHITECTURES FOR ELECTROCROMIC DEVICES"/>
    <x v="39"/>
    <s v="02/04/2013"/>
    <x v="19"/>
    <s v="04/21/2015"/>
    <x v="36"/>
    <x v="30"/>
    <x v="11"/>
    <x v="11"/>
    <x v="0"/>
  </r>
  <r>
    <x v="65"/>
    <x v="11"/>
    <x v="16"/>
    <s v="PERFORATION PATTERNED ELECTRICAL INTERCONNECTS"/>
    <x v="40"/>
    <s v="12/17/2012"/>
    <x v="20"/>
    <s v="01/28/2014"/>
    <x v="37"/>
    <x v="31"/>
    <x v="11"/>
    <x v="11"/>
    <x v="0"/>
  </r>
  <r>
    <x v="66"/>
    <x v="11"/>
    <x v="16"/>
    <s v="AUTONOMOUS ELECTROCHROMIC ASSEMBLY"/>
    <x v="41"/>
    <s v="02/04/2013"/>
    <x v="21"/>
    <s v="03/10/2015"/>
    <x v="38"/>
    <x v="32"/>
    <x v="11"/>
    <x v="11"/>
    <x v="0"/>
  </r>
  <r>
    <x v="67"/>
    <x v="12"/>
    <x v="17"/>
    <s v="HIGH QUALITY GROUP III METAL NITRIDE CYSTALS, METHODS OF MAKING, AND METHODS OF USE"/>
    <x v="42"/>
    <s v="11/25/2013"/>
    <x v="22"/>
    <s v="03/07/2017"/>
    <x v="39"/>
    <x v="33"/>
    <x v="12"/>
    <x v="12"/>
    <x v="0"/>
  </r>
  <r>
    <x v="68"/>
    <x v="12"/>
    <x v="17"/>
    <s v="TRANSPARENT GROUP III METAL NITRIDE AND METHOD OF MANUFACTURE"/>
    <x v="43"/>
    <s v="09/12/2014"/>
    <x v="23"/>
    <s v="01/10/2017"/>
    <x v="40"/>
    <x v="34"/>
    <x v="12"/>
    <x v="12"/>
    <x v="0"/>
  </r>
  <r>
    <x v="69"/>
    <x v="12"/>
    <x v="17"/>
    <s v="APPARATUS FOR PROCESSING MATERIALS AT HIGH TEMPATURES AND PRESSURES"/>
    <x v="44"/>
    <s v="01/23/2015"/>
    <x v="24"/>
    <s v="12/04/2018"/>
    <x v="41"/>
    <x v="35"/>
    <x v="12"/>
    <x v="12"/>
    <x v="0"/>
  </r>
  <r>
    <x v="70"/>
    <x v="12"/>
    <x v="17"/>
    <s v="METHOD AND SYSTEM FOR PREPARING POLYCRYSTALLINE GROUP III METAL NITRIDE"/>
    <x v="45"/>
    <s v="01/29/2016"/>
    <x v="0"/>
    <s v=""/>
    <x v="42"/>
    <x v="36"/>
    <x v="12"/>
    <x v="12"/>
    <x v="0"/>
  </r>
  <r>
    <x v="71"/>
    <x v="12"/>
    <x v="17"/>
    <s v="METHOD AND SYSTEM FOR PREPARING POLYCRYSTALLINE GROUP III METAL NITRIDE"/>
    <x v="46"/>
    <s v="06/29/2018"/>
    <x v="0"/>
    <s v=""/>
    <x v="43"/>
    <x v="1"/>
    <x v="12"/>
    <x v="12"/>
    <x v="0"/>
  </r>
  <r>
    <x v="72"/>
    <x v="12"/>
    <x v="17"/>
    <s v="APPARATUS FOR PROCESSING MATERIALS AT HIGH TEMPATURES AND PRESSURES"/>
    <x v="47"/>
    <s v="07/28/2011"/>
    <x v="0"/>
    <s v=""/>
    <x v="44"/>
    <x v="37"/>
    <x v="12"/>
    <x v="12"/>
    <x v="0"/>
  </r>
  <r>
    <x v="73"/>
    <x v="13"/>
    <x v="18"/>
    <s v="CATALYST COMPOSITIONS AND USE THEREOF IN CATALYTIC BIOMASS PYROLYSIS "/>
    <x v="48"/>
    <s v="12/04/2013"/>
    <x v="0"/>
    <s v=""/>
    <x v="45"/>
    <x v="38"/>
    <x v="13"/>
    <x v="13"/>
    <x v="0"/>
  </r>
  <r>
    <x v="74"/>
    <x v="13"/>
    <x v="18"/>
    <s v="CATALYTIC BIOMASS PYROLYSIS PROCESS BASED ON A SHORT-CONTACT TIME TRANSPORT REACTOR CONTAINING A NOVEL DEOXYGENAGTION CATALYST"/>
    <x v="49"/>
    <s v="09/04/2014"/>
    <x v="0"/>
    <s v=""/>
    <x v="46"/>
    <x v="1"/>
    <x v="13"/>
    <x v="13"/>
    <x v="0"/>
  </r>
  <r>
    <x v="75"/>
    <x v="14"/>
    <x v="19"/>
    <s v="TURBINE BLADES AND SYSTEMS WITH FORWARD BLOWING SLOTS"/>
    <x v="50"/>
    <s v="02/17/2012"/>
    <x v="25"/>
    <s v="09/15/2015"/>
    <x v="47"/>
    <x v="39"/>
    <x v="14"/>
    <x v="14"/>
    <x v="0"/>
  </r>
  <r>
    <x v="76"/>
    <x v="14"/>
    <x v="20"/>
    <s v="ADAPTIVE PNEUMATIC WIND TURBINE BLADES"/>
    <x v="51"/>
    <s v="07/18/2011"/>
    <x v="0"/>
    <s v=""/>
    <x v="48"/>
    <x v="1"/>
    <x v="14"/>
    <x v="14"/>
    <x v="0"/>
  </r>
  <r>
    <x v="77"/>
    <x v="15"/>
    <x v="21"/>
    <s v="LAYERED BASIC  ZINC ACETATE AS A CATALYST FOR CO2 CAPTURE"/>
    <x v="1"/>
    <s v=""/>
    <x v="0"/>
    <s v=""/>
    <x v="1"/>
    <x v="1"/>
    <x v="15"/>
    <x v="15"/>
    <x v="0"/>
  </r>
  <r>
    <x v="78"/>
    <x v="15"/>
    <x v="21"/>
    <s v="LAYERED BASIC  ZINC ACETATE AS A CATALYST FOR CO2 CAPTURE"/>
    <x v="1"/>
    <s v=""/>
    <x v="0"/>
    <s v=""/>
    <x v="1"/>
    <x v="1"/>
    <x v="15"/>
    <x v="15"/>
    <x v="0"/>
  </r>
  <r>
    <x v="79"/>
    <x v="15"/>
    <x v="21"/>
    <s v="LAYERED BASIC ZINC ACETATE AS A CATALYST FOR CO2 CAPTURE"/>
    <x v="1"/>
    <s v=""/>
    <x v="0"/>
    <s v=""/>
    <x v="1"/>
    <x v="1"/>
    <x v="15"/>
    <x v="15"/>
    <x v="0"/>
  </r>
  <r>
    <x v="80"/>
    <x v="15"/>
    <x v="21"/>
    <s v="ENERGY EFFICIENT CAPTURE OF CO2 FROM COAL FLUE GAS"/>
    <x v="1"/>
    <s v=""/>
    <x v="0"/>
    <s v=""/>
    <x v="1"/>
    <x v="1"/>
    <x v="15"/>
    <x v="15"/>
    <x v="0"/>
  </r>
  <r>
    <x v="81"/>
    <x v="15"/>
    <x v="21"/>
    <s v="ENERGY EFFICIENT CAPTURE OF CO2 FROM COAL FLUE GAS"/>
    <x v="1"/>
    <s v=""/>
    <x v="0"/>
    <s v=""/>
    <x v="1"/>
    <x v="1"/>
    <x v="15"/>
    <x v="15"/>
    <x v="0"/>
  </r>
  <r>
    <x v="82"/>
    <x v="15"/>
    <x v="21"/>
    <s v="LA(OH)3 AS A CATALYST IN CO2 CAPTURE"/>
    <x v="1"/>
    <s v=""/>
    <x v="0"/>
    <s v=""/>
    <x v="1"/>
    <x v="1"/>
    <x v="15"/>
    <x v="15"/>
    <x v="0"/>
  </r>
  <r>
    <x v="83"/>
    <x v="15"/>
    <x v="21"/>
    <s v="LAYERED BASIC ZINC ACETATE AS A CATALYST FOR CO2 CAPTURE"/>
    <x v="1"/>
    <s v=""/>
    <x v="0"/>
    <s v=""/>
    <x v="1"/>
    <x v="1"/>
    <x v="15"/>
    <x v="15"/>
    <x v="0"/>
  </r>
  <r>
    <x v="84"/>
    <x v="15"/>
    <x v="21"/>
    <s v="LAYERED BASIC ZINC ACETATE AS A CATALYST FOR CO2 CAPTURE"/>
    <x v="1"/>
    <s v=""/>
    <x v="0"/>
    <s v=""/>
    <x v="1"/>
    <x v="1"/>
    <x v="15"/>
    <x v="15"/>
    <x v="0"/>
  </r>
  <r>
    <x v="85"/>
    <x v="15"/>
    <x v="21"/>
    <s v="CO2 CAPTURE MODULE"/>
    <x v="1"/>
    <s v=""/>
    <x v="0"/>
    <s v=""/>
    <x v="1"/>
    <x v="1"/>
    <x v="15"/>
    <x v="15"/>
    <x v="0"/>
  </r>
  <r>
    <x v="86"/>
    <x v="16"/>
    <x v="22"/>
    <s v="PREPARATION OF ALIGNED NANOTUBE MEMBRANES FOR WATER AND GAS SEPARATION APPLICATIONS"/>
    <x v="52"/>
    <s v="10/17/2012"/>
    <x v="26"/>
    <s v="01/05/2016"/>
    <x v="49"/>
    <x v="40"/>
    <x v="16"/>
    <x v="16"/>
    <x v="0"/>
  </r>
  <r>
    <x v="87"/>
    <x v="16"/>
    <x v="22"/>
    <s v="MEMBRANES HAVING ALIGNED 1-D NANOPARTICLES IN A MATRIX LAYER FOR IMPROVED FLUID SEPARATION"/>
    <x v="53"/>
    <s v="03/23/2012"/>
    <x v="27"/>
    <s v="12/22/2015"/>
    <x v="50"/>
    <x v="41"/>
    <x v="16"/>
    <x v="16"/>
    <x v="0"/>
  </r>
  <r>
    <x v="88"/>
    <x v="17"/>
    <x v="23"/>
    <s v="SUPERCAPACITIVE SWING ADSORPTION"/>
    <x v="54"/>
    <s v="02/03/2014"/>
    <x v="0"/>
    <s v=""/>
    <x v="51"/>
    <x v="1"/>
    <x v="17"/>
    <x v="17"/>
    <x v="0"/>
  </r>
  <r>
    <x v="89"/>
    <x v="18"/>
    <x v="24"/>
    <s v="SCANNING METHOD FOR MEASUREMENT OF SEEBECK COEFFICIENT ON BULK AND THIN FILM MATERIALS"/>
    <x v="55"/>
    <s v="07/11/2012"/>
    <x v="28"/>
    <s v="04/19/2016"/>
    <x v="52"/>
    <x v="42"/>
    <x v="18"/>
    <x v="18"/>
    <x v="0"/>
  </r>
  <r>
    <x v="90"/>
    <x v="18"/>
    <x v="25"/>
    <s v="THIN-FILM HETEROSTRUCTURE THERMOELECTRICS IN A GROUP IIA AND IV-VI MATERIALS SYSTEM"/>
    <x v="56"/>
    <s v="02/24/2012"/>
    <x v="29"/>
    <s v="10/22/2013"/>
    <x v="53"/>
    <x v="43"/>
    <x v="18"/>
    <x v="18"/>
    <x v="0"/>
  </r>
  <r>
    <x v="91"/>
    <x v="18"/>
    <x v="25"/>
    <s v="THIN-FILM HETEROSTRUCTURE THERMOELECTRICS IN A GROUP IIA AND IV-VI MATERIALS SYSTEM"/>
    <x v="57"/>
    <s v="03/09/2012"/>
    <x v="30"/>
    <s v="10/22/2013"/>
    <x v="54"/>
    <x v="1"/>
    <x v="18"/>
    <x v="18"/>
    <x v="0"/>
  </r>
  <r>
    <x v="92"/>
    <x v="19"/>
    <x v="26"/>
    <s v="HIGH CAPACITY ANODE MATERIALS FOR LITHIUM ION BATTERIES"/>
    <x v="58"/>
    <s v="11/03/2010"/>
    <x v="31"/>
    <s v="11/17/2015"/>
    <x v="55"/>
    <x v="44"/>
    <x v="19"/>
    <x v="19"/>
    <x v="0"/>
  </r>
  <r>
    <x v="93"/>
    <x v="19"/>
    <x v="26"/>
    <s v="POROUS SILICON BASED ANODE MATERIAL FORMED USING METAL REDUCTION"/>
    <x v="59"/>
    <s v="01/19/2012"/>
    <x v="32"/>
    <s v="09/22/2015"/>
    <x v="56"/>
    <x v="45"/>
    <x v="19"/>
    <x v="19"/>
    <x v="0"/>
  </r>
  <r>
    <x v="94"/>
    <x v="19"/>
    <x v="26"/>
    <s v="SILICON OXIDE BASED HIGH CAPACITY ANODE MATERIALS FOR LITHIUM ION BATTERIES"/>
    <x v="60"/>
    <s v="05/16/2011"/>
    <x v="33"/>
    <s v="03/21/2017"/>
    <x v="57"/>
    <x v="46"/>
    <x v="19"/>
    <x v="19"/>
    <x v="0"/>
  </r>
  <r>
    <x v="95"/>
    <x v="20"/>
    <x v="27"/>
    <s v="ENERGY STORAGE MEDIA FOR ULTRACAPACITORS"/>
    <x v="61"/>
    <s v="06/07/2012"/>
    <x v="34"/>
    <s v="12/22/2015"/>
    <x v="58"/>
    <x v="47"/>
    <x v="20"/>
    <x v="20"/>
    <x v="0"/>
  </r>
  <r>
    <x v="96"/>
    <x v="20"/>
    <x v="27"/>
    <s v="LOW-COST HIGH ENERGY AND POWER DENSITY NANOTUBE-ENHANCED ULTRACAPACITOR"/>
    <x v="1"/>
    <s v=""/>
    <x v="0"/>
    <s v=""/>
    <x v="1"/>
    <x v="1"/>
    <x v="20"/>
    <x v="20"/>
    <x v="0"/>
  </r>
  <r>
    <x v="97"/>
    <x v="20"/>
    <x v="27"/>
    <s v="IN-LINE MANUFACTURE OF CARBON NANOTUBES"/>
    <x v="62"/>
    <s v="08/17/2012"/>
    <x v="35"/>
    <s v="04/28/2015"/>
    <x v="59"/>
    <x v="48"/>
    <x v="20"/>
    <x v="20"/>
    <x v="0"/>
  </r>
  <r>
    <x v="98"/>
    <x v="20"/>
    <x v="27"/>
    <s v="ELECTRODES FOR ENERGY STORAGE DEVICES BASED ON CARBON NANOTUBES AND METAL CARBIDE NANOWHISKERS"/>
    <x v="1"/>
    <s v=""/>
    <x v="0"/>
    <s v=""/>
    <x v="60"/>
    <x v="49"/>
    <x v="20"/>
    <x v="20"/>
    <x v="0"/>
  </r>
  <r>
    <x v="99"/>
    <x v="20"/>
    <x v="27"/>
    <s v="ELECTRODES FOR ENERGY STORAGE DEVICES BASED ON ANODIZED ALUMINUM"/>
    <x v="1"/>
    <s v=""/>
    <x v="0"/>
    <s v=""/>
    <x v="61"/>
    <x v="50"/>
    <x v="20"/>
    <x v="20"/>
    <x v="0"/>
  </r>
  <r>
    <x v="100"/>
    <x v="20"/>
    <x v="27"/>
    <s v="ADVANCED ELECTROLYTE SYSTEMS AND THEIR USE IN ENERGY STORAGE DEVICES"/>
    <x v="63"/>
    <s v="02/25/2013"/>
    <x v="36"/>
    <s v="01/31/2017"/>
    <x v="62"/>
    <x v="51"/>
    <x v="20"/>
    <x v="20"/>
    <x v="0"/>
  </r>
  <r>
    <x v="101"/>
    <x v="20"/>
    <x v="27"/>
    <s v="HIGH POWER AND HIGH ENERGY ELECTRODES USING CARBON NANOTUBES"/>
    <x v="64"/>
    <s v="08/16/2012"/>
    <x v="37"/>
    <s v="04/07/2015"/>
    <x v="63"/>
    <x v="52"/>
    <x v="20"/>
    <x v="20"/>
    <x v="0"/>
  </r>
  <r>
    <x v="102"/>
    <x v="20"/>
    <x v="27"/>
    <s v="POWER SUPPLY FOR DOWNHOLE RETRIEVAL"/>
    <x v="65"/>
    <s v="07/19/2012"/>
    <x v="0"/>
    <s v=""/>
    <x v="64"/>
    <x v="1"/>
    <x v="20"/>
    <x v="20"/>
    <x v="0"/>
  </r>
  <r>
    <x v="103"/>
    <x v="20"/>
    <x v="27"/>
    <s v="ULTRACAPACITORS WITH HIGH FREQUENCY RESPONSE"/>
    <x v="66"/>
    <s v="11/02/2012"/>
    <x v="0"/>
    <s v=""/>
    <x v="65"/>
    <x v="53"/>
    <x v="20"/>
    <x v="20"/>
    <x v="0"/>
  </r>
  <r>
    <x v="104"/>
    <x v="20"/>
    <x v="27"/>
    <s v="ULTRACAPACITORS WITH HIGH FREQUENCY RESPONSE"/>
    <x v="67"/>
    <s v="11/09/2012"/>
    <x v="0"/>
    <s v=""/>
    <x v="66"/>
    <x v="54"/>
    <x v="20"/>
    <x v="20"/>
    <x v="0"/>
  </r>
  <r>
    <x v="105"/>
    <x v="20"/>
    <x v="27"/>
    <s v="ENHANCED CARBON BASED ELECTRODE FOR USE IN ENERGY STORAGE DEVICES"/>
    <x v="68"/>
    <s v="05/02/2013"/>
    <x v="0"/>
    <s v=""/>
    <x v="67"/>
    <x v="1"/>
    <x v="20"/>
    <x v="20"/>
    <x v="0"/>
  </r>
  <r>
    <x v="106"/>
    <x v="20"/>
    <x v="27"/>
    <s v="ELECTROLYTES FOR ULTACAPACITORS"/>
    <x v="69"/>
    <s v="11/09/2012"/>
    <x v="0"/>
    <s v=""/>
    <x v="1"/>
    <x v="1"/>
    <x v="20"/>
    <x v="20"/>
    <x v="0"/>
  </r>
  <r>
    <x v="107"/>
    <x v="20"/>
    <x v="27"/>
    <s v="ELECTROLYTES FOR ULTACAPACITORS"/>
    <x v="70"/>
    <s v="11/09/2012"/>
    <x v="0"/>
    <s v=""/>
    <x v="1"/>
    <x v="1"/>
    <x v="20"/>
    <x v="20"/>
    <x v="0"/>
  </r>
  <r>
    <x v="108"/>
    <x v="20"/>
    <x v="27"/>
    <s v="ULTRACAPACITORS WITH HIGH FREQUENCY RESPONSE"/>
    <x v="71"/>
    <s v="11/09/2012"/>
    <x v="0"/>
    <s v=""/>
    <x v="1"/>
    <x v="1"/>
    <x v="20"/>
    <x v="20"/>
    <x v="0"/>
  </r>
  <r>
    <x v="109"/>
    <x v="20"/>
    <x v="27"/>
    <s v="NOVEL SUPER ELECTROLYTIC CAPACITOR"/>
    <x v="72"/>
    <s v="11/09/2012"/>
    <x v="0"/>
    <s v=""/>
    <x v="1"/>
    <x v="1"/>
    <x v="20"/>
    <x v="20"/>
    <x v="0"/>
  </r>
  <r>
    <x v="110"/>
    <x v="20"/>
    <x v="27"/>
    <s v="HIGH ENERGY AND POWER ULTRACAPACITOR"/>
    <x v="73"/>
    <s v="11/09/2012"/>
    <x v="0"/>
    <s v=""/>
    <x v="1"/>
    <x v="1"/>
    <x v="20"/>
    <x v="20"/>
    <x v="0"/>
  </r>
  <r>
    <x v="111"/>
    <x v="20"/>
    <x v="27"/>
    <s v="HIGH TEMPERATURE ENERGY STORAGE DEVICE"/>
    <x v="74"/>
    <s v="09/04/2014"/>
    <x v="0"/>
    <s v=""/>
    <x v="1"/>
    <x v="1"/>
    <x v="20"/>
    <x v="20"/>
    <x v="0"/>
  </r>
  <r>
    <x v="112"/>
    <x v="20"/>
    <x v="27"/>
    <s v="HIGH POWER AND HIGH ENERGY ELECTRODES USING CARBON NANOTUBES"/>
    <x v="75"/>
    <s v="04/06/2015"/>
    <x v="0"/>
    <m/>
    <x v="1"/>
    <x v="1"/>
    <x v="20"/>
    <x v="20"/>
    <x v="0"/>
  </r>
  <r>
    <x v="113"/>
    <x v="21"/>
    <x v="28"/>
    <s v="NANOSTRUCTURES, SYSTEMS, AND METHODS FOR PHOTOCATALYSIS"/>
    <x v="76"/>
    <s v="04/20/2012"/>
    <x v="38"/>
    <s v="12/08/2015"/>
    <x v="68"/>
    <x v="55"/>
    <x v="21"/>
    <x v="21"/>
    <x v="5"/>
  </r>
  <r>
    <x v="114"/>
    <x v="21"/>
    <x v="28"/>
    <s v="AFFORDABLE ENERGY FROM WATER AND SUNLIGHT"/>
    <x v="1"/>
    <s v=""/>
    <x v="0"/>
    <s v=""/>
    <x v="68"/>
    <x v="55"/>
    <x v="21"/>
    <x v="21"/>
    <x v="5"/>
  </r>
  <r>
    <x v="115"/>
    <x v="21"/>
    <x v="28"/>
    <s v="AFFORDABLE ENERGY FROM WATER AND SUNLIGHT"/>
    <x v="1"/>
    <s v=""/>
    <x v="0"/>
    <s v=""/>
    <x v="69"/>
    <x v="56"/>
    <x v="21"/>
    <x v="21"/>
    <x v="5"/>
  </r>
  <r>
    <x v="116"/>
    <x v="21"/>
    <x v="29"/>
    <s v="PHOTOACTIVE NANOSTRUCTURES FOR PARTICLE-STLE PHOTOELECTROCHEMICAL SYSTEMS"/>
    <x v="77"/>
    <s v="11/24/2015"/>
    <x v="0"/>
    <s v=""/>
    <x v="70"/>
    <x v="57"/>
    <x v="21"/>
    <x v="21"/>
    <x v="5"/>
  </r>
  <r>
    <x v="117"/>
    <x v="22"/>
    <x v="30"/>
    <s v="IMPROVED METHOD FOR COLLECTING MATTER WITH A MATTER COLLECTION UNIT"/>
    <x v="78"/>
    <s v="10/07/2011"/>
    <x v="0"/>
    <s v=""/>
    <x v="71"/>
    <x v="58"/>
    <x v="22"/>
    <x v="22"/>
    <x v="0"/>
  </r>
  <r>
    <x v="118"/>
    <x v="23"/>
    <x v="31"/>
    <s v="ELECTROCHEMICAL DEVICES COMPRISING QUINONES"/>
    <x v="1"/>
    <s v=""/>
    <x v="0"/>
    <s v=""/>
    <x v="72"/>
    <x v="59"/>
    <x v="23"/>
    <x v="23"/>
    <x v="0"/>
  </r>
  <r>
    <x v="119"/>
    <x v="23"/>
    <x v="31"/>
    <s v="METAL-AIR CELL WITH ION EXCHANGE MATERIAL"/>
    <x v="79"/>
    <s v="06/18/2012"/>
    <x v="39"/>
    <s v="08/25/2015"/>
    <x v="73"/>
    <x v="60"/>
    <x v="23"/>
    <x v="23"/>
    <x v="0"/>
  </r>
  <r>
    <x v="120"/>
    <x v="23"/>
    <x v="31"/>
    <s v="TUNED HYDROPHOBICITY"/>
    <x v="80"/>
    <s v="04/13/2011"/>
    <x v="40"/>
    <s v="04/06/1999"/>
    <x v="74"/>
    <x v="61"/>
    <x v="23"/>
    <x v="23"/>
    <x v="0"/>
  </r>
  <r>
    <x v="121"/>
    <x v="23"/>
    <x v="9"/>
    <s v="IONIC LIQUID METAL-AIR BATTERY"/>
    <x v="81"/>
    <s v="05/10/2010"/>
    <x v="41"/>
    <s v="11/25/2014"/>
    <x v="75"/>
    <x v="62"/>
    <x v="23"/>
    <x v="23"/>
    <x v="0"/>
  </r>
  <r>
    <x v="122"/>
    <x v="23"/>
    <x v="10"/>
    <s v="ALUMINUM-BASED METAL-AIR BATTERIES"/>
    <x v="82"/>
    <s v="10/17/2012"/>
    <x v="42"/>
    <s v="01/12/2016"/>
    <x v="76"/>
    <x v="63"/>
    <x v="23"/>
    <x v="23"/>
    <x v="0"/>
  </r>
  <r>
    <x v="123"/>
    <x v="23"/>
    <x v="9"/>
    <s v="METAL-AIR CELL WITH METAL CONTAINING ADDITIVE"/>
    <x v="83"/>
    <s v="05/11/2011"/>
    <x v="43"/>
    <s v="11/10/2015"/>
    <x v="77"/>
    <x v="64"/>
    <x v="23"/>
    <x v="23"/>
    <x v="0"/>
  </r>
  <r>
    <x v="124"/>
    <x v="23"/>
    <x v="31"/>
    <s v="IONIC LIQUID CONTAINING SULFONATE IONS"/>
    <x v="84"/>
    <s v="04/17/2012"/>
    <x v="44"/>
    <s v="06/03/2014"/>
    <x v="78"/>
    <x v="65"/>
    <x v="23"/>
    <x v="23"/>
    <x v="0"/>
  </r>
  <r>
    <x v="125"/>
    <x v="23"/>
    <x v="31"/>
    <s v="DEGENERATELY DOPED METALLIC ANODES"/>
    <x v="85"/>
    <s v="10/02/2013"/>
    <x v="45"/>
    <s v="05/12/2015"/>
    <x v="79"/>
    <x v="66"/>
    <x v="23"/>
    <x v="23"/>
    <x v="0"/>
  </r>
  <r>
    <x v="126"/>
    <x v="23"/>
    <x v="31"/>
    <s v="METHODS OF PRODUCING SULFATE SALTS OF CATIONS FROM HETEROATOMIC COMPOUNDS AND DIALKYL SULFATES AND USES THEREOF"/>
    <x v="86"/>
    <s v="06/18/2012"/>
    <x v="46"/>
    <s v="09/29/2015"/>
    <x v="80"/>
    <x v="67"/>
    <x v="23"/>
    <x v="23"/>
    <x v="0"/>
  </r>
  <r>
    <x v="127"/>
    <x v="23"/>
    <x v="31"/>
    <s v="METHODS FOR THE PRODUCTION OF ANION EXCHANGING POLYMERS AND THE USE THEREOF IN BATTERIES"/>
    <x v="1"/>
    <s v=""/>
    <x v="0"/>
    <s v=""/>
    <x v="81"/>
    <x v="68"/>
    <x v="23"/>
    <x v="23"/>
    <x v="0"/>
  </r>
  <r>
    <x v="128"/>
    <x v="23"/>
    <x v="9"/>
    <s v="METAL-AIR CELL WITH METAL CONTAINING ADDITIVE"/>
    <x v="87"/>
    <s v="05/11/2011"/>
    <x v="47"/>
    <s v="08/06/2019"/>
    <x v="82"/>
    <x v="1"/>
    <x v="23"/>
    <x v="23"/>
    <x v="0"/>
  </r>
  <r>
    <x v="129"/>
    <x v="23"/>
    <x v="9"/>
    <s v="METAL-AIR CELL WITH METAL CONTAINING ADDITIVE"/>
    <x v="88"/>
    <s v="05/11/2011"/>
    <x v="0"/>
    <s v=""/>
    <x v="83"/>
    <x v="69"/>
    <x v="23"/>
    <x v="23"/>
    <x v="0"/>
  </r>
  <r>
    <x v="130"/>
    <x v="23"/>
    <x v="9"/>
    <s v="METAL-AIR CELL WITH METAL CONTAINING ADDITIVE"/>
    <x v="89"/>
    <s v="05/11/2011"/>
    <x v="0"/>
    <s v=""/>
    <x v="61"/>
    <x v="50"/>
    <x v="23"/>
    <x v="23"/>
    <x v="0"/>
  </r>
  <r>
    <x v="131"/>
    <x v="23"/>
    <x v="31"/>
    <s v="METAL-AIR CELL WITH HYDROPHOBIC AND HYGROSCOPIC IONICALLY CONDUCTIVE MEDIUMS"/>
    <x v="90"/>
    <s v="09/09/2011"/>
    <x v="0"/>
    <s v=""/>
    <x v="1"/>
    <x v="1"/>
    <x v="23"/>
    <x v="23"/>
    <x v="0"/>
  </r>
  <r>
    <x v="132"/>
    <x v="23"/>
    <x v="31"/>
    <s v="SYNTHESIS OF HETERO IONIC COMPOUNDS USING DIALKYLCARBONATE QUATERNIZATION"/>
    <x v="91"/>
    <s v="06/18/2012"/>
    <x v="0"/>
    <s v=""/>
    <x v="1"/>
    <x v="1"/>
    <x v="23"/>
    <x v="23"/>
    <x v="0"/>
  </r>
  <r>
    <x v="133"/>
    <x v="24"/>
    <x v="32"/>
    <s v="ENERGY HARVESTING SYSTEM FOR A VEHICLE "/>
    <x v="92"/>
    <s v="12/30/2011"/>
    <x v="48"/>
    <s v="04/14/2015"/>
    <x v="84"/>
    <x v="70"/>
    <x v="24"/>
    <x v="24"/>
    <x v="5"/>
  </r>
  <r>
    <x v="134"/>
    <x v="24"/>
    <x v="32"/>
    <s v="APPARATUS AND METHOD FOR RESISTIVE HEATING-BASED, IN-SITU., POST-WELDING HEAT TREATMENT OF WELDED SMA WIRES"/>
    <x v="1"/>
    <s v=""/>
    <x v="0"/>
    <s v=""/>
    <x v="85"/>
    <x v="71"/>
    <x v="24"/>
    <x v="24"/>
    <x v="5"/>
  </r>
  <r>
    <x v="135"/>
    <x v="24"/>
    <x v="32"/>
    <s v="APPARATUS AND METHOD FOR JOINING SMA WIRES USING MICRO PULSE ARC WELDING"/>
    <x v="1"/>
    <s v=""/>
    <x v="0"/>
    <s v=""/>
    <x v="86"/>
    <x v="72"/>
    <x v="24"/>
    <x v="24"/>
    <x v="5"/>
  </r>
  <r>
    <x v="136"/>
    <x v="24"/>
    <x v="32"/>
    <s v=" SHAPE MEMORY ALLOY HEAT ENGINES AND ENERGY HARVESTING SYSTEMS  "/>
    <x v="93"/>
    <s v="12/30/2011"/>
    <x v="49"/>
    <s v="12/17/2013"/>
    <x v="87"/>
    <x v="73"/>
    <x v="24"/>
    <x v="24"/>
    <x v="5"/>
  </r>
  <r>
    <x v="137"/>
    <x v="24"/>
    <x v="32"/>
    <s v="SHAPE MEMORY ALLOY HEAT ENGINES AND ENERGY HARVESTING SYSTEMS "/>
    <x v="94"/>
    <s v="12/30/2011"/>
    <x v="50"/>
    <s v="09/30/2014"/>
    <x v="88"/>
    <x v="74"/>
    <x v="24"/>
    <x v="24"/>
    <x v="5"/>
  </r>
  <r>
    <x v="138"/>
    <x v="24"/>
    <x v="32"/>
    <s v="METHOD OF STARTING AND OPERATING A SHAPE MEMORY ALLOY HEAT ENGINE "/>
    <x v="95"/>
    <s v="12/30/2011"/>
    <x v="51"/>
    <s v="08/30/2012"/>
    <x v="89"/>
    <x v="75"/>
    <x v="24"/>
    <x v="24"/>
    <x v="5"/>
  </r>
  <r>
    <x v="139"/>
    <x v="24"/>
    <x v="32"/>
    <s v="NUMERICAL MODELING OF A SHAPE-MEMORY ALLOY HEAT ENGINE"/>
    <x v="96"/>
    <s v="02/28/2011"/>
    <x v="0"/>
    <s v=""/>
    <x v="1"/>
    <x v="1"/>
    <x v="24"/>
    <x v="24"/>
    <x v="5"/>
  </r>
  <r>
    <x v="140"/>
    <x v="24"/>
    <x v="32"/>
    <s v="SHAPE-MEMORY ALLOY HEAT ENGINE"/>
    <x v="97"/>
    <s v="02/28/2011"/>
    <x v="0"/>
    <s v=""/>
    <x v="1"/>
    <x v="1"/>
    <x v="24"/>
    <x v="24"/>
    <x v="5"/>
  </r>
  <r>
    <x v="141"/>
    <x v="24"/>
    <x v="32"/>
    <s v="SHAPE MEMORY ALLOY WORKING ELEMENTS FOR SHAPE MEMORY ALLOY HEAT ENGINES "/>
    <x v="98"/>
    <s v="02/28/2011"/>
    <x v="0"/>
    <s v=""/>
    <x v="1"/>
    <x v="1"/>
    <x v="24"/>
    <x v="24"/>
    <x v="5"/>
  </r>
  <r>
    <x v="142"/>
    <x v="24"/>
    <x v="32"/>
    <s v="LARGE SCALE WORKING ELEMENTS FOR SHAPE MEMORY ALLOY HEAT ENGINES"/>
    <x v="99"/>
    <s v="02/28/2011"/>
    <x v="0"/>
    <s v=""/>
    <x v="1"/>
    <x v="1"/>
    <x v="24"/>
    <x v="24"/>
    <x v="5"/>
  </r>
  <r>
    <x v="143"/>
    <x v="24"/>
    <x v="32"/>
    <s v="ENERGY HARVESTING SYSTEM FOR A VEHICLE "/>
    <x v="100"/>
    <s v="02/28/2011"/>
    <x v="0"/>
    <s v=""/>
    <x v="1"/>
    <x v="1"/>
    <x v="24"/>
    <x v="24"/>
    <x v="5"/>
  </r>
  <r>
    <x v="144"/>
    <x v="25"/>
    <x v="33"/>
    <s v="TAPERED - AND SURFACE-ROUGHNESS CONTROLLED SILICON NANOWIRE LARGE-SCALE PRODUCTION METHOD"/>
    <x v="1"/>
    <s v=""/>
    <x v="0"/>
    <s v=""/>
    <x v="90"/>
    <x v="76"/>
    <x v="25"/>
    <x v="25"/>
    <x v="0"/>
  </r>
  <r>
    <x v="145"/>
    <x v="26"/>
    <x v="34"/>
    <s v="PLANTS WITH ENGINEERED ENDOGENOUS GENES"/>
    <x v="101"/>
    <s v="09/24/2014"/>
    <x v="0"/>
    <s v=""/>
    <x v="91"/>
    <x v="77"/>
    <x v="26"/>
    <x v="26"/>
    <x v="0"/>
  </r>
  <r>
    <x v="146"/>
    <x v="26"/>
    <x v="34"/>
    <s v="INTEIN-MODIFIED ENZYMES, THEIR PRODUCTION AND INDUSTRIAL APPLICATIONS"/>
    <x v="102"/>
    <s v="09/20/2012"/>
    <x v="52"/>
    <s v="10/11/2016"/>
    <x v="92"/>
    <x v="78"/>
    <x v="26"/>
    <x v="26"/>
    <x v="0"/>
  </r>
  <r>
    <x v="147"/>
    <x v="26"/>
    <x v="34"/>
    <s v="PLANTS WITH ENGINEERED ENDOGENOUS GENES"/>
    <x v="1"/>
    <s v=""/>
    <x v="0"/>
    <s v=""/>
    <x v="93"/>
    <x v="79"/>
    <x v="26"/>
    <x v="26"/>
    <x v="0"/>
  </r>
  <r>
    <x v="148"/>
    <x v="26"/>
    <x v="34"/>
    <s v="CONSOLIDATED PRETREATMENT AND HYDROLYSIS OF PLANT BIOMASS EXPRESSING CELL WALL DEGRADING ENZYMES"/>
    <x v="103"/>
    <s v="03/07/2012"/>
    <x v="53"/>
    <s v="02/02/2016"/>
    <x v="94"/>
    <x v="1"/>
    <x v="26"/>
    <x v="26"/>
    <x v="0"/>
  </r>
  <r>
    <x v="149"/>
    <x v="27"/>
    <x v="35"/>
    <s v="SYSTEMS AND ASSEMBLIES FOR TRANSFERRING HIGH POWER LASET ENERGY THROUGH A ROTATING JUNCTION"/>
    <x v="104"/>
    <s v="03/01/2013"/>
    <x v="54"/>
    <s v="01/26/2016"/>
    <x v="95"/>
    <x v="80"/>
    <x v="27"/>
    <x v="27"/>
    <x v="0"/>
  </r>
  <r>
    <x v="150"/>
    <x v="27"/>
    <x v="35"/>
    <s v="CONTROL SYSTEM FOR HIGH POWER LASER DRILLING WORKOVER AND COMPLETION UNIT"/>
    <x v="105"/>
    <s v="02/23/2012"/>
    <x v="55"/>
    <s v="05/12/2015"/>
    <x v="96"/>
    <x v="81"/>
    <x v="27"/>
    <x v="27"/>
    <x v="0"/>
  </r>
  <r>
    <x v="151"/>
    <x v="27"/>
    <x v="35"/>
    <s v="RUGGED PASSIVELY COOLED HIGH POWER LASER FIBER OPTIC CONNECTORS AND METHODS OF USE_x000d_"/>
    <x v="106"/>
    <s v="06/01/2012"/>
    <x v="56"/>
    <s v="06/07/2016"/>
    <x v="97"/>
    <x v="82"/>
    <x v="27"/>
    <x v="27"/>
    <x v="0"/>
  </r>
  <r>
    <x v="152"/>
    <x v="27"/>
    <x v="35"/>
    <s v="OPTICAL FIBER CONFIGURATIONS FOR TRANSMISSION OF LASER ENERGY OVER GREAT DISTANCES "/>
    <x v="107"/>
    <s v="07/21/2010"/>
    <x v="57"/>
    <s v="10/29/2013"/>
    <x v="98"/>
    <x v="1"/>
    <x v="27"/>
    <x v="27"/>
    <x v="0"/>
  </r>
  <r>
    <x v="153"/>
    <x v="27"/>
    <x v="35"/>
    <s v="OPTICS ASSEMBLY FOR HIGH POWER LASER TOOLS"/>
    <x v="108"/>
    <s v="02/23/2012"/>
    <x v="58"/>
    <s v="06/07/2016"/>
    <x v="99"/>
    <x v="83"/>
    <x v="27"/>
    <x v="27"/>
    <x v="0"/>
  </r>
  <r>
    <x v="154"/>
    <x v="27"/>
    <x v="35"/>
    <s v="HIGH POWER LASER-MECHANICAL DRILLING BIT AND METHODS OF USE"/>
    <x v="109"/>
    <s v="02/23/2012"/>
    <x v="59"/>
    <s v=""/>
    <x v="100"/>
    <x v="84"/>
    <x v="27"/>
    <x v="27"/>
    <x v="0"/>
  </r>
  <r>
    <x v="155"/>
    <x v="27"/>
    <x v="35"/>
    <s v="LONG DISTANCE HIGH POWER OPTICAL LASER FIBER BREAK DETECTION AND CONTINUITY MONITORING SYSTEMS AND METHODS"/>
    <x v="110"/>
    <s v="02/23/2012"/>
    <x v="0"/>
    <s v=""/>
    <x v="101"/>
    <x v="85"/>
    <x v="27"/>
    <x v="27"/>
    <x v="0"/>
  </r>
  <r>
    <x v="156"/>
    <x v="27"/>
    <x v="35"/>
    <s v="ELECTRIC MOTOR FOR LASER-MECHANICAL DRILLING"/>
    <x v="111"/>
    <s v="02/23/2012"/>
    <x v="60"/>
    <s v="07/07/2015"/>
    <x v="102"/>
    <x v="86"/>
    <x v="27"/>
    <x v="27"/>
    <x v="0"/>
  </r>
  <r>
    <x v="157"/>
    <x v="27"/>
    <x v="35"/>
    <s v="LONG DISTANCE HIGH POWER OPTICAL LASER FIBER BREAK DETECTION AND CONTINUITY MONITORING SYSTEMS AND METHODS"/>
    <x v="110"/>
    <s v="02/23/2012"/>
    <x v="61"/>
    <s v="02/23/2016"/>
    <x v="103"/>
    <x v="87"/>
    <x v="27"/>
    <x v="27"/>
    <x v="0"/>
  </r>
  <r>
    <x v="158"/>
    <x v="27"/>
    <x v="35"/>
    <s v="CONTROL SYSTEM FOR HIGH POWER LASER DRILLING WORKOVER AND COMPLETION UNIT"/>
    <x v="105"/>
    <s v="02/23/2012"/>
    <x v="55"/>
    <s v="05/12/2015"/>
    <x v="104"/>
    <x v="88"/>
    <x v="27"/>
    <x v="27"/>
    <x v="0"/>
  </r>
  <r>
    <x v="159"/>
    <x v="27"/>
    <x v="35"/>
    <s v="WAVEGUIDE LASER JET AND METHODS OF USE UPDATE"/>
    <x v="1"/>
    <s v=""/>
    <x v="0"/>
    <s v=""/>
    <x v="105"/>
    <x v="89"/>
    <x v="27"/>
    <x v="27"/>
    <x v="0"/>
  </r>
  <r>
    <x v="160"/>
    <x v="27"/>
    <x v="35"/>
    <s v="OPTICAL FIBER CABLE FOR TRANSMISSION OF HIGH POWER LASER ENERGY OVER GREAT DISTANCES"/>
    <x v="112"/>
    <s v="02/16/2010"/>
    <x v="62"/>
    <s v="05/24/2016"/>
    <x v="106"/>
    <x v="90"/>
    <x v="27"/>
    <x v="27"/>
    <x v="0"/>
  </r>
  <r>
    <x v="161"/>
    <x v="27"/>
    <x v="35"/>
    <s v="HIGH POWER LASER ENERGY DISTRIBUTION PATTERNS, APPARATUS AND METHODS FOR CREATING WELLS"/>
    <x v="113"/>
    <s v="03/28/2013"/>
    <x v="63"/>
    <s v="03/15/2016"/>
    <x v="107"/>
    <x v="91"/>
    <x v="27"/>
    <x v="27"/>
    <x v="0"/>
  </r>
  <r>
    <x v="162"/>
    <x v="27"/>
    <x v="35"/>
    <s v="TOTAL INTERNAL REFLECTION LASER TOOLS AND METHODS"/>
    <x v="114"/>
    <s v="02/15/2013"/>
    <x v="64"/>
    <s v="01/26/2016"/>
    <x v="108"/>
    <x v="92"/>
    <x v="27"/>
    <x v="27"/>
    <x v="0"/>
  </r>
  <r>
    <x v="163"/>
    <x v="27"/>
    <x v="35"/>
    <s v="METHOD AND APPARATUS FOR DELIVERING HIGH POWER LASER ENERGY OVER LONG DISTANCES _x000d__x000a_"/>
    <x v="115"/>
    <s v="02/26/2013"/>
    <x v="65"/>
    <s v="04/07/2015"/>
    <x v="109"/>
    <x v="93"/>
    <x v="27"/>
    <x v="27"/>
    <x v="0"/>
  </r>
  <r>
    <x v="164"/>
    <x v="27"/>
    <x v="35"/>
    <s v="SYSTEMS AND CONVEYANCE STRUCTURES FOR HIGH POWER LONG DISTANCE LASER TRANSMISSION"/>
    <x v="116"/>
    <s v="08/16/2011"/>
    <x v="66"/>
    <s v="03/04/2014"/>
    <x v="110"/>
    <x v="94"/>
    <x v="27"/>
    <x v="27"/>
    <x v="0"/>
  </r>
  <r>
    <x v="165"/>
    <x v="27"/>
    <x v="35"/>
    <s v="LASER BOTTOM HOLE ASSEMBLY"/>
    <x v="117"/>
    <s v="10/01/2010"/>
    <x v="67"/>
    <s v="01/14/2014"/>
    <x v="111"/>
    <x v="95"/>
    <x v="27"/>
    <x v="27"/>
    <x v="0"/>
  </r>
  <r>
    <x v="166"/>
    <x v="27"/>
    <x v="35"/>
    <s v="OPTICAL FIBER CONFIGURATIONS FOR TRANSMISSION OF LASER ENERGY OVER GREAT DISTANCES"/>
    <x v="118"/>
    <s v="10/18/2013"/>
    <x v="68"/>
    <s v="11/04/2014"/>
    <x v="112"/>
    <x v="96"/>
    <x v="27"/>
    <x v="27"/>
    <x v="0"/>
  </r>
  <r>
    <x v="167"/>
    <x v="27"/>
    <x v="35"/>
    <s v="METHODS AND APPARATUS FOR REMOVAL AND CONTROL OF MATERIAL IN LASER DRILLING OF A BOREHOLE"/>
    <x v="119"/>
    <s v="08/19/2009"/>
    <x v="69"/>
    <s v="01/28/2014"/>
    <x v="113"/>
    <x v="97"/>
    <x v="27"/>
    <x v="27"/>
    <x v="0"/>
  </r>
  <r>
    <x v="168"/>
    <x v="27"/>
    <x v="35"/>
    <s v="METHOD AND SYSTEM FOR ADVANCEMENT OF A BOREHOLE USING A HIGH POWER LASER"/>
    <x v="120"/>
    <s v="08/19/2009"/>
    <x v="70"/>
    <s v="09/09/2014"/>
    <x v="114"/>
    <x v="98"/>
    <x v="27"/>
    <x v="27"/>
    <x v="0"/>
  </r>
  <r>
    <x v="169"/>
    <x v="27"/>
    <x v="35"/>
    <s v="APPARATUS FOR ADVANCING A WELLBORE USING HIGH POWER LASER ENERGY"/>
    <x v="121"/>
    <s v="08/19/2009"/>
    <x v="71"/>
    <s v="09/02/2014"/>
    <x v="115"/>
    <x v="99"/>
    <x v="27"/>
    <x v="27"/>
    <x v="0"/>
  </r>
  <r>
    <x v="170"/>
    <x v="27"/>
    <x v="35"/>
    <s v="METHOD AND APPARATUS FOR DELIVERING HIGH POWER LASER ENERGY OVER LONG DISTANCES _x000d__x000a_"/>
    <x v="122"/>
    <s v="08/12/2009"/>
    <x v="72"/>
    <s v="08/20/2013"/>
    <x v="116"/>
    <x v="100"/>
    <x v="27"/>
    <x v="27"/>
    <x v="0"/>
  </r>
  <r>
    <x v="171"/>
    <x v="27"/>
    <x v="35"/>
    <s v="METHODS AND APPARATUS FOR REMOVAL AND CONTROL OF MATERIAL IN LASER DRILLING OF A BOREHOLE"/>
    <x v="123"/>
    <s v="12/12/2013"/>
    <x v="73"/>
    <s v="12/06/2016"/>
    <x v="117"/>
    <x v="101"/>
    <x v="27"/>
    <x v="27"/>
    <x v="0"/>
  </r>
  <r>
    <x v="172"/>
    <x v="27"/>
    <x v="35"/>
    <s v="APPARATUS FOR PERFORMING OIL FIELD LASER OPERATIONS"/>
    <x v="124"/>
    <s v="07/18/2014"/>
    <x v="74"/>
    <s v="01/03/2017"/>
    <x v="117"/>
    <x v="101"/>
    <x v="27"/>
    <x v="27"/>
    <x v="0"/>
  </r>
  <r>
    <x v="173"/>
    <x v="27"/>
    <x v="35"/>
    <s v="METHOD AND APPARATUS FOR DELIVERING HIGH POWER LASER ENERGY TO A SURFACE"/>
    <x v="125"/>
    <s v="08/19/2009"/>
    <x v="75"/>
    <s v="04/23/2013"/>
    <x v="118"/>
    <x v="102"/>
    <x v="27"/>
    <x v="27"/>
    <x v="0"/>
  </r>
  <r>
    <x v="174"/>
    <x v="27"/>
    <x v="35"/>
    <s v="HIGH POWER LASER PERFORATING TOOLS AND SYSTEMS _x000d__x000a_"/>
    <x v="126"/>
    <s v="03/13/2013"/>
    <x v="76"/>
    <s v="04/22/2014"/>
    <x v="119"/>
    <x v="103"/>
    <x v="27"/>
    <x v="27"/>
    <x v="0"/>
  </r>
  <r>
    <x v="175"/>
    <x v="27"/>
    <x v="35"/>
    <s v="HIGH POWER LASER WORKOVER AND COMPLETION TOOLS AND SYSTEMS _x000d__x000a_"/>
    <x v="127"/>
    <s v="03/13/2013"/>
    <x v="77"/>
    <s v="10/28/2014"/>
    <x v="120"/>
    <x v="104"/>
    <x v="27"/>
    <x v="27"/>
    <x v="0"/>
  </r>
  <r>
    <x v="176"/>
    <x v="27"/>
    <x v="35"/>
    <s v="HIGH POWER DOWNHOLE LASER CUTTING TOOLS AND SYSTEMS_x000d__x000a_"/>
    <x v="128"/>
    <s v="03/13/2013"/>
    <x v="78"/>
    <s v="01/20/2015"/>
    <x v="121"/>
    <x v="105"/>
    <x v="27"/>
    <x v="27"/>
    <x v="0"/>
  </r>
  <r>
    <x v="177"/>
    <x v="27"/>
    <x v="35"/>
    <s v="METHOD FOR ENHANCING THE EFFICIENCY OF CREATING A BOREHOLE USING HIGH POWER LASER SYSTEMS_x000d__x000a_"/>
    <x v="129"/>
    <s v="03/13/2013"/>
    <x v="79"/>
    <s v="06/24/2014"/>
    <x v="122"/>
    <x v="106"/>
    <x v="27"/>
    <x v="27"/>
    <x v="0"/>
  </r>
  <r>
    <x v="178"/>
    <x v="27"/>
    <x v="35"/>
    <s v="OPTICAL FIBER CONFIGURATIONS FOR TRANSMISSION OF LASER ENERGY OVER GREAT DISTANCES"/>
    <x v="107"/>
    <s v="07/21/2010"/>
    <x v="57"/>
    <s v="10/29/2013"/>
    <x v="123"/>
    <x v="107"/>
    <x v="27"/>
    <x v="27"/>
    <x v="0"/>
  </r>
  <r>
    <x v="179"/>
    <x v="27"/>
    <x v="35"/>
    <s v="RUGED HIGH POWER LASER FIBER OPTIC CONNECTORS AND METHODS OF USE"/>
    <x v="130"/>
    <s v="03/01/2012"/>
    <x v="0"/>
    <s v=""/>
    <x v="1"/>
    <x v="1"/>
    <x v="27"/>
    <x v="27"/>
    <x v="0"/>
  </r>
  <r>
    <x v="180"/>
    <x v="27"/>
    <x v="35"/>
    <s v="HIGH POWER FIBER LASER TECHNOLOGY DEVELOPED FOR USE IN HIGH g, REMOTE ENVIRONMENTS"/>
    <x v="131"/>
    <s v="04/29/2012"/>
    <x v="0"/>
    <s v=""/>
    <x v="1"/>
    <x v="1"/>
    <x v="27"/>
    <x v="27"/>
    <x v="0"/>
  </r>
  <r>
    <x v="181"/>
    <x v="27"/>
    <x v="35"/>
    <s v="HIGH POWER OPTICAL SLIP RING ASSEMBLIES"/>
    <x v="132"/>
    <s v="03/01/2012"/>
    <x v="0"/>
    <s v=""/>
    <x v="1"/>
    <x v="1"/>
    <x v="27"/>
    <x v="27"/>
    <x v="0"/>
  </r>
  <r>
    <x v="182"/>
    <x v="27"/>
    <x v="35"/>
    <s v="METHOD OF HIGH POWER LASER-MECHANICAL DRILLING"/>
    <x v="133"/>
    <s v="02/23/2012"/>
    <x v="0"/>
    <s v=""/>
    <x v="1"/>
    <x v="1"/>
    <x v="27"/>
    <x v="27"/>
    <x v="0"/>
  </r>
  <r>
    <x v="183"/>
    <x v="27"/>
    <x v="35"/>
    <s v=" HIGH POWER LASER CUTTING TOOL AND SYSTEM"/>
    <x v="134"/>
    <s v="03/01/2012"/>
    <x v="0"/>
    <s v=""/>
    <x v="1"/>
    <x v="1"/>
    <x v="27"/>
    <x v="27"/>
    <x v="0"/>
  </r>
  <r>
    <x v="184"/>
    <x v="27"/>
    <x v="35"/>
    <s v="HIGH POWER LASER TOOLS"/>
    <x v="135"/>
    <s v="03/01/2012"/>
    <x v="0"/>
    <s v=""/>
    <x v="1"/>
    <x v="1"/>
    <x v="27"/>
    <x v="27"/>
    <x v="0"/>
  </r>
  <r>
    <x v="185"/>
    <x v="27"/>
    <x v="35"/>
    <s v="A METHOD OF PROTECTING HIGH POWER LASER DRILLING WORKOVER AND COMPLETION SYSTEMS FROM CARBON GETTERING DEPOSITS"/>
    <x v="136"/>
    <s v="02/23/2012"/>
    <x v="0"/>
    <s v=""/>
    <x v="1"/>
    <x v="1"/>
    <x v="27"/>
    <x v="27"/>
    <x v="0"/>
  </r>
  <r>
    <x v="186"/>
    <x v="27"/>
    <x v="35"/>
    <s v="TOOLS AND METHODS OF USE WITH A HIGH POWER LASER TRANSMISSION SYSTEM"/>
    <x v="137"/>
    <s v="02/24/2011"/>
    <x v="0"/>
    <s v=""/>
    <x v="1"/>
    <x v="1"/>
    <x v="27"/>
    <x v="27"/>
    <x v="0"/>
  </r>
  <r>
    <x v="187"/>
    <x v="27"/>
    <x v="35"/>
    <s v="LONG DISTANCE HIGH POWER OPTICAL LASER FIBER BREAK DETECTION AND CONTINUITY MONITORING SYSTEMS AND METHODS"/>
    <x v="138"/>
    <s v="02/24/2011"/>
    <x v="0"/>
    <s v=""/>
    <x v="1"/>
    <x v="1"/>
    <x v="27"/>
    <x v="27"/>
    <x v="0"/>
  </r>
  <r>
    <x v="188"/>
    <x v="27"/>
    <x v="35"/>
    <s v="METHOD OF HIGH POWER LASER-MECHANICAL DRILLING"/>
    <x v="139"/>
    <s v="02/24/2011"/>
    <x v="0"/>
    <s v=""/>
    <x v="1"/>
    <x v="1"/>
    <x v="27"/>
    <x v="27"/>
    <x v="0"/>
  </r>
  <r>
    <x v="189"/>
    <x v="27"/>
    <x v="35"/>
    <s v="HIGH POWER LASER-MECHANICAL  DRILLING BIT AND METHODS OF USE"/>
    <x v="140"/>
    <s v="02/24/2011"/>
    <x v="0"/>
    <s v=""/>
    <x v="1"/>
    <x v="1"/>
    <x v="27"/>
    <x v="27"/>
    <x v="0"/>
  </r>
  <r>
    <x v="190"/>
    <x v="27"/>
    <x v="35"/>
    <s v="TWO-PHASE ISOLATION METHODS AND SYSTEMS FOR CONTROLLED DRILLING"/>
    <x v="141"/>
    <s v="08/17/2010"/>
    <x v="0"/>
    <s v=""/>
    <x v="1"/>
    <x v="1"/>
    <x v="27"/>
    <x v="27"/>
    <x v="0"/>
  </r>
  <r>
    <x v="191"/>
    <x v="27"/>
    <x v="35"/>
    <s v="METHOD OF COMMUNICATING POWER AND/OR DATA THROUGH A MUD MOTOR"/>
    <x v="142"/>
    <s v="10/01/2009"/>
    <x v="0"/>
    <s v=""/>
    <x v="1"/>
    <x v="1"/>
    <x v="27"/>
    <x v="27"/>
    <x v="0"/>
  </r>
  <r>
    <x v="192"/>
    <x v="27"/>
    <x v="35"/>
    <s v="DOWNHOLE HIGHPOWER LASER, LASER WAVELENGTH CONVERTER, SYSTEMS AND METHOD OF USE"/>
    <x v="143"/>
    <s v="03/15/2013"/>
    <x v="0"/>
    <s v=""/>
    <x v="1"/>
    <x v="1"/>
    <x v="27"/>
    <x v="27"/>
    <x v="0"/>
  </r>
  <r>
    <x v="193"/>
    <x v="27"/>
    <x v="35"/>
    <s v="ELECTRIC MOTOR FOR LASER - MECHANICAL DRILLING"/>
    <x v="144"/>
    <s v="02/24/2011"/>
    <x v="0"/>
    <s v=""/>
    <x v="1"/>
    <x v="1"/>
    <x v="27"/>
    <x v="27"/>
    <x v="0"/>
  </r>
  <r>
    <x v="194"/>
    <x v="27"/>
    <x v="35"/>
    <s v="RUGGED PASSIVELY COOLED HIGH POWER LASER FIBER OPTIC CONNECTIONS AND METHOD OF USE"/>
    <x v="145"/>
    <s v="06/03/2011"/>
    <x v="0"/>
    <s v=""/>
    <x v="1"/>
    <x v="1"/>
    <x v="27"/>
    <x v="27"/>
    <x v="0"/>
  </r>
  <r>
    <x v="195"/>
    <x v="27"/>
    <x v="35"/>
    <s v="FLUID LASER JETS, CUTTING HEADS, TOOLS AND METHODS OF USE"/>
    <x v="146"/>
    <s v="08/16/2011"/>
    <x v="0"/>
    <s v=""/>
    <x v="1"/>
    <x v="1"/>
    <x v="27"/>
    <x v="27"/>
    <x v="0"/>
  </r>
  <r>
    <x v="196"/>
    <x v="27"/>
    <x v="35"/>
    <s v="TWO-PHASE ISOLATION METHODS AND SYSTEMS FOR CONTROLLED DRILLING"/>
    <x v="147"/>
    <s v="08/17/2011"/>
    <x v="0"/>
    <s v=""/>
    <x v="1"/>
    <x v="1"/>
    <x v="27"/>
    <x v="27"/>
    <x v="0"/>
  </r>
  <r>
    <x v="197"/>
    <x v="27"/>
    <x v="35"/>
    <s v="OPTICS ASSEMBLY FOR HIGH POWER LASER TOOLS"/>
    <x v="148"/>
    <s v="02/24/2011"/>
    <x v="0"/>
    <s v=""/>
    <x v="1"/>
    <x v="1"/>
    <x v="27"/>
    <x v="27"/>
    <x v="0"/>
  </r>
  <r>
    <x v="198"/>
    <x v="27"/>
    <x v="35"/>
    <s v="DOWNHOLE HIGHPOWER LASER, LASER WAVELENGTH CONVERTER, SYSTEMS AND METHOD OF USE"/>
    <x v="149"/>
    <s v="12/07/2012"/>
    <x v="0"/>
    <s v=""/>
    <x v="1"/>
    <x v="1"/>
    <x v="27"/>
    <x v="27"/>
    <x v="0"/>
  </r>
  <r>
    <x v="199"/>
    <x v="28"/>
    <x v="36"/>
    <s v="ALKAI HALIDE CELLS"/>
    <x v="150"/>
    <s v="03/12/2015"/>
    <x v="80"/>
    <s v="08/13/2013"/>
    <x v="124"/>
    <x v="108"/>
    <x v="28"/>
    <x v="28"/>
    <x v="0"/>
  </r>
  <r>
    <x v="200"/>
    <x v="29"/>
    <x v="37"/>
    <s v="ALKALI-ION BATTERY WITH BI-METALLIC CATHODE"/>
    <x v="151"/>
    <s v="09/20/2011"/>
    <x v="81"/>
    <s v="04/07/2015"/>
    <x v="125"/>
    <x v="109"/>
    <x v="29"/>
    <x v="29"/>
    <x v="0"/>
  </r>
  <r>
    <x v="201"/>
    <x v="29"/>
    <x v="38"/>
    <s v="LIQUID ANTIMONY-LEAD ALLOY AS CATHODE MATERIAL IN A LIQUID METAL BATTERY"/>
    <x v="1"/>
    <s v=""/>
    <x v="0"/>
    <s v=""/>
    <x v="126"/>
    <x v="110"/>
    <x v="29"/>
    <x v="29"/>
    <x v="0"/>
  </r>
  <r>
    <x v="202"/>
    <x v="29"/>
    <x v="9"/>
    <s v="Autoclavable Photobioreactor"/>
    <x v="1"/>
    <s v=""/>
    <x v="0"/>
    <s v=""/>
    <x v="127"/>
    <x v="111"/>
    <x v="29"/>
    <x v="29"/>
    <x v="0"/>
  </r>
  <r>
    <x v="203"/>
    <x v="29"/>
    <x v="37"/>
    <s v="SEQUESTRATION OF CARBON DIOXIDE WITH HYDROGEN TO USEFUL PRODUCTS"/>
    <x v="152"/>
    <s v="10/19/2014"/>
    <x v="0"/>
    <s v=""/>
    <x v="128"/>
    <x v="112"/>
    <x v="29"/>
    <x v="29"/>
    <x v="0"/>
  </r>
  <r>
    <x v="204"/>
    <x v="29"/>
    <x v="37"/>
    <s v="LOW COST SEPARATOR FOR LIQUID METAL BATTERIES"/>
    <x v="1"/>
    <s v=""/>
    <x v="0"/>
    <s v=""/>
    <x v="129"/>
    <x v="113"/>
    <x v="29"/>
    <x v="29"/>
    <x v="0"/>
  </r>
  <r>
    <x v="205"/>
    <x v="29"/>
    <x v="37"/>
    <s v="HIGH TEMPERATURE SEALED ELECTROCHEMICAL CELL"/>
    <x v="153"/>
    <s v="07/13/2012"/>
    <x v="82"/>
    <s v="10/06/2015"/>
    <x v="130"/>
    <x v="114"/>
    <x v="29"/>
    <x v="29"/>
    <x v="0"/>
  </r>
  <r>
    <x v="206"/>
    <x v="29"/>
    <x v="37"/>
    <s v="DISPLACEMENT SALT ELECTRODES"/>
    <x v="154"/>
    <s v="03/13/2014"/>
    <x v="0"/>
    <s v=""/>
    <x v="1"/>
    <x v="1"/>
    <x v="29"/>
    <x v="29"/>
    <x v="0"/>
  </r>
  <r>
    <x v="207"/>
    <x v="29"/>
    <x v="37"/>
    <s v="ASSEMBLY METHOD FOR LIQUID METAL BATTERIES"/>
    <x v="155"/>
    <s v="03/10/2014"/>
    <x v="0"/>
    <s v=""/>
    <x v="1"/>
    <x v="1"/>
    <x v="29"/>
    <x v="29"/>
    <x v="0"/>
  </r>
  <r>
    <x v="208"/>
    <x v="29"/>
    <x v="37"/>
    <s v="LOW-TEMPERATURE LIQUID METAL BATTERIES FOR GRID-SCALED STORAGE"/>
    <x v="156"/>
    <s v="10/04/2013"/>
    <x v="0"/>
    <s v=""/>
    <x v="1"/>
    <x v="1"/>
    <x v="29"/>
    <x v="29"/>
    <x v="0"/>
  </r>
  <r>
    <x v="209"/>
    <x v="29"/>
    <x v="37"/>
    <s v="CALCIUM-BASED LIQUID METAL BATTERY"/>
    <x v="157"/>
    <s v="11/16/2018"/>
    <x v="0"/>
    <s v=""/>
    <x v="1"/>
    <x v="1"/>
    <x v="29"/>
    <x v="29"/>
    <x v="0"/>
  </r>
  <r>
    <x v="210"/>
    <x v="29"/>
    <x v="37"/>
    <s v="ALKALI-ION BATTERY WITH BI-METALLIC CATHODE"/>
    <x v="158"/>
    <s v="09/20/2011"/>
    <x v="0"/>
    <s v=""/>
    <x v="90"/>
    <x v="76"/>
    <x v="29"/>
    <x v="29"/>
    <x v="0"/>
  </r>
  <r>
    <x v="211"/>
    <x v="29"/>
    <x v="37"/>
    <s v="ALKALI METAL ION BATTERY WITH BIMETALLIC ELECTRODE"/>
    <x v="159"/>
    <s v="04/03/2015"/>
    <x v="0"/>
    <s v=""/>
    <x v="1"/>
    <x v="1"/>
    <x v="29"/>
    <x v="29"/>
    <x v="0"/>
  </r>
  <r>
    <x v="208"/>
    <x v="29"/>
    <x v="37"/>
    <s v="LOW-TEMPERATURE LIQUID METAL BATTERIES FOR GRID-SCALED STORAGE"/>
    <x v="160"/>
    <s v="10/04/2013"/>
    <x v="0"/>
    <s v=""/>
    <x v="131"/>
    <x v="115"/>
    <x v="29"/>
    <x v="29"/>
    <x v="0"/>
  </r>
  <r>
    <x v="212"/>
    <x v="29"/>
    <x v="37"/>
    <s v="CALCIUM-BASED LIQUID METAL BATTERY"/>
    <x v="161"/>
    <s v="12/14/2015"/>
    <x v="0"/>
    <s v=""/>
    <x v="1"/>
    <x v="1"/>
    <x v="29"/>
    <x v="29"/>
    <x v="0"/>
  </r>
  <r>
    <x v="213"/>
    <x v="30"/>
    <x v="0"/>
    <s v="CATALYTIC BIOREACTORS AND METHODS OF USING SAME"/>
    <x v="162"/>
    <s v="03/06/2014"/>
    <x v="0"/>
    <s v=""/>
    <x v="132"/>
    <x v="116"/>
    <x v="30"/>
    <x v="30"/>
    <x v="0"/>
  </r>
  <r>
    <x v="214"/>
    <x v="30"/>
    <x v="0"/>
    <s v="REACTOR FOR INCOMPATIBLE GASEOUS REACTANTS"/>
    <x v="1"/>
    <s v=""/>
    <x v="0"/>
    <s v=""/>
    <x v="132"/>
    <x v="116"/>
    <x v="30"/>
    <x v="30"/>
    <x v="0"/>
  </r>
  <r>
    <x v="215"/>
    <x v="30"/>
    <x v="37"/>
    <s v="USING GAPN (TADD) ENZYME FROM RHODOCOCCUS OPACUS PD630 TO MODULATE INTRACELLULAR REDUCED COFACTOR POOL SIZE"/>
    <x v="1"/>
    <s v=""/>
    <x v="0"/>
    <s v=""/>
    <x v="132"/>
    <x v="116"/>
    <x v="30"/>
    <x v="30"/>
    <x v="0"/>
  </r>
  <r>
    <x v="216"/>
    <x v="30"/>
    <x v="37"/>
    <s v="BIOREACTOR FOR INCOMPATIBLE GASES"/>
    <x v="1"/>
    <s v=""/>
    <x v="0"/>
    <s v=""/>
    <x v="133"/>
    <x v="117"/>
    <x v="30"/>
    <x v="30"/>
    <x v="0"/>
  </r>
  <r>
    <x v="217"/>
    <x v="31"/>
    <x v="37"/>
    <s v="METHOD FOR PRODUCTION OF AROMATIC AND AROMATIC-DERIVED COMPOUNDS USING CO-CULTURE OF TWO E-COIL STRAINS"/>
    <x v="1"/>
    <s v=""/>
    <x v="0"/>
    <s v=""/>
    <x v="134"/>
    <x v="118"/>
    <x v="31"/>
    <x v="31"/>
    <x v="0"/>
  </r>
  <r>
    <x v="218"/>
    <x v="31"/>
    <x v="37"/>
    <s v="METHODS FOR MICROBIAL OIL OVERPRODUCTION VIA AMPLIFICATION OF THE BIOSYNTHETIC AND SEQUESTRATION PATHWAYS INDIVIDUALLY OR IN COMBINATION"/>
    <x v="163"/>
    <s v="10/19/2012"/>
    <x v="83"/>
    <s v="02/10/2015"/>
    <x v="135"/>
    <x v="119"/>
    <x v="31"/>
    <x v="31"/>
    <x v="0"/>
  </r>
  <r>
    <x v="219"/>
    <x v="31"/>
    <x v="37"/>
    <s v="ENGINEERING MICROBES AND METABOLIC PATHWAYS FOR THE PRODUCTION OF ETHYLENE GLYCOL "/>
    <x v="164"/>
    <s v="09/24/2015"/>
    <x v="84"/>
    <s v="06/12/2018"/>
    <x v="136"/>
    <x v="120"/>
    <x v="31"/>
    <x v="31"/>
    <x v="0"/>
  </r>
  <r>
    <x v="220"/>
    <x v="31"/>
    <x v="37"/>
    <s v="METHODS FOR MICROBIAL OIL OVERPRODUCTION FROM CELLULOSIC MATERIALS"/>
    <x v="165"/>
    <s v="06/21/2013"/>
    <x v="85"/>
    <s v="08/04/2015"/>
    <x v="137"/>
    <x v="121"/>
    <x v="31"/>
    <x v="31"/>
    <x v="0"/>
  </r>
  <r>
    <x v="221"/>
    <x v="31"/>
    <x v="37"/>
    <s v="METHODS FOR MICROBIAL OIL OVERPRODUCTION VIA AMPLIFICATION OF THE BIOSYNTHETIC AND SEQUESTRATION PATHWAYS INDIVIDUALLY OR IN COMBINATION"/>
    <x v="166"/>
    <s v="11/19/2014"/>
    <x v="0"/>
    <s v=""/>
    <x v="138"/>
    <x v="122"/>
    <x v="31"/>
    <x v="31"/>
    <x v="0"/>
  </r>
  <r>
    <x v="222"/>
    <x v="31"/>
    <x v="37"/>
    <s v="ENGINEERED MICROBES AND METHODS FOR MICROBIAL OIL OVERPRODUCTION FROM CELLULOSIC MATERIALS"/>
    <x v="167"/>
    <s v="08/04/2015"/>
    <x v="86"/>
    <s v="01/30/2018"/>
    <x v="139"/>
    <x v="123"/>
    <x v="31"/>
    <x v="31"/>
    <x v="0"/>
  </r>
  <r>
    <x v="223"/>
    <x v="31"/>
    <x v="37"/>
    <s v="ENGINEERING MICROBES AND METABOLIC PATHWAYS FOR THE PRODUCTION OF ETHYLENE GLYCOL "/>
    <x v="168"/>
    <s v="02/22/2013"/>
    <x v="0"/>
    <s v=""/>
    <x v="1"/>
    <x v="1"/>
    <x v="31"/>
    <x v="31"/>
    <x v="0"/>
  </r>
  <r>
    <x v="224"/>
    <x v="31"/>
    <x v="37"/>
    <s v="ENGINEERED MICROBES AND METHODS FOR MICROBIAL OIL OVERPRODUCTION FROM CELLULOSIC MATERIALS"/>
    <x v="169"/>
    <s v="12/11/2017"/>
    <x v="0"/>
    <s v=""/>
    <x v="1"/>
    <x v="1"/>
    <x v="31"/>
    <x v="31"/>
    <x v="0"/>
  </r>
  <r>
    <x v="225"/>
    <x v="31"/>
    <x v="37"/>
    <s v="ENGINEERING MICROBES AND METABOLIC PATHWAYS FOR THE PRODUCTION OF ETHYLENE GLYCOL FROM XYLOSE, GLUCOSE, CARBOHYDRATES AND RENEWABLE RESOURCES"/>
    <x v="170"/>
    <s v="02/22/2013"/>
    <x v="0"/>
    <s v=""/>
    <x v="92"/>
    <x v="78"/>
    <x v="31"/>
    <x v="31"/>
    <x v="0"/>
  </r>
  <r>
    <x v="226"/>
    <x v="31"/>
    <x v="37"/>
    <s v="METHODS FOR MICROBIAL OIL OVERPRODUCTION FROM CELLULOSIC MATERIALS"/>
    <x v="171"/>
    <s v="06/21/2013"/>
    <x v="0"/>
    <s v=""/>
    <x v="93"/>
    <x v="79"/>
    <x v="31"/>
    <x v="31"/>
    <x v="0"/>
  </r>
  <r>
    <x v="227"/>
    <x v="31"/>
    <x v="37"/>
    <s v="METHODS FOR MICROBIAL OIL OVERPRODUCTION VIA AMPLIFICATION OF THE BIOSYNTHETIC AND SEQUESTRATION PATHWAYS INDIVIDUALLY OR IN COMBINATION"/>
    <x v="172"/>
    <s v="10/19/2012"/>
    <x v="0"/>
    <s v=""/>
    <x v="94"/>
    <x v="124"/>
    <x v="31"/>
    <x v="31"/>
    <x v="0"/>
  </r>
  <r>
    <x v="228"/>
    <x v="31"/>
    <x v="37"/>
    <s v="ENGINEERING MICROBES AND METABOLIC PATHWAYS FOR THE PRODUCTION OF ETHYLENE GLYCOL "/>
    <x v="173"/>
    <s v="06/11/2018"/>
    <x v="0"/>
    <s v=""/>
    <x v="1"/>
    <x v="1"/>
    <x v="31"/>
    <x v="31"/>
    <x v="0"/>
  </r>
  <r>
    <x v="229"/>
    <x v="31"/>
    <x v="37"/>
    <s v="INTEGRATED BIOLOGICAL CONVERSION OF GASEOUS SUBSTRATE INTO LIPIDS"/>
    <x v="174"/>
    <s v="09/06/2016"/>
    <x v="0"/>
    <s v=""/>
    <x v="95"/>
    <x v="80"/>
    <x v="31"/>
    <x v="31"/>
    <x v="0"/>
  </r>
  <r>
    <x v="230"/>
    <x v="32"/>
    <x v="39"/>
    <s v="METHODS AND SYSTEMS FOR PRODUCING PRODUCTS USING ENGINEERED IRON OIDIZING BACTERIA AND COPPER METGAL"/>
    <x v="175"/>
    <s v="08/26/2016"/>
    <x v="0"/>
    <s v=""/>
    <x v="1"/>
    <x v="1"/>
    <x v="32"/>
    <x v="32"/>
    <x v="0"/>
  </r>
  <r>
    <x v="231"/>
    <x v="32"/>
    <x v="39"/>
    <s v="ENHANCED COPPER LEACH RATES WITH ENGINEERED ORGANISM"/>
    <x v="176"/>
    <s v="09/20/2013"/>
    <x v="0"/>
    <s v=""/>
    <x v="1"/>
    <x v="1"/>
    <x v="32"/>
    <x v="32"/>
    <x v="0"/>
  </r>
  <r>
    <x v="232"/>
    <x v="32"/>
    <x v="39"/>
    <s v="CHEMICAL PRODUCTION USING AMMONIA OXIDIZING BACTERIA"/>
    <x v="177"/>
    <s v="04/13/2011"/>
    <x v="0"/>
    <s v=""/>
    <x v="73"/>
    <x v="60"/>
    <x v="32"/>
    <x v="32"/>
    <x v="0"/>
  </r>
  <r>
    <x v="233"/>
    <x v="32"/>
    <x v="39"/>
    <s v="CHEMICAL AND BIOFUEL PRODUCTION USING SULFUR OXIDIZING BACTERIA"/>
    <x v="178"/>
    <s v="02/15/2013"/>
    <x v="0"/>
    <s v=""/>
    <x v="74"/>
    <x v="61"/>
    <x v="32"/>
    <x v="32"/>
    <x v="0"/>
  </r>
  <r>
    <x v="233"/>
    <x v="32"/>
    <x v="39"/>
    <s v="CHEMICAL AND BIOFUEL PRODUCTION USING SULFUR OXIDIZING BACTERIA"/>
    <x v="179"/>
    <s v="08/07/2014"/>
    <x v="0"/>
    <s v=""/>
    <x v="1"/>
    <x v="1"/>
    <x v="32"/>
    <x v="32"/>
    <x v="0"/>
  </r>
  <r>
    <x v="232"/>
    <x v="32"/>
    <x v="39"/>
    <s v="CHEMICAL PRODUCTION USING AMMONIA OXIDIZING BACTERIA"/>
    <x v="180"/>
    <s v="10/12/2012"/>
    <x v="0"/>
    <s v=""/>
    <x v="1"/>
    <x v="1"/>
    <x v="32"/>
    <x v="32"/>
    <x v="0"/>
  </r>
  <r>
    <x v="234"/>
    <x v="32"/>
    <x v="39"/>
    <s v="MEDIA FORMULATIONS FOR CHEMICAL AND FUEL PRODUCTION FROM ELECTRICITY USING IRON-OXIDIZING BACTERIA"/>
    <x v="181"/>
    <s v="07/23/2014"/>
    <x v="0"/>
    <s v=""/>
    <x v="1"/>
    <x v="1"/>
    <x v="32"/>
    <x v="32"/>
    <x v="0"/>
  </r>
  <r>
    <x v="235"/>
    <x v="32"/>
    <x v="40"/>
    <s v="CHEMICALS AND FUELS FROM DILUTE CO2 ENABLE BY COPPER AS A REDOX MEDIATOR"/>
    <x v="182"/>
    <s v="06/23/2014"/>
    <x v="0"/>
    <s v=""/>
    <x v="1"/>
    <x v="1"/>
    <x v="32"/>
    <x v="32"/>
    <x v="0"/>
  </r>
  <r>
    <x v="236"/>
    <x v="33"/>
    <x v="41"/>
    <s v="AQUEOUS ELECTROLYTE LITHIUM SULFUR BATTERY"/>
    <x v="183"/>
    <s v="05/18/2012"/>
    <x v="87"/>
    <s v="08/20/2014"/>
    <x v="140"/>
    <x v="125"/>
    <x v="33"/>
    <x v="33"/>
    <x v="0"/>
  </r>
  <r>
    <x v="237"/>
    <x v="33"/>
    <x v="41"/>
    <s v="AQUEOUS ELECTROLYTE LITHIUM SULFUR BATTERY"/>
    <x v="184"/>
    <s v="11/14/2012"/>
    <x v="88"/>
    <s v="09/09/2014"/>
    <x v="141"/>
    <x v="126"/>
    <x v="33"/>
    <x v="33"/>
    <x v="0"/>
  </r>
  <r>
    <x v="238"/>
    <x v="33"/>
    <x v="41"/>
    <s v="AQUEOUS ELECTROLYTE LITHIUM SULFUR BATTERY"/>
    <x v="185"/>
    <s v="11/14/2012"/>
    <x v="88"/>
    <s v="09/09/2014"/>
    <x v="142"/>
    <x v="127"/>
    <x v="33"/>
    <x v="33"/>
    <x v="4"/>
  </r>
  <r>
    <x v="239"/>
    <x v="33"/>
    <x v="41"/>
    <s v="CATHODE ARCHITECTURES FOR ALKALI METAL/OXYGEN BATTERIES"/>
    <x v="186"/>
    <s v="06/15/2012"/>
    <x v="89"/>
    <s v="01/13/2015"/>
    <x v="143"/>
    <x v="128"/>
    <x v="33"/>
    <x v="33"/>
    <x v="0"/>
  </r>
  <r>
    <x v="240"/>
    <x v="33"/>
    <x v="41"/>
    <s v="AQUEOUS LITHIUM AIR BATTERIES"/>
    <x v="187"/>
    <s v="08/17/2012"/>
    <x v="90"/>
    <s v="05/23/2017"/>
    <x v="144"/>
    <x v="129"/>
    <x v="33"/>
    <x v="33"/>
    <x v="0"/>
  </r>
  <r>
    <x v="241"/>
    <x v="33"/>
    <x v="41"/>
    <s v="AQUEOUS ELECTROLYTE LITHIUM SULFUR BATTERY"/>
    <x v="183"/>
    <s v="05/18/2012"/>
    <x v="87"/>
    <s v="08/20/2014"/>
    <x v="145"/>
    <x v="130"/>
    <x v="33"/>
    <x v="33"/>
    <x v="0"/>
  </r>
  <r>
    <x v="242"/>
    <x v="33"/>
    <x v="41"/>
    <s v="OXYGEN-CARRYING COMPOUNDS IN LI/AIR BATTERIES"/>
    <x v="188"/>
    <s v="11/04/2011"/>
    <x v="0"/>
    <s v=""/>
    <x v="1"/>
    <x v="1"/>
    <x v="33"/>
    <x v="33"/>
    <x v="0"/>
  </r>
  <r>
    <x v="243"/>
    <x v="33"/>
    <x v="41"/>
    <s v="AQUEOUS LITHIUM AIR BATTERIES"/>
    <x v="189"/>
    <s v="04/27/2017"/>
    <x v="0"/>
    <s v=""/>
    <x v="1"/>
    <x v="1"/>
    <x v="33"/>
    <x v="33"/>
    <x v="0"/>
  </r>
  <r>
    <x v="244"/>
    <x v="33"/>
    <x v="41"/>
    <s v="AQUEOUS LITHIUM AIR BATTERIES"/>
    <x v="190"/>
    <s v="04/27/2017"/>
    <x v="0"/>
    <s v=""/>
    <x v="1"/>
    <x v="1"/>
    <x v="33"/>
    <x v="33"/>
    <x v="0"/>
  </r>
  <r>
    <x v="245"/>
    <x v="33"/>
    <x v="41"/>
    <s v="ELECTRODE STRUCTURES FOR AQUEOUS ELECTROLYTE LITHIUM SULFUR BATTERIES"/>
    <x v="191"/>
    <s v="04/05/2012"/>
    <x v="0"/>
    <s v=""/>
    <x v="1"/>
    <x v="1"/>
    <x v="33"/>
    <x v="33"/>
    <x v="0"/>
  </r>
  <r>
    <x v="246"/>
    <x v="34"/>
    <x v="42"/>
    <s v="LAYER MATERIALS WITH IMPROVED MAGNESIUM INTERCALATION FOR RECHARGEABLE MAGNESIUM CELLS"/>
    <x v="192"/>
    <s v="03/11/2013"/>
    <x v="91"/>
    <s v=""/>
    <x v="146"/>
    <x v="131"/>
    <x v="34"/>
    <x v="34"/>
    <x v="0"/>
  </r>
  <r>
    <x v="247"/>
    <x v="34"/>
    <x v="42"/>
    <s v="LAYER MATERIALS WITH IMPROVED MAGNESIUM INTERCALATION FOR RECHARGEABLE MAGNESIUM ION CELLS"/>
    <x v="193"/>
    <s v="03/11/2013"/>
    <x v="92"/>
    <s v="07/26/2016"/>
    <x v="147"/>
    <x v="1"/>
    <x v="34"/>
    <x v="34"/>
    <x v="0"/>
  </r>
  <r>
    <x v="248"/>
    <x v="34"/>
    <x v="42"/>
    <s v="NON-AQUEOUS ELECTROLYTE FOR HIGH VOLTAGE RECHARGEABLE MAGNESIUM BATTERIES"/>
    <x v="194"/>
    <s v="03/14/2013"/>
    <x v="93"/>
    <s v="02/10/2015"/>
    <x v="148"/>
    <x v="132"/>
    <x v="34"/>
    <x v="34"/>
    <x v="0"/>
  </r>
  <r>
    <x v="249"/>
    <x v="34"/>
    <x v="42"/>
    <s v="LAYERED MATERIALS WITH IMPROVED MAGNESIUM INTERCALATION FOR RECHARGEABLE MAGNESIUM ION CELLS"/>
    <x v="195"/>
    <s v="03/11/2013"/>
    <x v="94"/>
    <s v="10/27/2015"/>
    <x v="149"/>
    <x v="133"/>
    <x v="34"/>
    <x v="34"/>
    <x v="0"/>
  </r>
  <r>
    <x v="250"/>
    <x v="34"/>
    <x v="42"/>
    <s v="NON-AQUEOUS ELECTROLYTIC FOR HIGH VOLTAGE RECHARAGEBLE MAGNESIUM BATTERIES"/>
    <x v="196"/>
    <s v="03/14/2013"/>
    <x v="95"/>
    <s v="03/22/2016"/>
    <x v="150"/>
    <x v="1"/>
    <x v="34"/>
    <x v="34"/>
    <x v="0"/>
  </r>
  <r>
    <x v="251"/>
    <x v="34"/>
    <x v="42"/>
    <s v="NON-AQUEOUS ELECTROLYTIC FOR HIGH VOLTAGE RECHARAGEBLE MAGNESIUM BATTERIES"/>
    <x v="197"/>
    <s v="03/14/2013"/>
    <x v="0"/>
    <s v=""/>
    <x v="1"/>
    <x v="1"/>
    <x v="34"/>
    <x v="34"/>
    <x v="0"/>
  </r>
  <r>
    <x v="252"/>
    <x v="34"/>
    <x v="42"/>
    <s v="NON-AQUEOUS ELECTROLYTIC FOR HIGH VOLTAGE RECHARAGEBLE MAGNESIUM ION CELL"/>
    <x v="198"/>
    <s v="12/30/2013"/>
    <x v="0"/>
    <s v=""/>
    <x v="1"/>
    <x v="1"/>
    <x v="34"/>
    <x v="34"/>
    <x v="0"/>
  </r>
  <r>
    <x v="253"/>
    <x v="34"/>
    <x v="42"/>
    <s v="NON-AQUEOUS ELECTROLYTIC FOR HIGH VOLTAGE RECHARAGEBLE MAGNESIUM BATTERIES"/>
    <x v="199"/>
    <s v="03/14/2013"/>
    <x v="0"/>
    <s v=""/>
    <x v="1"/>
    <x v="1"/>
    <x v="34"/>
    <x v="34"/>
    <x v="0"/>
  </r>
  <r>
    <x v="254"/>
    <x v="35"/>
    <x v="43"/>
    <s v="ELECTRODE SURFACE ROUGHNESS CONTROL FOR SPRAY COATING PROCESS FOR LITHIUM-ION BATTERY"/>
    <x v="200"/>
    <s v="02/22/2012"/>
    <x v="0"/>
    <s v=""/>
    <x v="151"/>
    <x v="134"/>
    <x v="35"/>
    <x v="35"/>
    <x v="0"/>
  </r>
  <r>
    <x v="255"/>
    <x v="35"/>
    <x v="43"/>
    <s v="COMPLEX SHOWERHEAD COATING APPARATUS WITH ELECTROSPRAY FOR LITHIUM ION BATTERY"/>
    <x v="201"/>
    <s v="03/15/2013"/>
    <x v="0"/>
    <s v=""/>
    <x v="152"/>
    <x v="135"/>
    <x v="35"/>
    <x v="35"/>
    <x v="0"/>
  </r>
  <r>
    <x v="256"/>
    <x v="35"/>
    <x v="43"/>
    <s v="BATTERY ELECTRODE SPRAY COATING EDGE CONTROL METHOD AND APPARATUS"/>
    <x v="201"/>
    <s v="03/15/2013"/>
    <x v="0"/>
    <s v=""/>
    <x v="153"/>
    <x v="136"/>
    <x v="35"/>
    <x v="35"/>
    <x v="0"/>
  </r>
  <r>
    <x v="257"/>
    <x v="35"/>
    <x v="43"/>
    <s v="GRADED ELECTRODE TECHNOLOGIES FOR HIGH ENERGY LITHIUM BATTERIES"/>
    <x v="202"/>
    <s v="11/23/2010"/>
    <x v="0"/>
    <s v=""/>
    <x v="154"/>
    <x v="137"/>
    <x v="35"/>
    <x v="35"/>
    <x v="0"/>
  </r>
  <r>
    <x v="258"/>
    <x v="35"/>
    <x v="43"/>
    <s v="A HOT ROLLER SPRAY PROCESS TO FABRICATE LITHIUM ION BATTERY ELECTRODE FILMS"/>
    <x v="200"/>
    <s v="02/22/2012"/>
    <x v="0"/>
    <s v=""/>
    <x v="155"/>
    <x v="138"/>
    <x v="35"/>
    <x v="35"/>
    <x v="0"/>
  </r>
  <r>
    <x v="259"/>
    <x v="35"/>
    <x v="43"/>
    <s v="GRADED ELECTRODE TECHNOLOGIES FOR HIGH ENERGY LITHIUM-ION BATTERIES_x000d__x000a_"/>
    <x v="203"/>
    <s v="11/29/2010"/>
    <x v="0"/>
    <s v=""/>
    <x v="156"/>
    <x v="139"/>
    <x v="35"/>
    <x v="35"/>
    <x v="0"/>
  </r>
  <r>
    <x v="260"/>
    <x v="35"/>
    <x v="43"/>
    <s v="AN INTEGRATED GREEN SEPARATOR FOR LI ION BATTERIES"/>
    <x v="200"/>
    <s v="02/22/2012"/>
    <x v="0"/>
    <s v=""/>
    <x v="157"/>
    <x v="140"/>
    <x v="35"/>
    <x v="35"/>
    <x v="0"/>
  </r>
  <r>
    <x v="261"/>
    <x v="35"/>
    <x v="43"/>
    <s v="LITHIUM ION CELL DESIGN METHOD AND APPARATUS"/>
    <x v="200"/>
    <s v="02/22/2012"/>
    <x v="0"/>
    <s v=""/>
    <x v="158"/>
    <x v="141"/>
    <x v="35"/>
    <x v="35"/>
    <x v="0"/>
  </r>
  <r>
    <x v="262"/>
    <x v="35"/>
    <x v="43"/>
    <s v="SIMULTANEOUS MULTIFUNCTION ELECTRODE COATING OF LITHIUM- ION BATERIES"/>
    <x v="204"/>
    <s v="08/12/2011"/>
    <x v="0"/>
    <s v=""/>
    <x v="159"/>
    <x v="142"/>
    <x v="35"/>
    <x v="35"/>
    <x v="0"/>
  </r>
  <r>
    <x v="263"/>
    <x v="35"/>
    <x v="43"/>
    <s v="MULTIFUNCTIONAL PAN-B-PEO-INORGANIC HYBRID SEPARATOR FOR LITHIUM BATTERIES"/>
    <x v="205"/>
    <s v="11/21/2011"/>
    <x v="0"/>
    <s v=""/>
    <x v="160"/>
    <x v="143"/>
    <x v="35"/>
    <x v="35"/>
    <x v="0"/>
  </r>
  <r>
    <x v="264"/>
    <x v="35"/>
    <x v="43"/>
    <s v="INTEGRATED COMPOSITE SEPARATOR FOR LITHIUM ION BATTERIES"/>
    <x v="206"/>
    <s v="09/30/2010"/>
    <x v="0"/>
    <s v=""/>
    <x v="161"/>
    <x v="1"/>
    <x v="35"/>
    <x v="35"/>
    <x v="0"/>
  </r>
  <r>
    <x v="265"/>
    <x v="35"/>
    <x v="43"/>
    <s v="METHOD TO FABRICATE VARIATIONS IN POROSITY USING TEXTURING OF THE CURRENT COLLECTOR AND SPRAY DEPOSITION PROCESS TO FABRICATE LITHIUM ION BATERY ELECTRODE FILMS"/>
    <x v="207"/>
    <s v="08/12/2011"/>
    <x v="96"/>
    <s v="01/06/2015"/>
    <x v="162"/>
    <x v="144"/>
    <x v="35"/>
    <x v="35"/>
    <x v="0"/>
  </r>
  <r>
    <x v="266"/>
    <x v="35"/>
    <x v="43"/>
    <s v="ELECTRODE SURFACE ROUGHNESS CONTROL FOR SPRAY COATING PROCESS FOR LITHIUM-ION BATTERY"/>
    <x v="1"/>
    <s v=""/>
    <x v="0"/>
    <s v=""/>
    <x v="1"/>
    <x v="1"/>
    <x v="35"/>
    <x v="35"/>
    <x v="0"/>
  </r>
  <r>
    <x v="267"/>
    <x v="35"/>
    <x v="43"/>
    <s v="METHOD TO FABRICATE VARIATIONS IN POROSITY USING  HOT ROLER SPRAY PROCESS TO FABRICATE LITHIUM ION BATERY ELECTRODE FILMS"/>
    <x v="1"/>
    <s v=""/>
    <x v="0"/>
    <s v=""/>
    <x v="1"/>
    <x v="1"/>
    <x v="35"/>
    <x v="35"/>
    <x v="0"/>
  </r>
  <r>
    <x v="268"/>
    <x v="35"/>
    <x v="43"/>
    <s v="LITHIUM ION ELECTRODE POROSITY CONTROL THROUGH SOLVENT WEIGHT PERCENT"/>
    <x v="1"/>
    <s v=""/>
    <x v="0"/>
    <s v=""/>
    <x v="1"/>
    <x v="1"/>
    <x v="35"/>
    <x v="35"/>
    <x v="0"/>
  </r>
  <r>
    <x v="269"/>
    <x v="35"/>
    <x v="43"/>
    <s v="METHOD FOR ENCAPSULATION ELECTRODE EDGES VIA THE DIRECT DEPOSITION OF SEPARATORS"/>
    <x v="1"/>
    <s v=""/>
    <x v="0"/>
    <s v=""/>
    <x v="1"/>
    <x v="1"/>
    <x v="35"/>
    <x v="35"/>
    <x v="0"/>
  </r>
  <r>
    <x v="270"/>
    <x v="35"/>
    <x v="43"/>
    <s v="NOVEL 3D ELECTRODE STRUCTURE FOR HIGH ENERGY LI-ION BATTERIES"/>
    <x v="1"/>
    <s v=""/>
    <x v="0"/>
    <s v=""/>
    <x v="1"/>
    <x v="1"/>
    <x v="35"/>
    <x v="35"/>
    <x v="0"/>
  </r>
  <r>
    <x v="271"/>
    <x v="35"/>
    <x v="43"/>
    <s v="BATTERY ELECTRODE SPRAY COATING EDGE CONTROL METHOD AND APPARATUS"/>
    <x v="1"/>
    <s v=""/>
    <x v="0"/>
    <s v=""/>
    <x v="1"/>
    <x v="1"/>
    <x v="35"/>
    <x v="35"/>
    <x v="0"/>
  </r>
  <r>
    <x v="272"/>
    <x v="35"/>
    <x v="43"/>
    <s v="METHOD TO FABRICATE VARIATIONS IN POROSITY USING TWO STEP DEPOSITION PROCESS TO FABRICATE LITHIUM ION BATTERY ELECTRODE FILMS  _x0009__x0009__x0009_ "/>
    <x v="207"/>
    <s v="06/25/2012"/>
    <x v="96"/>
    <s v="01/06/2015"/>
    <x v="162"/>
    <x v="144"/>
    <x v="35"/>
    <x v="35"/>
    <x v="0"/>
  </r>
  <r>
    <x v="273"/>
    <x v="35"/>
    <x v="43"/>
    <s v="FLAME SPRAY FOR INTEGRATED SEPARATOR APPLICATIONS"/>
    <x v="1"/>
    <s v=""/>
    <x v="0"/>
    <s v=""/>
    <x v="1"/>
    <x v="1"/>
    <x v="35"/>
    <x v="35"/>
    <x v="0"/>
  </r>
  <r>
    <x v="274"/>
    <x v="35"/>
    <x v="43"/>
    <s v="MULTIFUNCTIONAL PAN-b-PEO-INORGANIC HYBRID SEPARATOR"/>
    <x v="1"/>
    <s v=""/>
    <x v="0"/>
    <s v=""/>
    <x v="1"/>
    <x v="1"/>
    <x v="35"/>
    <x v="35"/>
    <x v="0"/>
  </r>
  <r>
    <x v="275"/>
    <x v="35"/>
    <x v="43"/>
    <s v="ELECTROSPINNING FOR INTEGRATED SEPARATOR FOR LITHIUM-ION BATTERIES"/>
    <x v="208"/>
    <s v="09/02/2011"/>
    <x v="97"/>
    <s v="06/23/2015"/>
    <x v="163"/>
    <x v="145"/>
    <x v="35"/>
    <x v="35"/>
    <x v="0"/>
  </r>
  <r>
    <x v="276"/>
    <x v="35"/>
    <x v="43"/>
    <s v="METHODS TO FABRICATE VARIATIONS IN POROSITY OF LITHIUM ION BATTERY ELECTRODE FILMS"/>
    <x v="207"/>
    <s v="06/25/2012"/>
    <x v="96"/>
    <s v="06/23/2015"/>
    <x v="162"/>
    <x v="144"/>
    <x v="35"/>
    <x v="35"/>
    <x v="0"/>
  </r>
  <r>
    <x v="277"/>
    <x v="36"/>
    <x v="38"/>
    <s v="ENGINEERING STABILITY INTO SEMI-SOLID ELECTRODES FOR ELECTROCHEMICAL STORAGE DEVICES WITH A YIELD STRESS FLUID"/>
    <x v="1"/>
    <s v=""/>
    <x v="0"/>
    <s v=""/>
    <x v="1"/>
    <x v="1"/>
    <x v="36"/>
    <x v="36"/>
    <x v="0"/>
  </r>
  <r>
    <x v="278"/>
    <x v="36"/>
    <x v="38"/>
    <s v="ENGINEERING STABILITY INTO SEMI-SOLID ELECTRODES FOR ELECTROCHEMICAL STORAGE DEVICES WITH A YIELD STRESS FLUID"/>
    <x v="1"/>
    <s v=""/>
    <x v="0"/>
    <s v=""/>
    <x v="1"/>
    <x v="1"/>
    <x v="36"/>
    <x v="36"/>
    <x v="0"/>
  </r>
  <r>
    <x v="279"/>
    <x v="36"/>
    <x v="37"/>
    <s v="HIGH ENERGY DENSITY FLOW BATTERY"/>
    <x v="1"/>
    <s v=""/>
    <x v="0"/>
    <s v=""/>
    <x v="1"/>
    <x v="1"/>
    <x v="36"/>
    <x v="36"/>
    <x v="0"/>
  </r>
  <r>
    <x v="280"/>
    <x v="36"/>
    <x v="37"/>
    <s v="OPTIMAL FLOW CONDITIONS FOR INTERMITTENT FLOW CELLS"/>
    <x v="1"/>
    <s v=""/>
    <x v="0"/>
    <s v=""/>
    <x v="1"/>
    <x v="1"/>
    <x v="36"/>
    <x v="36"/>
    <x v="0"/>
  </r>
  <r>
    <x v="281"/>
    <x v="36"/>
    <x v="37"/>
    <s v="LOW COST SEPARATOR FOR LIQUID METAL BATTERIES"/>
    <x v="1"/>
    <s v=""/>
    <x v="0"/>
    <s v=""/>
    <x v="1"/>
    <x v="1"/>
    <x v="36"/>
    <x v="36"/>
    <x v="0"/>
  </r>
  <r>
    <x v="282"/>
    <x v="36"/>
    <x v="37"/>
    <s v="HIGH ENERGY DENSITY SEMI-SOLID STORAGE ELECTRODES AND BATTERIES THEREOF"/>
    <x v="209"/>
    <s v="02/04/2014"/>
    <x v="98"/>
    <s v=""/>
    <x v="164"/>
    <x v="146"/>
    <x v="36"/>
    <x v="36"/>
    <x v="0"/>
  </r>
  <r>
    <x v="283"/>
    <x v="36"/>
    <x v="37"/>
    <s v="LOW COST ELECTROCHEMICAL STORAGE DEVICE AND MANUFACTURING METHOD"/>
    <x v="210"/>
    <s v="08/18/2011"/>
    <x v="0"/>
    <s v=""/>
    <x v="1"/>
    <x v="1"/>
    <x v="36"/>
    <x v="36"/>
    <x v="0"/>
  </r>
  <r>
    <x v="284"/>
    <x v="36"/>
    <x v="37"/>
    <s v="GRAVITY INDUCED FLOW CELL USING SUSPENSION-BASED FLOW ELECTRODES"/>
    <x v="211"/>
    <s v="12/01/2014"/>
    <x v="0"/>
    <s v=""/>
    <x v="1"/>
    <x v="1"/>
    <x v="36"/>
    <x v="36"/>
    <x v="0"/>
  </r>
  <r>
    <x v="282"/>
    <x v="36"/>
    <x v="37"/>
    <s v="HIGH ENERGY DENSITY SEMI-SOLID STORAGE ELECTRODES AND BATTERIES THEREOF"/>
    <x v="212"/>
    <s v="02/04/2014"/>
    <x v="0"/>
    <s v=""/>
    <x v="96"/>
    <x v="81"/>
    <x v="36"/>
    <x v="36"/>
    <x v="0"/>
  </r>
  <r>
    <x v="285"/>
    <x v="36"/>
    <x v="37"/>
    <s v="HIGH ENERGY DENSITY SEMI-SOLID STORAGE ELECTRODES AND BATTERIES THEREOF"/>
    <x v="213"/>
    <s v="12/21/2016"/>
    <x v="0"/>
    <s v=""/>
    <x v="1"/>
    <x v="1"/>
    <x v="36"/>
    <x v="36"/>
    <x v="0"/>
  </r>
  <r>
    <x v="286"/>
    <x v="37"/>
    <x v="44"/>
    <s v="CATHODES FOR LITHIUM-AIR BATERY CELLS WITH ACID ELECTROLYTES"/>
    <x v="214"/>
    <s v="07/24/2013"/>
    <x v="99"/>
    <s v="07/19/2016"/>
    <x v="165"/>
    <x v="147"/>
    <x v="37"/>
    <x v="37"/>
    <x v="0"/>
  </r>
  <r>
    <x v="287"/>
    <x v="38"/>
    <x v="45"/>
    <s v="GEL ELECTROLYTE FOR LI-S CELL/NEW GEL ELECTROLYTES AND ELECTRODES"/>
    <x v="215"/>
    <s v="03/25/2015"/>
    <x v="0"/>
    <s v=""/>
    <x v="166"/>
    <x v="148"/>
    <x v="38"/>
    <x v="38"/>
    <x v="0"/>
  </r>
  <r>
    <x v="288"/>
    <x v="38"/>
    <x v="45"/>
    <s v="GE ELECTROLYTE FOR LI-S CELL"/>
    <x v="1"/>
    <s v=""/>
    <x v="0"/>
    <s v=""/>
    <x v="1"/>
    <x v="1"/>
    <x v="38"/>
    <x v="38"/>
    <x v="0"/>
  </r>
  <r>
    <x v="289"/>
    <x v="38"/>
    <x v="45"/>
    <s v="INTEGRATED THERMAL MANAGEMENT AND PRESSURE APPLICATION SYSTEM FOR BATTERY PACK"/>
    <x v="1"/>
    <s v=""/>
    <x v="0"/>
    <s v=""/>
    <x v="1"/>
    <x v="1"/>
    <x v="38"/>
    <x v="38"/>
    <x v="0"/>
  </r>
  <r>
    <x v="290"/>
    <x v="38"/>
    <x v="45"/>
    <s v="INTEGRATED THERMAL MANAGEMENT AND PRESSURE APPLICATION SYSTEM FOR BATTERY PACK"/>
    <x v="1"/>
    <s v=""/>
    <x v="0"/>
    <s v=""/>
    <x v="1"/>
    <x v="1"/>
    <x v="38"/>
    <x v="38"/>
    <x v="0"/>
  </r>
  <r>
    <x v="291"/>
    <x v="38"/>
    <x v="45"/>
    <s v="Quantum dot ultracapacitor and electron battery "/>
    <x v="216"/>
    <s v="01/15/2010"/>
    <x v="100"/>
    <s v="08/12/2014"/>
    <x v="167"/>
    <x v="149"/>
    <x v="38"/>
    <x v="38"/>
    <x v="0"/>
  </r>
  <r>
    <x v="292"/>
    <x v="38"/>
    <x v="45"/>
    <s v="ELECTRODE STRUCTURE AND METHOD FOR MAKING THE SAME"/>
    <x v="217"/>
    <s v="10/04/2012"/>
    <x v="101"/>
    <s v="01/20/2015"/>
    <x v="168"/>
    <x v="1"/>
    <x v="38"/>
    <x v="38"/>
    <x v="0"/>
  </r>
  <r>
    <x v="293"/>
    <x v="38"/>
    <x v="45"/>
    <s v="HIGH ENERGY STORAGE CAPACITOR BY EMBEDDING TUNNELING NANO-STURCTURES"/>
    <x v="218"/>
    <s v="12/09/2010"/>
    <x v="102"/>
    <s v="11/04/2014"/>
    <x v="169"/>
    <x v="150"/>
    <x v="38"/>
    <x v="38"/>
    <x v="0"/>
  </r>
  <r>
    <x v="294"/>
    <x v="38"/>
    <x v="45"/>
    <s v="SELF-HEALING ELECTRODE PROTECTION IN ELECTROCHEMICAL CELLS"/>
    <x v="219"/>
    <s v="08/08/2014"/>
    <x v="0"/>
    <s v=""/>
    <x v="170"/>
    <x v="151"/>
    <x v="38"/>
    <x v="38"/>
    <x v="0"/>
  </r>
  <r>
    <x v="295"/>
    <x v="38"/>
    <x v="45"/>
    <s v="PROTECTED ELECTRODE STRUCTURES AND METHODS"/>
    <x v="220"/>
    <s v="03/13/2014"/>
    <x v="0"/>
    <s v=""/>
    <x v="171"/>
    <x v="152"/>
    <x v="38"/>
    <x v="38"/>
    <x v="0"/>
  </r>
  <r>
    <x v="296"/>
    <x v="38"/>
    <x v="45"/>
    <s v="POLYMERS FOR USE AS PROTECTIVE LAYERS AND OTHER COMPONENTS IN ELECTROCHEMICAL CELLS"/>
    <x v="221"/>
    <s v="10/31/2013"/>
    <x v="0"/>
    <s v=""/>
    <x v="172"/>
    <x v="153"/>
    <x v="38"/>
    <x v="38"/>
    <x v="0"/>
  </r>
  <r>
    <x v="297"/>
    <x v="38"/>
    <x v="45"/>
    <s v="ELECTRODE STRUCTURE AND METHOD FOR MAKING THE SAME"/>
    <x v="222"/>
    <s v="03/26/2013"/>
    <x v="103"/>
    <s v="05/06/2015"/>
    <x v="173"/>
    <x v="154"/>
    <x v="38"/>
    <x v="38"/>
    <x v="0"/>
  </r>
  <r>
    <x v="298"/>
    <x v="38"/>
    <x v="45"/>
    <s v="POLYMERS FOR USE AS PROTECTIVE LAYERS AND OTHER COMPONENTS IN ELECTROCHEMICAL CELLS"/>
    <x v="223"/>
    <s v="10/31/2013"/>
    <x v="0"/>
    <s v=""/>
    <x v="1"/>
    <x v="1"/>
    <x v="38"/>
    <x v="38"/>
    <x v="0"/>
  </r>
  <r>
    <x v="299"/>
    <x v="38"/>
    <x v="45"/>
    <s v="COMPOSITIONS FOR USE AS PROTECTIVE LAYERS AND OTHER COMPONENTS IN ELECTROCHEMICAL CELLS "/>
    <x v="224"/>
    <s v="03/11/2014"/>
    <x v="0"/>
    <s v=""/>
    <x v="1"/>
    <x v="1"/>
    <x v="38"/>
    <x v="38"/>
    <x v="0"/>
  </r>
  <r>
    <x v="300"/>
    <x v="38"/>
    <x v="45"/>
    <s v="METHOD AND APPARATUS FOR APPLYING UNIFORM PRESSURE TO AND PERFORMING THERMAL MANAGEMENT OF AN ELECTROCHEMICAL CELL OR BATTERY SYSTEM/PRESSURE AND/OR TEMPERATURE MANAGEMENT IN ELCTROCHEMICAL SYSTEMS"/>
    <x v="225"/>
    <s v="01/16/2014"/>
    <x v="0"/>
    <s v=""/>
    <x v="1"/>
    <x v="1"/>
    <x v="38"/>
    <x v="38"/>
    <x v="0"/>
  </r>
  <r>
    <x v="301"/>
    <x v="38"/>
    <x v="45"/>
    <s v="REDUCTION OF INTERFACIAL IMPEDANCE IN LITHIUM METAL BATTERIES/PROTECTIVE STRUCTURES FOR ELECTRODES"/>
    <x v="226"/>
    <s v="03/15/2013"/>
    <x v="0"/>
    <s v=""/>
    <x v="1"/>
    <x v="1"/>
    <x v="38"/>
    <x v="38"/>
    <x v="0"/>
  </r>
  <r>
    <x v="302"/>
    <x v="38"/>
    <x v="45"/>
    <s v="CERAMIC/POLYMER MATRIX FOR ELECTRODE PROTECTION IN ELECTROCHEMICAL CELLS, INCLUDING RECHARGEABLE LITHIUM BATTERIES"/>
    <x v="227"/>
    <s v="11/25/2014"/>
    <x v="0"/>
    <s v=""/>
    <x v="1"/>
    <x v="1"/>
    <x v="38"/>
    <x v="38"/>
    <x v="0"/>
  </r>
  <r>
    <x v="303"/>
    <x v="38"/>
    <x v="45"/>
    <s v="CERAMIC/POLYMER MATRIX FOR ELECTRODE PROTECTION IN ELECTROCHEMICAL CELLS, INCLUDING RECHARGEABLE LITHIUM BATTERIES"/>
    <x v="228"/>
    <s v="07/03/2014"/>
    <x v="0"/>
    <s v=""/>
    <x v="1"/>
    <x v="1"/>
    <x v="38"/>
    <x v="38"/>
    <x v="0"/>
  </r>
  <r>
    <x v="304"/>
    <x v="38"/>
    <x v="45"/>
    <s v="PROTECTIVE STRUCTURES FOR ELECTRODES"/>
    <x v="226"/>
    <s v="03/15/2013"/>
    <x v="0"/>
    <s v=""/>
    <x v="1"/>
    <x v="1"/>
    <x v="38"/>
    <x v="38"/>
    <x v="0"/>
  </r>
  <r>
    <x v="305"/>
    <x v="38"/>
    <x v="45"/>
    <s v="CERAMIC/POLYMER MATRIX FOR ELECTRODE PROTECTION IN ELECTROCHEMICAL CELLS, INCLUDING RECHARGEABLE LITHIUM BATTERIES"/>
    <x v="228"/>
    <s v="07/03/2014"/>
    <x v="0"/>
    <s v=""/>
    <x v="1"/>
    <x v="1"/>
    <x v="38"/>
    <x v="38"/>
    <x v="0"/>
  </r>
  <r>
    <x v="306"/>
    <x v="38"/>
    <x v="45"/>
    <s v="THIO-VINYL POLYMERS FOR BATTERY ELECTROLYTES/ POLYMER FOR USE AS PROTECTIVE LAYERS AND OTHER COMPONENTS IN ELECTROCHEMICAL CELLS"/>
    <x v="229"/>
    <s v="05/30/2014"/>
    <x v="0"/>
    <s v=""/>
    <x v="1"/>
    <x v="1"/>
    <x v="38"/>
    <x v="38"/>
    <x v="0"/>
  </r>
  <r>
    <x v="307"/>
    <x v="39"/>
    <x v="15"/>
    <s v="ENHANCING PHOTOSYNTHESIS AND PRODUCTIVITY IN MICROALGAE AND PLANTS BY OVEREXPRESSION OF THE LCIA AND LCIB GENES FROM MICROALGAE"/>
    <x v="1"/>
    <s v=""/>
    <x v="0"/>
    <s v=""/>
    <x v="1"/>
    <x v="1"/>
    <x v="39"/>
    <x v="39"/>
    <x v="0"/>
  </r>
  <r>
    <x v="308"/>
    <x v="39"/>
    <x v="15"/>
    <s v="ENERGY STORAGE DEVICE WITH LARGE CHARGE SEPARATION"/>
    <x v="230"/>
    <s v="07/13/2011"/>
    <x v="104"/>
    <s v="04/12/2016"/>
    <x v="174"/>
    <x v="155"/>
    <x v="39"/>
    <x v="39"/>
    <x v="0"/>
  </r>
  <r>
    <x v="309"/>
    <x v="39"/>
    <x v="15"/>
    <s v="HIGH ENERGY STORAGE CAPACITOR BY EMBEDDING METAL QUANTUM DOTS"/>
    <x v="1"/>
    <s v=""/>
    <x v="0"/>
    <s v=""/>
    <x v="1"/>
    <x v="1"/>
    <x v="39"/>
    <x v="39"/>
    <x v="0"/>
  </r>
  <r>
    <x v="310"/>
    <x v="40"/>
    <x v="46"/>
    <s v="HYBRID ELECTROCHEMICAL ENERGY STORAGE DEVICES"/>
    <x v="231"/>
    <s v="08/05/2013"/>
    <x v="0"/>
    <s v=""/>
    <x v="1"/>
    <x v="1"/>
    <x v="40"/>
    <x v="40"/>
    <x v="0"/>
  </r>
  <r>
    <x v="311"/>
    <x v="41"/>
    <x v="47"/>
    <s v="HIGHLY STABLE BETA-CLASS CARBONIC ANHYDRASES USEFUL IN CARBON CAPTURE SYSTEMS "/>
    <x v="232"/>
    <s v="12/20/2012"/>
    <x v="105"/>
    <s v="08/20/2013"/>
    <x v="175"/>
    <x v="156"/>
    <x v="41"/>
    <x v="41"/>
    <x v="0"/>
  </r>
  <r>
    <x v="312"/>
    <x v="41"/>
    <x v="47"/>
    <s v="THERMOSTABLE CARBONIC ANHYDRASES FOR ACCELERATING CO2 CAPTURE IN MDEA"/>
    <x v="233"/>
    <s v="06/30/2011"/>
    <x v="0"/>
    <s v=""/>
    <x v="176"/>
    <x v="157"/>
    <x v="41"/>
    <x v="41"/>
    <x v="4"/>
  </r>
  <r>
    <x v="313"/>
    <x v="41"/>
    <x v="47"/>
    <s v="CHEMICALLY MODIFIED CARBONIC ANHYDRASES USEFUL IN CARBON CAPTURE SYSTEMS "/>
    <x v="234"/>
    <s v="06/30/2011"/>
    <x v="106"/>
    <s v="01/15/2013"/>
    <x v="177"/>
    <x v="158"/>
    <x v="41"/>
    <x v="41"/>
    <x v="0"/>
  </r>
  <r>
    <x v="313"/>
    <x v="41"/>
    <x v="47"/>
    <s v="CHEMICALLY MODIFIED CARBONIC ANHYDRASES USEFUL IN CARBON CAPTURE SYSTEMS "/>
    <x v="235"/>
    <s v="06/30/2011"/>
    <x v="0"/>
    <s v=""/>
    <x v="177"/>
    <x v="158"/>
    <x v="41"/>
    <x v="41"/>
    <x v="4"/>
  </r>
  <r>
    <x v="312"/>
    <x v="41"/>
    <x v="47"/>
    <s v="HIGHLY STABLE BETA-CLASS CARBONIC ANHYDRASES USEFUL IN CARBON CAPTURE SYSTEMS "/>
    <x v="236"/>
    <s v="06/30/2011"/>
    <x v="107"/>
    <s v="04/16/2013"/>
    <x v="176"/>
    <x v="157"/>
    <x v="41"/>
    <x v="41"/>
    <x v="0"/>
  </r>
  <r>
    <x v="314"/>
    <x v="41"/>
    <x v="47"/>
    <s v="CHEMICALLY MODIFIED CARBONIC ANHYDRASES USEFUL IN CARBON CAPTURE SYSTEMS "/>
    <x v="237"/>
    <s v="03/15/2013"/>
    <x v="108"/>
    <s v="10/29/2013"/>
    <x v="178"/>
    <x v="159"/>
    <x v="41"/>
    <x v="41"/>
    <x v="0"/>
  </r>
  <r>
    <x v="315"/>
    <x v="41"/>
    <x v="47"/>
    <s v="LOW-COST BIOCATALYST FOR ACCELERATION OF EERGY EFFICIENT CO2 CAPTURE SOLVENTS"/>
    <x v="1"/>
    <s v=""/>
    <x v="0"/>
    <s v=""/>
    <x v="1"/>
    <x v="1"/>
    <x v="41"/>
    <x v="41"/>
    <x v="0"/>
  </r>
  <r>
    <x v="316"/>
    <x v="41"/>
    <x v="47"/>
    <s v="INNOVATIVE MATERIALS &amp; PROCESSES FOR ADVANCD CARBON CAPTURE TECHNOLOGIES"/>
    <x v="1"/>
    <s v=""/>
    <x v="0"/>
    <s v=""/>
    <x v="1"/>
    <x v="1"/>
    <x v="41"/>
    <x v="41"/>
    <x v="0"/>
  </r>
  <r>
    <x v="317"/>
    <x v="41"/>
    <x v="47"/>
    <s v="EFFECT OF CARBONIC ANHYDRASE ON THE SPECIATION OF THE CHILLED AMMONIA PROCESS"/>
    <x v="1"/>
    <s v=""/>
    <x v="0"/>
    <s v=""/>
    <x v="1"/>
    <x v="1"/>
    <x v="41"/>
    <x v="41"/>
    <x v="0"/>
  </r>
  <r>
    <x v="318"/>
    <x v="41"/>
    <x v="47"/>
    <s v="HIGH PERFORMANCE MDEA PROCESS WITH LOW TEMPERATURE BIOLOGICAL REACTOR FOR BICARBONATES REVERSION - A CONCERNTRATION SWING APPROACH"/>
    <x v="1"/>
    <s v=""/>
    <x v="0"/>
    <s v=""/>
    <x v="1"/>
    <x v="1"/>
    <x v="41"/>
    <x v="41"/>
    <x v="0"/>
  </r>
  <r>
    <x v="319"/>
    <x v="41"/>
    <x v="47"/>
    <s v="CARBONIC ANHYDRASE SECRETION FROM CXP"/>
    <x v="1"/>
    <s v=""/>
    <x v="0"/>
    <s v=""/>
    <x v="1"/>
    <x v="1"/>
    <x v="41"/>
    <x v="41"/>
    <x v="0"/>
  </r>
  <r>
    <x v="320"/>
    <x v="41"/>
    <x v="47"/>
    <s v="ROUND 9 EVOLUTION VARIANTS OF A B-CLASS CARBONIC ANJYDRASE FROM DESULFOVIBRIO VULGARIS STARIN MIYAZAKI F (GS-02E) FOR ACCELERATED CO2 ABSORPTION IN MDEA"/>
    <x v="1"/>
    <s v=""/>
    <x v="0"/>
    <s v=""/>
    <x v="1"/>
    <x v="1"/>
    <x v="41"/>
    <x v="41"/>
    <x v="0"/>
  </r>
  <r>
    <x v="321"/>
    <x v="41"/>
    <x v="47"/>
    <s v="ROUND 7 AND 8 EVOLUTION VARIANTS OF A B-CLASS CARBONIC ANJYDRASE FROM DESULFOVIBRIO VULGARIS STARIN MIYAZAKI F (GS-02E) FOR ACCELERATED CO2 ABSORPTION IN MDEA"/>
    <x v="1"/>
    <s v=""/>
    <x v="0"/>
    <s v=""/>
    <x v="1"/>
    <x v="1"/>
    <x v="41"/>
    <x v="41"/>
    <x v="0"/>
  </r>
  <r>
    <x v="322"/>
    <x v="41"/>
    <x v="47"/>
    <s v="HIGH PERFORMANCE MDEA PROCESS WITH LOW TEMPERATURE BIOLOGICAL REACTOR FOR BICARBONATES REVERSION-A CONCENTRATION SWING APPROACH"/>
    <x v="1"/>
    <s v=""/>
    <x v="0"/>
    <s v=""/>
    <x v="1"/>
    <x v="1"/>
    <x v="41"/>
    <x v="41"/>
    <x v="0"/>
  </r>
  <r>
    <x v="323"/>
    <x v="41"/>
    <x v="47"/>
    <s v="ACCELERATION OF THE DISPROPORTION OF CO2 FROM MEDA SOLUTIONS"/>
    <x v="1"/>
    <s v=""/>
    <x v="0"/>
    <s v=""/>
    <x v="1"/>
    <x v="1"/>
    <x v="41"/>
    <x v="41"/>
    <x v="0"/>
  </r>
  <r>
    <x v="1"/>
    <x v="42"/>
    <x v="48"/>
    <s v="METHOD FOR REMOVING CO2 FROM COAL-FIRED POWER PLANT FLUE-GAS USING AMMONIA AS THE SCRUBBING SOLUTION, WITH A CHEMICAL ADDITIVE FOR REDUCING NH3 LOSSES, COUPLED WITH A MEMBRANE FOR CONCENTRATING THE CO2 STREAM TO THE GAS STRIPPER"/>
    <x v="238"/>
    <s v="06/21/2010"/>
    <x v="109"/>
    <s v="12/11/2012"/>
    <x v="179"/>
    <x v="160"/>
    <x v="42"/>
    <x v="42"/>
    <x v="0"/>
  </r>
  <r>
    <x v="324"/>
    <x v="43"/>
    <x v="49"/>
    <s v="POROUS POLYMER NETWORK: PROPERTIES AND APPLICATIONS IN GAS TORAGE/SEPARATION"/>
    <x v="239"/>
    <s v="12/13/2012"/>
    <x v="110"/>
    <s v="08/09/2016"/>
    <x v="180"/>
    <x v="161"/>
    <x v="43"/>
    <x v="43"/>
    <x v="0"/>
  </r>
  <r>
    <x v="325"/>
    <x v="43"/>
    <x v="49"/>
    <s v="POROUS MATERIALS CONTAINING BUILT-IN SINGLE-MOLECULE TRAPS FOR SMALL MOLECULE CAPTURE"/>
    <x v="240"/>
    <s v="06/25/2012"/>
    <x v="111"/>
    <s v="08/23/2016"/>
    <x v="181"/>
    <x v="162"/>
    <x v="43"/>
    <x v="43"/>
    <x v="0"/>
  </r>
  <r>
    <x v="326"/>
    <x v="43"/>
    <x v="49"/>
    <s v="ALUMINUM METAL ORGANIC FRAMEWORK MATERIALS"/>
    <x v="241"/>
    <s v="11/26/2014"/>
    <x v="112"/>
    <s v="08/11/2015"/>
    <x v="182"/>
    <x v="163"/>
    <x v="43"/>
    <x v="43"/>
    <x v="0"/>
  </r>
  <r>
    <x v="327"/>
    <x v="43"/>
    <x v="49"/>
    <s v="POROUS POLYMER NETWORK MATERIALS"/>
    <x v="242"/>
    <s v="12/13/2012"/>
    <x v="0"/>
    <s v=""/>
    <x v="123"/>
    <x v="107"/>
    <x v="43"/>
    <x v="43"/>
    <x v="0"/>
  </r>
  <r>
    <x v="328"/>
    <x v="43"/>
    <x v="49"/>
    <s v="METHOD TO RAPIDLY DEPOSIT THIN FILMS (OR COATINGS)OF MICROPOROUS MATERIALS ON SUPPORTS USING THERMALLY INDUCED SELF-ASSEMBLY"/>
    <x v="243"/>
    <s v="04/14/2015"/>
    <x v="0"/>
    <s v=""/>
    <x v="1"/>
    <x v="1"/>
    <x v="43"/>
    <x v="43"/>
    <x v="0"/>
  </r>
  <r>
    <x v="329"/>
    <x v="43"/>
    <x v="49"/>
    <s v="METHOD TO RAPIDLY DEPOSIT THIN FILMS (OR COATINGS)OF MICROPOROUS MATERIALS ON SUPPORTS USING THERMALLY INDUCED SELF-ASSEMBLY"/>
    <x v="244"/>
    <s v="10/22/2013"/>
    <x v="0"/>
    <s v=""/>
    <x v="124"/>
    <x v="108"/>
    <x v="43"/>
    <x v="43"/>
    <x v="0"/>
  </r>
  <r>
    <x v="330"/>
    <x v="43"/>
    <x v="49"/>
    <s v="POROUS MATERIALS CONTAINING BUILT-IN SINGLE-MOLECULE TRAPS FOR SMALL MOLECULE CAPTURE"/>
    <x v="245"/>
    <s v="06/25/2012"/>
    <x v="0"/>
    <m/>
    <x v="125"/>
    <x v="109"/>
    <x v="43"/>
    <x v="43"/>
    <x v="0"/>
  </r>
  <r>
    <x v="331"/>
    <x v="43"/>
    <x v="49"/>
    <s v="PREPARATION AND APPLICATIONS OF POROUS POLYMER NETWORKS"/>
    <x v="246"/>
    <s v="05/12/2011"/>
    <x v="0"/>
    <s v=""/>
    <x v="1"/>
    <x v="1"/>
    <x v="43"/>
    <x v="43"/>
    <x v="0"/>
  </r>
  <r>
    <x v="332"/>
    <x v="43"/>
    <x v="49"/>
    <s v="OPTICALLY AND THERMALLY SWITCHABLE SORBENT"/>
    <x v="247"/>
    <s v="08/22/2011"/>
    <x v="0"/>
    <s v=""/>
    <x v="1"/>
    <x v="1"/>
    <x v="43"/>
    <x v="43"/>
    <x v="0"/>
  </r>
  <r>
    <x v="333"/>
    <x v="44"/>
    <x v="50"/>
    <s v="INERTIAL EXTRACTION SYSTEM"/>
    <x v="248"/>
    <s v="08/30/2012"/>
    <x v="113"/>
    <s v="03/15/2016"/>
    <x v="183"/>
    <x v="164"/>
    <x v="44"/>
    <x v="44"/>
    <x v="0"/>
  </r>
  <r>
    <x v="334"/>
    <x v="45"/>
    <x v="29"/>
    <s v="AUTOTROPHIC CARBON FIXING E. COLI_x000d__x000a_"/>
    <x v="1"/>
    <s v=""/>
    <x v="0"/>
    <s v=""/>
    <x v="1"/>
    <x v="1"/>
    <x v="45"/>
    <x v="45"/>
    <x v="0"/>
  </r>
  <r>
    <x v="335"/>
    <x v="45"/>
    <x v="29"/>
    <s v="CONDITIONAL REPLICATION, INTEGRATON AND EXPRESSION PLASMID SYSTEM_x000d__x000a_"/>
    <x v="1"/>
    <s v=""/>
    <x v="0"/>
    <s v=""/>
    <x v="1"/>
    <x v="1"/>
    <x v="45"/>
    <x v="45"/>
    <x v="0"/>
  </r>
  <r>
    <x v="336"/>
    <x v="45"/>
    <x v="29"/>
    <s v="INTRODUCTION OF AN OXYGEN-RESISTANT CO2 FIXATION PATHWAY INTO PLANTS"/>
    <x v="1"/>
    <s v=""/>
    <x v="0"/>
    <s v=""/>
    <x v="1"/>
    <x v="1"/>
    <x v="45"/>
    <x v="45"/>
    <x v="0"/>
  </r>
  <r>
    <x v="337"/>
    <x v="45"/>
    <x v="29"/>
    <s v="TRIPLE DESTINATION TRANSIT ELEMENTS FOR EFFICIENT TARGETING OF HETEROLOGOUS PROTEINS"/>
    <x v="1"/>
    <s v=""/>
    <x v="0"/>
    <s v=""/>
    <x v="1"/>
    <x v="1"/>
    <x v="45"/>
    <x v="45"/>
    <x v="0"/>
  </r>
  <r>
    <x v="338"/>
    <x v="45"/>
    <x v="29"/>
    <s v="REDOX MEDIATING PEPTIDES FOR ELECTROFUELS AND ELECTROSYNTHESIS"/>
    <x v="1"/>
    <s v=""/>
    <x v="0"/>
    <s v=""/>
    <x v="1"/>
    <x v="1"/>
    <x v="45"/>
    <x v="45"/>
    <x v="0"/>
  </r>
  <r>
    <x v="339"/>
    <x v="45"/>
    <x v="29"/>
    <s v="RECOMBINANT CARBON UTILIZATION PATHWAYS FOR PLANTS AND MICROBES"/>
    <x v="249"/>
    <s v="02/25/2013"/>
    <x v="0"/>
    <s v=""/>
    <x v="1"/>
    <x v="1"/>
    <x v="45"/>
    <x v="45"/>
    <x v="0"/>
  </r>
  <r>
    <x v="340"/>
    <x v="45"/>
    <x v="29"/>
    <s v="COMPOSITIONS AND METHODS FOR MODULATING POLYPEPTIDE LOCALIZATION IN PLANTS"/>
    <x v="250"/>
    <s v="09/04/2013"/>
    <x v="0"/>
    <s v=""/>
    <x v="1"/>
    <x v="1"/>
    <x v="45"/>
    <x v="45"/>
    <x v="0"/>
  </r>
  <r>
    <x v="341"/>
    <x v="46"/>
    <x v="51"/>
    <s v="AN EXTREMELY THERMOPHILIC ENZYMATIC PATHWAY FOR 1-BUTANOL PRODUCTION IN VIVO"/>
    <x v="1"/>
    <s v=""/>
    <x v="0"/>
    <s v=""/>
    <x v="1"/>
    <x v="1"/>
    <x v="46"/>
    <x v="46"/>
    <x v="0"/>
  </r>
  <r>
    <x v="342"/>
    <x v="46"/>
    <x v="11"/>
    <s v="SEQUESTRATION OF CARBON DIOXIDE WITH HYDROGEN TO USEFUL PRODUCTS"/>
    <x v="251"/>
    <s v="09/06/2013"/>
    <x v="114"/>
    <s v="03/07/2017"/>
    <x v="184"/>
    <x v="165"/>
    <x v="46"/>
    <x v="46"/>
    <x v="0"/>
  </r>
  <r>
    <x v="343"/>
    <x v="46"/>
    <x v="51"/>
    <s v="UNPRETREATED LIGNOCELLULOSIC BIOMASS CONVERSION TO BIOFUELS BY DECOUPLED BIOPROCESSING (DCBP)"/>
    <x v="1"/>
    <s v=""/>
    <x v="0"/>
    <s v=""/>
    <x v="1"/>
    <x v="1"/>
    <x v="46"/>
    <x v="46"/>
    <x v="0"/>
  </r>
  <r>
    <x v="344"/>
    <x v="46"/>
    <x v="52"/>
    <s v="SEQUESTRATION OF CARBON DIOXIDE WITH HYDROGEN TO USEFUL PRODUCTS"/>
    <x v="251"/>
    <s v="03/05/2015"/>
    <x v="0"/>
    <s v=""/>
    <x v="184"/>
    <x v="165"/>
    <x v="46"/>
    <x v="46"/>
    <x v="0"/>
  </r>
  <r>
    <x v="345"/>
    <x v="46"/>
    <x v="51"/>
    <s v="METHODS FOR EXPRESSING POLYPEPTIDES IN HYPERTHERMOPHILES"/>
    <x v="252"/>
    <s v="11/02/2012"/>
    <x v="0"/>
    <s v=""/>
    <x v="1"/>
    <x v="1"/>
    <x v="46"/>
    <x v="46"/>
    <x v="0"/>
  </r>
  <r>
    <x v="346"/>
    <x v="46"/>
    <x v="52"/>
    <s v="CONVERSION OF ALKYL AND ARYL ACIDES INTO THE CORRESPONDING ALCOHOL USING A SYNTHETIC PATHWAY IN A HYPERTHERMOPHILE"/>
    <x v="253"/>
    <s v="03/27/2015"/>
    <x v="0"/>
    <s v=""/>
    <x v="1"/>
    <x v="1"/>
    <x v="46"/>
    <x v="46"/>
    <x v="0"/>
  </r>
  <r>
    <x v="347"/>
    <x v="47"/>
    <x v="37"/>
    <s v="ELECTROCHEMICAL CARBON DIOXIDE CAPTURE SYSTEM"/>
    <x v="254"/>
    <s v="10/03/2014"/>
    <x v="115"/>
    <s v=""/>
    <x v="185"/>
    <x v="166"/>
    <x v="47"/>
    <x v="47"/>
    <x v="0"/>
  </r>
  <r>
    <x v="348"/>
    <x v="47"/>
    <x v="37"/>
    <s v="ELECTROCHEMICAL pH MODULATOR"/>
    <x v="255"/>
    <s v="08/29/2012"/>
    <x v="116"/>
    <s v="04/05/2016"/>
    <x v="186"/>
    <x v="167"/>
    <x v="47"/>
    <x v="47"/>
    <x v="0"/>
  </r>
  <r>
    <x v="349"/>
    <x v="47"/>
    <x v="37"/>
    <s v="ELECTROCHEMICAL pH MODULATOR"/>
    <x v="256"/>
    <s v="12/30/2015"/>
    <x v="0"/>
    <s v=""/>
    <x v="1"/>
    <x v="1"/>
    <x v="47"/>
    <x v="47"/>
    <x v="0"/>
  </r>
  <r>
    <x v="350"/>
    <x v="48"/>
    <x v="53"/>
    <s v="CO2 CAPTURE SYSTEM BASED ON A PHASE-CHANGING ABSORBENT USING A PLUG FLOW DESORBER_x000d__x000a_"/>
    <x v="1"/>
    <s v=""/>
    <x v="0"/>
    <s v=""/>
    <x v="1"/>
    <x v="1"/>
    <x v="48"/>
    <x v="48"/>
    <x v="0"/>
  </r>
  <r>
    <x v="351"/>
    <x v="48"/>
    <x v="53"/>
    <s v="THE CAPTURE OF SULFUR DIOXIDE BY AMINES TO FORM SOLID COMPLEXES"/>
    <x v="1"/>
    <s v=""/>
    <x v="0"/>
    <s v=""/>
    <x v="1"/>
    <x v="1"/>
    <x v="48"/>
    <x v="48"/>
    <x v="0"/>
  </r>
  <r>
    <x v="352"/>
    <x v="48"/>
    <x v="53"/>
    <s v="ABSORBER DESIGN FOR TEMPERATURE CONTROLLED CARBON CAPTURE"/>
    <x v="257"/>
    <s v="06/28/2013"/>
    <x v="0"/>
    <s v=""/>
    <x v="187"/>
    <x v="168"/>
    <x v="48"/>
    <x v="48"/>
    <x v="0"/>
  </r>
  <r>
    <x v="353"/>
    <x v="48"/>
    <x v="53"/>
    <s v="AMINOSILOXANE CO2 ABSORBENT"/>
    <x v="258"/>
    <s v="10/11/2013"/>
    <x v="117"/>
    <s v="08/30/2016"/>
    <x v="188"/>
    <x v="169"/>
    <x v="48"/>
    <x v="48"/>
    <x v="0"/>
  </r>
  <r>
    <x v="354"/>
    <x v="48"/>
    <x v="53"/>
    <s v="LOW-FOULING LIQUID SPRAY NOZZLE_x000d__x000a_"/>
    <x v="1"/>
    <s v=""/>
    <x v="0"/>
    <s v=""/>
    <x v="1"/>
    <x v="1"/>
    <x v="48"/>
    <x v="48"/>
    <x v="0"/>
  </r>
  <r>
    <x v="355"/>
    <x v="48"/>
    <x v="53"/>
    <s v="METHOD AND SYSTEMS FOR CO2 SEPARATION _x000d__x000a_"/>
    <x v="259"/>
    <s v="03/26/2012"/>
    <x v="118"/>
    <s v="08/30/2016"/>
    <x v="189"/>
    <x v="170"/>
    <x v="48"/>
    <x v="48"/>
    <x v="0"/>
  </r>
  <r>
    <x v="356"/>
    <x v="48"/>
    <x v="53"/>
    <s v="EXTRUDER SYSTEM AND METHOD FOR TREATMENT OF A GASEOUS MEDIUM _x000d_"/>
    <x v="260"/>
    <s v="11/13/2013"/>
    <x v="119"/>
    <s v="04/05/2016"/>
    <x v="190"/>
    <x v="171"/>
    <x v="48"/>
    <x v="48"/>
    <x v="0"/>
  </r>
  <r>
    <x v="357"/>
    <x v="48"/>
    <x v="53"/>
    <s v="A HEATED EXTRUDER FOR DESORPTION"/>
    <x v="1"/>
    <s v=""/>
    <x v="0"/>
    <s v=""/>
    <x v="1"/>
    <x v="1"/>
    <x v="48"/>
    <x v="48"/>
    <x v="0"/>
  </r>
  <r>
    <x v="358"/>
    <x v="48"/>
    <x v="53"/>
    <s v="DESORPTION VIA A TRANSPORTING DESORPTION UNIT FOR THE RECOVERY OF CO2 FROM A GAS STREAM AND A RELATED APPARATUS"/>
    <x v="261"/>
    <s v="10/31/2012"/>
    <x v="0"/>
    <s v=""/>
    <x v="1"/>
    <x v="1"/>
    <x v="48"/>
    <x v="48"/>
    <x v="0"/>
  </r>
  <r>
    <x v="359"/>
    <x v="49"/>
    <x v="54"/>
    <s v="ELECTRO-AUTOTROPHIC SYNTHESIS OF HIGHER ALCOHOLS"/>
    <x v="262"/>
    <s v="01/14/2013"/>
    <x v="120"/>
    <s v="10/06/2015"/>
    <x v="191"/>
    <x v="172"/>
    <x v="49"/>
    <x v="49"/>
    <x v="0"/>
  </r>
  <r>
    <x v="360"/>
    <x v="49"/>
    <x v="54"/>
    <s v="ELECTRO-AUTOTROPHIC SYNTHESIS OF HIGHER ALCOHOLS"/>
    <x v="263"/>
    <s v="10/05/2015"/>
    <x v="121"/>
    <s v="11/01/2016"/>
    <x v="192"/>
    <x v="1"/>
    <x v="49"/>
    <x v="49"/>
    <x v="0"/>
  </r>
  <r>
    <x v="361"/>
    <x v="49"/>
    <x v="55"/>
    <s v="INTEGRATED ELECTRO-BIOREACTOR"/>
    <x v="264"/>
    <s v="02/15/2012"/>
    <x v="0"/>
    <s v=""/>
    <x v="1"/>
    <x v="1"/>
    <x v="49"/>
    <x v="49"/>
    <x v="0"/>
  </r>
  <r>
    <x v="362"/>
    <x v="49"/>
    <x v="56"/>
    <s v="REVERSE GLYOXYLATE CYCLE"/>
    <x v="265"/>
    <s v="06/29/2014"/>
    <x v="0"/>
    <s v=""/>
    <x v="1"/>
    <x v="1"/>
    <x v="49"/>
    <x v="49"/>
    <x v="0"/>
  </r>
  <r>
    <x v="363"/>
    <x v="49"/>
    <x v="54"/>
    <s v="INTEGRATED ELECTRO-BIOREACTOR"/>
    <x v="266"/>
    <s v="02/15/2013"/>
    <x v="0"/>
    <s v=""/>
    <x v="1"/>
    <x v="1"/>
    <x v="49"/>
    <x v="49"/>
    <x v="0"/>
  </r>
  <r>
    <x v="364"/>
    <x v="50"/>
    <x v="57"/>
    <s v="BUTYRATE PRODUCTION FROM CARBON DIOXIDE BY GENETICALLY ENGINEERED CLOSTRIDIUM LJUNGDAHLII"/>
    <x v="1"/>
    <s v=""/>
    <x v="0"/>
    <s v=""/>
    <x v="1"/>
    <x v="1"/>
    <x v="50"/>
    <x v="50"/>
    <x v="0"/>
  </r>
  <r>
    <x v="365"/>
    <x v="50"/>
    <x v="58"/>
    <s v="LOVLEY-MICROBIAL PRODUCTION OF MULTI-CARBON CHEMICALA AND FUELS FROM WATER AND CARBON DIOXIDE USING ELECTRIC CURRENT"/>
    <x v="267"/>
    <s v="09/21/2015"/>
    <x v="122"/>
    <s v="01/02/2018"/>
    <x v="193"/>
    <x v="173"/>
    <x v="50"/>
    <x v="50"/>
    <x v="0"/>
  </r>
  <r>
    <x v="366"/>
    <x v="50"/>
    <x v="58"/>
    <s v="PRODUCTION OF SPECIALLY CHEMICALS WITH -CARBON DIOXIDE SERVING AS THE CARBON SOURCE"/>
    <x v="268"/>
    <s v="06/07/2012"/>
    <x v="123"/>
    <s v="11/03/2015"/>
    <x v="194"/>
    <x v="1"/>
    <x v="50"/>
    <x v="50"/>
    <x v="0"/>
  </r>
  <r>
    <x v="367"/>
    <x v="51"/>
    <x v="59"/>
    <s v="METHOD FOR PRODUCING 3-HYDROXYPROPIONIC ACID AND OTHER PRODUCTS"/>
    <x v="269"/>
    <s v="12/18/2014"/>
    <x v="124"/>
    <s v="08/30/2016"/>
    <x v="195"/>
    <x v="174"/>
    <x v="51"/>
    <x v="51"/>
    <x v="0"/>
  </r>
  <r>
    <x v="368"/>
    <x v="51"/>
    <x v="60"/>
    <s v="METHODS, SYSTEMS, AND COMPOSITIONS FOR MICROBIAL BIO-PRODUCTION OF BIOMOLECULES USING SYNGAS COMPONENTS, OR SUGARS, AS FEEDSTOCKS"/>
    <x v="270"/>
    <s v="11/19/2010"/>
    <x v="0"/>
    <s v=""/>
    <x v="1"/>
    <x v="1"/>
    <x v="51"/>
    <x v="51"/>
    <x v="0"/>
  </r>
  <r>
    <x v="369"/>
    <x v="51"/>
    <x v="59"/>
    <s v="MICROBIAL PRODUCTION OF CHEMICAL PRODUCTS AND RELATED COMPOSITIONS, METHODS AND SYSTEMS"/>
    <x v="271"/>
    <s v="04/10/2014"/>
    <x v="0"/>
    <s v=""/>
    <x v="1"/>
    <x v="1"/>
    <x v="51"/>
    <x v="51"/>
    <x v="0"/>
  </r>
  <r>
    <x v="370"/>
    <x v="51"/>
    <x v="59"/>
    <s v="METHODS, SYSTEMS, AND COMPOSITIONS FOR MICROBIAL BIO-PRODUCTION  USING SYNGAS COMPONENTS, OR SUGARS, AS FEEDSTOCKS"/>
    <x v="272"/>
    <s v="11/19/2010"/>
    <x v="0"/>
    <s v=""/>
    <x v="1"/>
    <x v="1"/>
    <x v="51"/>
    <x v="51"/>
    <x v="0"/>
  </r>
  <r>
    <x v="371"/>
    <x v="51"/>
    <x v="59"/>
    <s v="PRODUCTION OF AN ORGANIC ACID AND/OR RELATED CHEMICALS"/>
    <x v="273"/>
    <s v="11/22/2010"/>
    <x v="0"/>
    <s v=""/>
    <x v="1"/>
    <x v="1"/>
    <x v="51"/>
    <x v="51"/>
    <x v="0"/>
  </r>
  <r>
    <x v="372"/>
    <x v="51"/>
    <x v="59"/>
    <s v="MICROORGANISM PRODUCTION OF HIGH-VALUE CHEMICAL PRODUCTS, AND RELATED COMPOSITIONS, METHODS AND SYSTEMS"/>
    <x v="274"/>
    <s v="04/07/2014"/>
    <x v="0"/>
    <s v=""/>
    <x v="1"/>
    <x v="1"/>
    <x v="51"/>
    <x v="51"/>
    <x v="0"/>
  </r>
  <r>
    <x v="373"/>
    <x v="52"/>
    <x v="61"/>
    <s v="GRANULAR FLUIDIZED BED AND SLURRY ELECTRODES FOR MICROBIAL ELECTROSYNTHESIS CELLS"/>
    <x v="1"/>
    <s v=""/>
    <x v="0"/>
    <s v=""/>
    <x v="1"/>
    <x v="1"/>
    <x v="52"/>
    <x v="52"/>
    <x v="0"/>
  </r>
  <r>
    <x v="374"/>
    <x v="52"/>
    <x v="61"/>
    <s v="CELL CONFIGURATION FOR ACCOMPLISHING MICROBIAL ELECTROCHEMICAL REDUCTION OF CARBON DIOXIDE TO ORGANIC FUELS"/>
    <x v="1"/>
    <s v=""/>
    <x v="0"/>
    <s v=""/>
    <x v="1"/>
    <x v="1"/>
    <x v="52"/>
    <x v="52"/>
    <x v="0"/>
  </r>
  <r>
    <x v="375"/>
    <x v="52"/>
    <x v="62"/>
    <s v="LIQUID HYDROCARBON PRODUCTION FROM ELECTROSYNTHETIC ACETATE"/>
    <x v="1"/>
    <s v=""/>
    <x v="0"/>
    <s v=""/>
    <x v="1"/>
    <x v="1"/>
    <x v="52"/>
    <x v="52"/>
    <x v="0"/>
  </r>
  <r>
    <x v="376"/>
    <x v="52"/>
    <x v="62"/>
    <s v="MICROBIAL ELECTROSYNTHETIC CELLS"/>
    <x v="275"/>
    <s v="03/11/2015"/>
    <x v="0"/>
    <s v=""/>
    <x v="196"/>
    <x v="175"/>
    <x v="52"/>
    <x v="52"/>
    <x v="0"/>
  </r>
  <r>
    <x v="377"/>
    <x v="52"/>
    <x v="62"/>
    <s v="PROCESS TO BIOELECTROCHEMICALLY CONVERT METHANE AND CARBON DIOXIDE INTO ACETATE"/>
    <x v="1"/>
    <s v=""/>
    <x v="0"/>
    <s v=""/>
    <x v="1"/>
    <x v="1"/>
    <x v="52"/>
    <x v="52"/>
    <x v="0"/>
  </r>
  <r>
    <x v="376"/>
    <x v="52"/>
    <x v="62"/>
    <s v="MICROBIAL ELECTROSYNTHETIC CELLS"/>
    <x v="276"/>
    <s v="09/17/2013"/>
    <x v="0"/>
    <s v=""/>
    <x v="196"/>
    <x v="175"/>
    <x v="52"/>
    <x v="52"/>
    <x v="4"/>
  </r>
  <r>
    <x v="378"/>
    <x v="53"/>
    <x v="63"/>
    <s v="METHODS AND SYSTEMS FOR CHEMOAUTOTROPHIC PRODUCTION OF ORGANIC COMPOUNDS"/>
    <x v="277"/>
    <s v="04/25/2014"/>
    <x v="0"/>
    <s v=""/>
    <x v="197"/>
    <x v="176"/>
    <x v="53"/>
    <x v="53"/>
    <x v="0"/>
  </r>
  <r>
    <x v="379"/>
    <x v="53"/>
    <x v="63"/>
    <s v="METHODS AND SYSTEMS FOR CHEMOAUTOTROPHIC PRODUCTION OF ORGANIC COMPOUNDS"/>
    <x v="278"/>
    <s v="10/31/2011"/>
    <x v="125"/>
    <s v="01/08/2013"/>
    <x v="198"/>
    <x v="177"/>
    <x v="53"/>
    <x v="53"/>
    <x v="0"/>
  </r>
  <r>
    <x v="380"/>
    <x v="53"/>
    <x v="64"/>
    <s v="A Novel Mutase for the Production of  Isomeric Compounds"/>
    <x v="1"/>
    <s v=""/>
    <x v="0"/>
    <s v=""/>
    <x v="1"/>
    <x v="1"/>
    <x v="53"/>
    <x v="53"/>
    <x v="0"/>
  </r>
  <r>
    <x v="381"/>
    <x v="53"/>
    <x v="63"/>
    <s v="METHODS AND SYSTEMS FOR METHYLOTROPHIC PRODUCTION OF ORGANIC COMPOUNDS"/>
    <x v="279"/>
    <s v="12/06/2013"/>
    <x v="0"/>
    <s v=""/>
    <x v="199"/>
    <x v="178"/>
    <x v="53"/>
    <x v="53"/>
    <x v="0"/>
  </r>
  <r>
    <x v="382"/>
    <x v="53"/>
    <x v="63"/>
    <s v="METHODS AND SYSTEMS FOR CHEMOAUTOTROPHIC PRODUCTION OF ORGANIC COMPOUNDS"/>
    <x v="280"/>
    <s v="10/30/2012"/>
    <x v="0"/>
    <s v=""/>
    <x v="82"/>
    <x v="179"/>
    <x v="53"/>
    <x v="53"/>
    <x v="0"/>
  </r>
  <r>
    <x v="383"/>
    <x v="53"/>
    <x v="63"/>
    <s v="METHODS AND SYSTEMS FOR CHEMOAUTOTROPHIC PRODUCTION OF ORGANIC COMPOUNDS"/>
    <x v="281"/>
    <s v="01/10/2018"/>
    <x v="0"/>
    <s v=""/>
    <x v="1"/>
    <x v="1"/>
    <x v="53"/>
    <x v="53"/>
    <x v="0"/>
  </r>
  <r>
    <x v="381"/>
    <x v="53"/>
    <x v="63"/>
    <s v="METHODS AND SYSTEMS FORMETHYLOTROPHIC  PRODUCTION OF ORGANIC COMPOUNDS"/>
    <x v="282"/>
    <s v="06/05/2015"/>
    <x v="0"/>
    <s v=""/>
    <x v="1"/>
    <x v="1"/>
    <x v="53"/>
    <x v="53"/>
    <x v="0"/>
  </r>
  <r>
    <x v="384"/>
    <x v="54"/>
    <x v="18"/>
    <s v="REMOVING SULPHUR OXIDES FROM A FLUID STREAM "/>
    <x v="283"/>
    <s v="03/01/2013"/>
    <x v="126"/>
    <s v="04/08/2014"/>
    <x v="200"/>
    <x v="180"/>
    <x v="54"/>
    <x v="54"/>
    <x v="0"/>
  </r>
  <r>
    <x v="385"/>
    <x v="54"/>
    <x v="18"/>
    <s v="METHOD FOR CONTROLLING WATER BALANCE IN A NON-AQUEOUS ACID GAS SCRUBBING PROCESS FOR TREATMENT OF WATER"/>
    <x v="284"/>
    <s v="08/12/2016"/>
    <x v="126"/>
    <s v="04/08/2014"/>
    <x v="200"/>
    <x v="180"/>
    <x v="54"/>
    <x v="54"/>
    <x v="6"/>
  </r>
  <r>
    <x v="385"/>
    <x v="54"/>
    <x v="18"/>
    <s v="WATER CONTROL IN NON-AQUEOUS ACID GAS RECOVERY SYSTEMS"/>
    <x v="284"/>
    <s v="08/12/2016"/>
    <x v="0"/>
    <s v=""/>
    <x v="1"/>
    <x v="1"/>
    <x v="54"/>
    <x v="54"/>
    <x v="0"/>
  </r>
  <r>
    <x v="386"/>
    <x v="54"/>
    <x v="18"/>
    <s v="REGENERABLE SOLVENT MIXTURES FOR ACID-GAS SEPARATION"/>
    <x v="285"/>
    <s v="09/02/2011"/>
    <x v="0"/>
    <s v=""/>
    <x v="1"/>
    <x v="1"/>
    <x v="54"/>
    <x v="54"/>
    <x v="0"/>
  </r>
  <r>
    <x v="387"/>
    <x v="55"/>
    <x v="65"/>
    <s v="PHASE CHANGE IONIC MATERIALS FOR CO2 SEPARATIONS"/>
    <x v="286"/>
    <s v="05/04/2016"/>
    <x v="0"/>
    <s v=""/>
    <x v="1"/>
    <x v="1"/>
    <x v="55"/>
    <x v="55"/>
    <x v="0"/>
  </r>
  <r>
    <x v="388"/>
    <x v="55"/>
    <x v="65"/>
    <s v="PHASE CHANGE IONIC MATERIALS FOR CO2 SEPARATIONS"/>
    <x v="287"/>
    <s v=""/>
    <x v="0"/>
    <s v=""/>
    <x v="201"/>
    <x v="181"/>
    <x v="55"/>
    <x v="55"/>
    <x v="0"/>
  </r>
  <r>
    <x v="389"/>
    <x v="56"/>
    <x v="14"/>
    <s v="CO-INDUCER AND ANTIBIOTIC FREE BIOPRODUCT FORMATION"/>
    <x v="288"/>
    <s v="05/19/2017"/>
    <x v="0"/>
    <s v=""/>
    <x v="202"/>
    <x v="182"/>
    <x v="56"/>
    <x v="56"/>
    <x v="0"/>
  </r>
  <r>
    <x v="390"/>
    <x v="56"/>
    <x v="14"/>
    <s v="AUTOTROPHIC HYDROGEN BACTERIA AND USES THEREOF"/>
    <x v="289"/>
    <s v="12/05/2016"/>
    <x v="0"/>
    <s v=""/>
    <x v="203"/>
    <x v="183"/>
    <x v="56"/>
    <x v="56"/>
    <x v="0"/>
  </r>
  <r>
    <x v="391"/>
    <x v="56"/>
    <x v="14"/>
    <s v="AUTOTROPHIC HYDROGEN BACTERIA AND USES THEREOF"/>
    <x v="290"/>
    <s v="02/24/2012"/>
    <x v="0"/>
    <s v=""/>
    <x v="204"/>
    <x v="184"/>
    <x v="56"/>
    <x v="56"/>
    <x v="0"/>
  </r>
  <r>
    <x v="392"/>
    <x v="56"/>
    <x v="14"/>
    <s v="CO-INDUCER AND ANTIBIOTIC FREE BIOPRODUCT FORMATION"/>
    <x v="291"/>
    <s v="11/19/2015"/>
    <x v="0"/>
    <s v=""/>
    <x v="205"/>
    <x v="185"/>
    <x v="56"/>
    <x v="56"/>
    <x v="0"/>
  </r>
  <r>
    <x v="393"/>
    <x v="56"/>
    <x v="14"/>
    <s v="AUTOTROPHIC HYDROGEN BACTERIA AND USES THEREOF"/>
    <x v="292"/>
    <s v="08/22/2013"/>
    <x v="0"/>
    <s v=""/>
    <x v="199"/>
    <x v="178"/>
    <x v="56"/>
    <x v="56"/>
    <x v="0"/>
  </r>
  <r>
    <x v="394"/>
    <x v="56"/>
    <x v="66"/>
    <s v="STACKED MEMBRANE BIOREACTOR"/>
    <x v="293"/>
    <s v="12/19/2012"/>
    <x v="0"/>
    <s v=""/>
    <x v="31"/>
    <x v="26"/>
    <x v="56"/>
    <x v="56"/>
    <x v="0"/>
  </r>
  <r>
    <x v="395"/>
    <x v="56"/>
    <x v="66"/>
    <s v="STACKED MEMBRANE BIOREACTOR"/>
    <x v="294"/>
    <s v="12/19/2012"/>
    <x v="0"/>
    <s v=""/>
    <x v="1"/>
    <x v="1"/>
    <x v="56"/>
    <x v="56"/>
    <x v="0"/>
  </r>
  <r>
    <x v="396"/>
    <x v="56"/>
    <x v="67"/>
    <s v="CHEMOAUTOTROPHIC BIOREACTOR SYSTEM UTLIZING CERAMIC TUBES FOR HYDROGEN DELIVERY"/>
    <x v="1"/>
    <s v=""/>
    <x v="0"/>
    <s v=""/>
    <x v="1"/>
    <x v="1"/>
    <x v="56"/>
    <x v="56"/>
    <x v="0"/>
  </r>
  <r>
    <x v="397"/>
    <x v="56"/>
    <x v="67"/>
    <s v="CHEMOAUTOTROPHIC BIOREACTOR SYSTEM UTILIZING CERAMIC FOAM FOR BACTERIA ATTACHMENT"/>
    <x v="1"/>
    <s v=""/>
    <x v="0"/>
    <s v=""/>
    <x v="1"/>
    <x v="1"/>
    <x v="56"/>
    <x v="56"/>
    <x v="0"/>
  </r>
  <r>
    <x v="398"/>
    <x v="56"/>
    <x v="66"/>
    <s v="SINGLE-USE GAS EXCHANGE MEMBRANE BIOREACTOR"/>
    <x v="1"/>
    <s v=""/>
    <x v="0"/>
    <s v=""/>
    <x v="1"/>
    <x v="1"/>
    <x v="56"/>
    <x v="56"/>
    <x v="0"/>
  </r>
  <r>
    <x v="399"/>
    <x v="56"/>
    <x v="66"/>
    <s v="ARTIFICAL BIOFILM BIOREACTOR FOR PRODUCTION OF BUTANOL AND OTHER MICROBIAL DERIVED PRODUCTS"/>
    <x v="1"/>
    <s v=""/>
    <x v="0"/>
    <s v=""/>
    <x v="1"/>
    <x v="1"/>
    <x v="56"/>
    <x v="56"/>
    <x v="0"/>
  </r>
  <r>
    <x v="400"/>
    <x v="57"/>
    <x v="68"/>
    <s v="METHOD OF PREPARING COMPOSITE ASYMMETRIC MEMBRANES"/>
    <x v="1"/>
    <s v=""/>
    <x v="0"/>
    <s v=""/>
    <x v="1"/>
    <x v="1"/>
    <x v="57"/>
    <x v="57"/>
    <x v="0"/>
  </r>
  <r>
    <x v="401"/>
    <x v="57"/>
    <x v="68"/>
    <s v="A GAS SEPARATION MEMBRANE WITH MULTILAYER OF COATING FROM DIOXOLE FLUOROPOLYMER(S) AND ROOM TEMPERATURE IONIC LIQUID (RTIL)"/>
    <x v="1"/>
    <s v=""/>
    <x v="0"/>
    <s v=""/>
    <x v="1"/>
    <x v="1"/>
    <x v="57"/>
    <x v="57"/>
    <x v="0"/>
  </r>
  <r>
    <x v="402"/>
    <x v="57"/>
    <x v="68"/>
    <s v="IMIDAZOLIUM-BASED STEP-GROWTH POLYMER-IONIC LIQUID COMPOSITES, AND USES THEREOF"/>
    <x v="1"/>
    <s v=""/>
    <x v="0"/>
    <s v=""/>
    <x v="1"/>
    <x v="1"/>
    <x v="57"/>
    <x v="57"/>
    <x v="0"/>
  </r>
  <r>
    <x v="403"/>
    <x v="57"/>
    <x v="68"/>
    <s v="New Imidazolium-based Curable Polymers, Imidazolium-based Curable Polymer-Ionic Liquid Composites, and uses Thereof"/>
    <x v="295"/>
    <s v="01/09/2015"/>
    <x v="0"/>
    <s v=""/>
    <x v="1"/>
    <x v="1"/>
    <x v="57"/>
    <x v="57"/>
    <x v="0"/>
  </r>
  <r>
    <x v="404"/>
    <x v="57"/>
    <x v="68"/>
    <s v="NOVAL METAL-CONTAINING IONIC LIQUIDS AND METHODS USING SAME "/>
    <x v="296"/>
    <s v="10/28/2015"/>
    <x v="0"/>
    <s v=""/>
    <x v="1"/>
    <x v="1"/>
    <x v="57"/>
    <x v="57"/>
    <x v="0"/>
  </r>
  <r>
    <x v="405"/>
    <x v="57"/>
    <x v="68"/>
    <s v="NOVAL METAL-CONTAINING IONIC LIQUIDS AND METHODS USING SAME "/>
    <x v="297"/>
    <s v="10/27/2016"/>
    <x v="0"/>
    <s v=""/>
    <x v="83"/>
    <x v="69"/>
    <x v="57"/>
    <x v="57"/>
    <x v="0"/>
  </r>
  <r>
    <x v="406"/>
    <x v="57"/>
    <x v="68"/>
    <s v="COMPOSITES COMPRISING NOVEL RTIL-BASED POLYMERS, AND METHODS OF MAKING AND USING SAME"/>
    <x v="295"/>
    <s v="01/09/2015"/>
    <x v="0"/>
    <s v=""/>
    <x v="1"/>
    <x v="1"/>
    <x v="57"/>
    <x v="57"/>
    <x v="0"/>
  </r>
  <r>
    <x v="407"/>
    <x v="57"/>
    <x v="68"/>
    <s v="IONIC LIQUID SYSTEM THAT SELECTIVELY AND REVERSIBLY BINDS OXYGEN GAS"/>
    <x v="298"/>
    <s v="08/18/2014"/>
    <x v="0"/>
    <s v=""/>
    <x v="1"/>
    <x v="1"/>
    <x v="57"/>
    <x v="57"/>
    <x v="0"/>
  </r>
  <r>
    <x v="408"/>
    <x v="58"/>
    <x v="39"/>
    <s v="METHODS AND SYSTEMS FOR CAPTURING AND STORING CARBON DIOXIDE"/>
    <x v="299"/>
    <s v="08/08/2011"/>
    <x v="0"/>
    <s v=""/>
    <x v="1"/>
    <x v="1"/>
    <x v="58"/>
    <x v="58"/>
    <x v="0"/>
  </r>
  <r>
    <x v="409"/>
    <x v="58"/>
    <x v="39"/>
    <s v="METHODS AND SYSTEMS FOR CAPTURING AND STORING CARBON DIOXIDE"/>
    <x v="300"/>
    <s v="08/04/2012"/>
    <x v="0"/>
    <s v=""/>
    <x v="203"/>
    <x v="183"/>
    <x v="58"/>
    <x v="58"/>
    <x v="0"/>
  </r>
  <r>
    <x v="410"/>
    <x v="58"/>
    <x v="39"/>
    <s v="CARBON CAPTURE AND STORAGE VIA ACCELERATED MINERAL WEATHERING"/>
    <x v="301"/>
    <s v="02/03/2017"/>
    <x v="0"/>
    <s v=""/>
    <x v="1"/>
    <x v="1"/>
    <x v="58"/>
    <x v="58"/>
    <x v="0"/>
  </r>
  <r>
    <x v="411"/>
    <x v="58"/>
    <x v="39"/>
    <s v="CHEMICAL AND BIOLOGICAL CATALYTIC ENHANCEMENT OF CARBONATION OF MINERALS AND INDUSTRIAL WASTES AS NOVEL CARBON CAPTURE AND STORAGE TECHNOLOGY AND INTEGRATED SYNTHESIS OF VALUE-ADDED CARBONATE MATERIALS INCLUDING CARBON-NETURAL FILLER MATERIALS"/>
    <x v="302"/>
    <s v="08/08/2011"/>
    <x v="0"/>
    <s v=""/>
    <x v="1"/>
    <x v="1"/>
    <x v="58"/>
    <x v="58"/>
    <x v="0"/>
  </r>
  <r>
    <x v="412"/>
    <x v="58"/>
    <x v="39"/>
    <s v="CHEMICAL AND BIOLOGICAL CATALYTIC ENHANCEMENT OF CARBONATION OF MINERALS AND INDUSTRIAL WASTES AS NOVEL CARBON CAPTURE AND STORAGE TECHNOLOGY AND INTEGRATED SYNTHESIS OF VALUE-ADDED CARBONATE MATERIALS INCLUDING CARBON-NETURAL FILLER MATERIALS"/>
    <x v="303"/>
    <s v="08/07/2012"/>
    <x v="0"/>
    <s v=""/>
    <x v="1"/>
    <x v="1"/>
    <x v="58"/>
    <x v="58"/>
    <x v="0"/>
  </r>
  <r>
    <x v="413"/>
    <x v="58"/>
    <x v="39"/>
    <s v="CHEMICAL AND BIOLOGICAL CATALYTIC ENHANCEMENT OF CARBONATION OF MINERALS AND INDUSTRIAL WASTES AS NOVEL CARBON CAPTURE AND STORAGE TECHNOLOGY AND INTEGRATED SYNTHESIS OF VALUE-ADDED CARBONATE MATERIALS INCLUDING CARBON-NETURAL FILLER MATERIALS"/>
    <x v="304"/>
    <s v="10/27/2014"/>
    <x v="0"/>
    <s v=""/>
    <x v="1"/>
    <x v="1"/>
    <x v="58"/>
    <x v="58"/>
    <x v="0"/>
  </r>
  <r>
    <x v="414"/>
    <x v="58"/>
    <x v="40"/>
    <s v="A method for measuring the stability of carbonic anhydrase-containing catalysts"/>
    <x v="305"/>
    <s v="04/11/2013"/>
    <x v="0"/>
    <s v=""/>
    <x v="1"/>
    <x v="1"/>
    <x v="58"/>
    <x v="58"/>
    <x v="0"/>
  </r>
  <r>
    <x v="415"/>
    <x v="59"/>
    <x v="69"/>
    <s v="SYSTEMS AND METHODS FOR INTEGRATED ENERGY STORAGE AND CRYOGENIC CARBON CAPTURE"/>
    <x v="306"/>
    <s v="10/22/2012"/>
    <x v="127"/>
    <s v="08/09/2016"/>
    <x v="206"/>
    <x v="186"/>
    <x v="59"/>
    <x v="59"/>
    <x v="0"/>
  </r>
  <r>
    <x v="416"/>
    <x v="59"/>
    <x v="69"/>
    <s v="METHOD FOR EXCHANGING SENSIBLE AND LATENT HEATS FROM"/>
    <x v="1"/>
    <s v=""/>
    <x v="0"/>
    <s v=""/>
    <x v="1"/>
    <x v="1"/>
    <x v="59"/>
    <x v="59"/>
    <x v="0"/>
  </r>
  <r>
    <x v="417"/>
    <x v="59"/>
    <x v="69"/>
    <s v="METHOD FOR A DESUBLIMATING HEAT EXVHANGER"/>
    <x v="1"/>
    <s v=""/>
    <x v="0"/>
    <s v=""/>
    <x v="1"/>
    <x v="1"/>
    <x v="59"/>
    <x v="59"/>
    <x v="0"/>
  </r>
  <r>
    <x v="418"/>
    <x v="59"/>
    <x v="69"/>
    <s v="INTEGRATED CARBON CAPTURE AND ENERGY STORAGE"/>
    <x v="1"/>
    <s v=""/>
    <x v="0"/>
    <s v=""/>
    <x v="1"/>
    <x v="1"/>
    <x v="59"/>
    <x v="59"/>
    <x v="0"/>
  </r>
  <r>
    <x v="419"/>
    <x v="59"/>
    <x v="69"/>
    <s v="SYSTEMS AND METHODS FOR SEPARATING CONDENSABLE VAPORS FROM GASES BY DIRECT-CONTACT HEAT EXCHANGE"/>
    <x v="307"/>
    <s v="11/21/2011"/>
    <x v="128"/>
    <s v="07/01/2014"/>
    <x v="207"/>
    <x v="187"/>
    <x v="59"/>
    <x v="59"/>
    <x v="0"/>
  </r>
  <r>
    <x v="420"/>
    <x v="59"/>
    <x v="69"/>
    <s v="METHODS FOR STABLE SEQUESTRATION OF CARBON DIOXIDE IN AN AQUIFER "/>
    <x v="308"/>
    <s v="09/03/2010"/>
    <x v="129"/>
    <s v="02/11/2014"/>
    <x v="208"/>
    <x v="188"/>
    <x v="59"/>
    <x v="59"/>
    <x v="0"/>
  </r>
  <r>
    <x v="421"/>
    <x v="59"/>
    <x v="53"/>
    <s v="METHOD AND APPARATUS TO PROCESS SOLID CARBON DIOXIDE FOR SEQUESTRATION"/>
    <x v="309"/>
    <s v="09/16/2014"/>
    <x v="0"/>
    <s v=""/>
    <x v="1"/>
    <x v="1"/>
    <x v="59"/>
    <x v="59"/>
    <x v="0"/>
  </r>
  <r>
    <x v="422"/>
    <x v="59"/>
    <x v="53"/>
    <s v="TURBINE EXPANDER FOR PRODUCTION OF SOLID CARBON DIOXIDE"/>
    <x v="310"/>
    <s v="11/22/2011"/>
    <x v="0"/>
    <s v=""/>
    <x v="1"/>
    <x v="1"/>
    <x v="59"/>
    <x v="59"/>
    <x v="0"/>
  </r>
  <r>
    <x v="423"/>
    <x v="59"/>
    <x v="53"/>
    <s v="LOW TEMPERATURE HEAT EXCHANGER SYSTEM AND METHOD"/>
    <x v="311"/>
    <s v="09/30/2011"/>
    <x v="0"/>
    <s v=""/>
    <x v="1"/>
    <x v="1"/>
    <x v="59"/>
    <x v="59"/>
    <x v="0"/>
  </r>
  <r>
    <x v="424"/>
    <x v="59"/>
    <x v="69"/>
    <s v="SYSTEMS AND METHODS FOR SEPARATING CONDENSABLE VAPORS FROM LIGHT GASES OR LIQUIDS BY RECRUPERATIVE CRYOGENIC PROCESSES"/>
    <x v="312"/>
    <s v="05/29/2012"/>
    <x v="0"/>
    <s v=""/>
    <x v="1"/>
    <x v="1"/>
    <x v="59"/>
    <x v="59"/>
    <x v="0"/>
  </r>
  <r>
    <x v="425"/>
    <x v="60"/>
    <x v="70"/>
    <s v="ASYMMETRIC BATTERY HAVING A SEMI-SOLID CATHODE AND HIGH ENERGY DENSITY ANODE"/>
    <x v="313"/>
    <s v="03/10/2014"/>
    <x v="0"/>
    <s v=""/>
    <x v="1"/>
    <x v="1"/>
    <x v="60"/>
    <x v="60"/>
    <x v="0"/>
  </r>
  <r>
    <x v="426"/>
    <x v="60"/>
    <x v="70"/>
    <s v="SEMI-SOLID ELECTRODE CELL HAVING A POROUS CURRENT COLLECTOR AND METHODS OF MANUFACTURE"/>
    <x v="314"/>
    <s v="09/07/2011"/>
    <x v="0"/>
    <s v=""/>
    <x v="1"/>
    <x v="1"/>
    <x v="60"/>
    <x v="60"/>
    <x v="0"/>
  </r>
  <r>
    <x v="427"/>
    <x v="60"/>
    <x v="70"/>
    <s v="SEMI-SOLID ELECTRODE CELL HAVING A POROUS CURRENT COLLECTOR AND METHODS OF MANUFACTURE"/>
    <x v="315"/>
    <s v="09/07/2012"/>
    <x v="0"/>
    <s v=""/>
    <x v="1"/>
    <x v="1"/>
    <x v="60"/>
    <x v="60"/>
    <x v="0"/>
  </r>
  <r>
    <x v="428"/>
    <x v="60"/>
    <x v="70"/>
    <s v="ELECTROCHEMICAL CELLS AND METHODS OF MANUFACTURING THE SAME"/>
    <x v="316"/>
    <s v="05/18/2012"/>
    <x v="0"/>
    <s v=""/>
    <x v="1"/>
    <x v="1"/>
    <x v="60"/>
    <x v="60"/>
    <x v="0"/>
  </r>
  <r>
    <x v="429"/>
    <x v="60"/>
    <x v="70"/>
    <s v="ELECTROCHEMICAL SLURRY COMPOSITIONS AND METHODS FOR PREPARING THE SAME"/>
    <x v="317"/>
    <s v="06/27/2012"/>
    <x v="0"/>
    <s v=""/>
    <x v="1"/>
    <x v="1"/>
    <x v="60"/>
    <x v="60"/>
    <x v="0"/>
  </r>
  <r>
    <x v="430"/>
    <x v="60"/>
    <x v="70"/>
    <s v="STACKED FLOW CELL DESIGN AND METHOD"/>
    <x v="318"/>
    <s v="12/16/2010"/>
    <x v="0"/>
    <s v=""/>
    <x v="1"/>
    <x v="1"/>
    <x v="60"/>
    <x v="60"/>
    <x v="0"/>
  </r>
  <r>
    <x v="431"/>
    <x v="60"/>
    <x v="70"/>
    <s v="ELECTROCHEMICAL SLURRY COMPOSITIONS AND METHODS FOR PREPARING THE SAME"/>
    <x v="319"/>
    <s v="06/20/2011"/>
    <x v="0"/>
    <s v=""/>
    <x v="1"/>
    <x v="1"/>
    <x v="60"/>
    <x v="60"/>
    <x v="0"/>
  </r>
  <r>
    <x v="432"/>
    <x v="60"/>
    <x v="70"/>
    <s v="SEMI-SOLID ELECTRODES WITH GEL POLYMER ADDITIVE"/>
    <x v="320"/>
    <s v="07/19/2013"/>
    <x v="0"/>
    <s v=""/>
    <x v="1"/>
    <x v="1"/>
    <x v="60"/>
    <x v="60"/>
    <x v="0"/>
  </r>
  <r>
    <x v="433"/>
    <x v="60"/>
    <x v="70"/>
    <s v="SEMI-SOLID ELECTRODE CELL HAVING A POROUS CURRENT COLLECTOR AND METHODS OF MANUFACTURE"/>
    <x v="321"/>
    <s v="09/07/2012"/>
    <x v="0"/>
    <s v=""/>
    <x v="1"/>
    <x v="1"/>
    <x v="60"/>
    <x v="60"/>
    <x v="0"/>
  </r>
  <r>
    <x v="434"/>
    <x v="60"/>
    <x v="70"/>
    <s v="ELECTROCHEMICAL SLURRY COMPOSITIONS AND METHODS FOR PREPARING THE SAME"/>
    <x v="322"/>
    <s v="06/10/2013"/>
    <x v="0"/>
    <s v=""/>
    <x v="1"/>
    <x v="1"/>
    <x v="60"/>
    <x v="60"/>
    <x v="0"/>
  </r>
  <r>
    <x v="435"/>
    <x v="60"/>
    <x v="70"/>
    <s v="ELECTROCHEMICAL SLURRY COMPOSITIONS AND METHODS FOR PREPARING THE SAME"/>
    <x v="323"/>
    <s v="06/13/2012"/>
    <x v="0"/>
    <s v=""/>
    <x v="1"/>
    <x v="1"/>
    <x v="60"/>
    <x v="60"/>
    <x v="0"/>
  </r>
  <r>
    <x v="436"/>
    <x v="60"/>
    <x v="70"/>
    <s v="ELECTROCHEMICAL SLURRY COMPOSITIONS AND METHODS FOR PREPARING THE SAME"/>
    <x v="324"/>
    <s v="06/14/2012"/>
    <x v="0"/>
    <s v=""/>
    <x v="1"/>
    <x v="1"/>
    <x v="60"/>
    <x v="60"/>
    <x v="0"/>
  </r>
  <r>
    <x v="437"/>
    <x v="60"/>
    <x v="70"/>
    <s v="STACKED FLOW CELL DESIGN AND METHOD"/>
    <x v="325"/>
    <s v="06/11/2013"/>
    <x v="0"/>
    <s v=""/>
    <x v="1"/>
    <x v="1"/>
    <x v="60"/>
    <x v="60"/>
    <x v="0"/>
  </r>
  <r>
    <x v="438"/>
    <x v="60"/>
    <x v="70"/>
    <s v="SEMI-SOLID FILLED BATTERY AND METHOD OF MANUFACTURE"/>
    <x v="326"/>
    <s v="06/11/2013"/>
    <x v="0"/>
    <s v=""/>
    <x v="1"/>
    <x v="1"/>
    <x v="60"/>
    <x v="60"/>
    <x v="0"/>
  </r>
  <r>
    <x v="438"/>
    <x v="60"/>
    <x v="70"/>
    <s v="SEMI-SOLID FILLED BATTERY AND METHOD OF MANUFACTURE"/>
    <x v="327"/>
    <s v="12/22/2011"/>
    <x v="0"/>
    <s v=""/>
    <x v="1"/>
    <x v="1"/>
    <x v="60"/>
    <x v="60"/>
    <x v="0"/>
  </r>
  <r>
    <x v="425"/>
    <x v="60"/>
    <x v="70"/>
    <s v="ASYMMETRIC BATTERY HAVING A SEMI-SOLID CATHODE AND HIGH ENERGY DENSITY ANODE"/>
    <x v="328"/>
    <s v="03/10/2014"/>
    <x v="0"/>
    <s v=""/>
    <x v="209"/>
    <x v="189"/>
    <x v="60"/>
    <x v="60"/>
    <x v="0"/>
  </r>
  <r>
    <x v="437"/>
    <x v="60"/>
    <x v="70"/>
    <s v="STACKED FLOW CELL DESIGN AND METHOD"/>
    <x v="329"/>
    <s v="12/16/2011"/>
    <x v="0"/>
    <s v=""/>
    <x v="1"/>
    <x v="1"/>
    <x v="60"/>
    <x v="60"/>
    <x v="0"/>
  </r>
  <r>
    <x v="439"/>
    <x v="60"/>
    <x v="70"/>
    <s v="STATIONARY SEMI-SOLID BATTERY MODULE AND METHOD OF MANUFACTURE"/>
    <x v="315"/>
    <s v="09/07/2012"/>
    <x v="0"/>
    <s v=""/>
    <x v="1"/>
    <x v="1"/>
    <x v="60"/>
    <x v="60"/>
    <x v="0"/>
  </r>
  <r>
    <x v="440"/>
    <x v="60"/>
    <x v="70"/>
    <s v="SEMI-SOLID ELECTRODES HAVING HIGH RATE CAPABILITY"/>
    <x v="330"/>
    <s v="12/13/2013"/>
    <x v="0"/>
    <s v=""/>
    <x v="210"/>
    <x v="190"/>
    <x v="60"/>
    <x v="60"/>
    <x v="0"/>
  </r>
  <r>
    <x v="441"/>
    <x v="60"/>
    <x v="70"/>
    <s v="SEMI-SOLID ELECTRODES HAVING HIGH RATE CAPABILITY"/>
    <x v="331"/>
    <s v="05/22/2015"/>
    <x v="130"/>
    <s v="06/07/2016"/>
    <x v="211"/>
    <x v="191"/>
    <x v="60"/>
    <x v="60"/>
    <x v="0"/>
  </r>
  <r>
    <x v="442"/>
    <x v="60"/>
    <x v="70"/>
    <s v="ASYMMETRIC BATTERY HAVING A SEMI-SOLID CATHODE AND HIGH ENERGY DENSITY ANODE"/>
    <x v="332"/>
    <s v="03/15/2013"/>
    <x v="131"/>
    <s v="09/06/2016"/>
    <x v="212"/>
    <x v="192"/>
    <x v="60"/>
    <x v="60"/>
    <x v="7"/>
  </r>
  <r>
    <x v="443"/>
    <x v="60"/>
    <x v="70"/>
    <s v="SEMI-SOLID ELECTRODES HAVING HIGH RATE CAPABILITY"/>
    <x v="333"/>
    <s v="12/13/2012"/>
    <x v="132"/>
    <s v="07/05/2016"/>
    <x v="213"/>
    <x v="1"/>
    <x v="60"/>
    <x v="60"/>
    <x v="0"/>
  </r>
  <r>
    <x v="444"/>
    <x v="60"/>
    <x v="70"/>
    <s v="ELECTROCHEMICAL CELLS AND METHODS OF MANUFACTURING THE SAME"/>
    <x v="334"/>
    <s v="03/15/2013"/>
    <x v="133"/>
    <s v="11/03/2015"/>
    <x v="214"/>
    <x v="193"/>
    <x v="60"/>
    <x v="60"/>
    <x v="0"/>
  </r>
  <r>
    <x v="445"/>
    <x v="60"/>
    <x v="70"/>
    <s v="ELECTROCHEMICAL SLURRY COMPOSITIONS AND METHODS FOR PREPARING THE SAME"/>
    <x v="335"/>
    <s v="03/15/2013"/>
    <x v="134"/>
    <s v="11/01/2016"/>
    <x v="215"/>
    <x v="194"/>
    <x v="60"/>
    <x v="60"/>
    <x v="0"/>
  </r>
  <r>
    <x v="446"/>
    <x v="60"/>
    <x v="70"/>
    <s v="SEMI-SOLID ELECTRODES WITH GEL POLYMER ADDITIVE"/>
    <x v="336"/>
    <s v="07/21/2014"/>
    <x v="0"/>
    <s v=""/>
    <x v="216"/>
    <x v="195"/>
    <x v="60"/>
    <x v="60"/>
    <x v="0"/>
  </r>
  <r>
    <x v="446"/>
    <x v="60"/>
    <x v="70"/>
    <s v="SEMI-SOLID ELECTRODES WITH GEL POLYMER ADDITIVE"/>
    <x v="337"/>
    <s v="07/18/2014"/>
    <x v="0"/>
    <s v=""/>
    <x v="216"/>
    <x v="195"/>
    <x v="60"/>
    <x v="60"/>
    <x v="4"/>
  </r>
  <r>
    <x v="440"/>
    <x v="60"/>
    <x v="70"/>
    <s v="SEMI-SOLID ELECTRODES HAVING HIGH RATE CAPABILITY"/>
    <x v="1"/>
    <s v=""/>
    <x v="0"/>
    <s v=""/>
    <x v="1"/>
    <x v="1"/>
    <x v="60"/>
    <x v="60"/>
    <x v="0"/>
  </r>
  <r>
    <x v="444"/>
    <x v="60"/>
    <x v="70"/>
    <s v="ELECTROCHEMICAL CELLS AND METHODS OF MANUFACTURING THE SAME"/>
    <x v="338"/>
    <s v="05/17/2013"/>
    <x v="0"/>
    <s v=""/>
    <x v="214"/>
    <x v="193"/>
    <x v="60"/>
    <x v="60"/>
    <x v="4"/>
  </r>
  <r>
    <x v="447"/>
    <x v="60"/>
    <x v="70"/>
    <s v="ELECTROCHEMICAL CELLS AND METHODS OF MANUFACTURING THE SAME"/>
    <x v="339"/>
    <s v="11/17/2014"/>
    <x v="135"/>
    <s v="07/26/2016"/>
    <x v="217"/>
    <x v="196"/>
    <x v="60"/>
    <x v="60"/>
    <x v="0"/>
  </r>
  <r>
    <x v="448"/>
    <x v="60"/>
    <x v="70"/>
    <s v="SEMI-SOLID ELECTRODE CELL HAVING A POROUS CURRENT COLLECTOR AND METHODS OF MANUFACTURE"/>
    <x v="340"/>
    <s v="09/07/2012"/>
    <x v="0"/>
    <s v=""/>
    <x v="218"/>
    <x v="197"/>
    <x v="60"/>
    <x v="60"/>
    <x v="0"/>
  </r>
  <r>
    <x v="449"/>
    <x v="60"/>
    <x v="70"/>
    <s v="SEMI-SOLID ELECTRODES HAVING HIGH RATE CAPABILITY"/>
    <x v="341"/>
    <s v="01/15/2015"/>
    <x v="136"/>
    <s v="11/10/2015"/>
    <x v="219"/>
    <x v="198"/>
    <x v="60"/>
    <x v="60"/>
    <x v="0"/>
  </r>
  <r>
    <x v="439"/>
    <x v="60"/>
    <x v="70"/>
    <s v="STATIONARY SEMI-SOLID BATTERY MODULE AND METHOD OF MANUFACTURE"/>
    <x v="342"/>
    <s v="09/07/2012"/>
    <x v="137"/>
    <s v="12/01/2015"/>
    <x v="220"/>
    <x v="199"/>
    <x v="60"/>
    <x v="60"/>
    <x v="0"/>
  </r>
  <r>
    <x v="450"/>
    <x v="60"/>
    <x v="70"/>
    <s v="HIGH ENERGY REDOX FLOW DEVICE"/>
    <x v="343"/>
    <s v="12/16/2010"/>
    <x v="138"/>
    <s v="05/13/2014"/>
    <x v="221"/>
    <x v="200"/>
    <x v="60"/>
    <x v="60"/>
    <x v="0"/>
  </r>
  <r>
    <x v="451"/>
    <x v="61"/>
    <x v="71"/>
    <s v="APPARATUS FOR GAS SORPTION MEASUREMENT WITH INTEGRATED GAS COMPOSITION MEASUREMENT DEVICE AND GAS MIXING"/>
    <x v="344"/>
    <s v="12/18/2012"/>
    <x v="139"/>
    <s v="06/03/2014"/>
    <x v="222"/>
    <x v="201"/>
    <x v="61"/>
    <x v="61"/>
    <x v="0"/>
  </r>
  <r>
    <x v="452"/>
    <x v="61"/>
    <x v="71"/>
    <s v="ARPA-E HIGH THROUGHPUT DISCOVERY OF ROBUST METAL-ORGANIC FRAMEWORKS FOR CO2 CAPTURE"/>
    <x v="1"/>
    <s v=""/>
    <x v="0"/>
    <s v=""/>
    <x v="1"/>
    <x v="1"/>
    <x v="61"/>
    <x v="61"/>
    <x v="0"/>
  </r>
  <r>
    <x v="453"/>
    <x v="62"/>
    <x v="72"/>
    <s v="IONIC LIQUID-FUNCTIONALIZED MESOPOROUS SORBENTS IN HOLLOW FIBERS FOR POST-COMBUSTION CO2 SCRUBBING"/>
    <x v="345"/>
    <s v="04/23/2013"/>
    <x v="0"/>
    <s v=""/>
    <x v="1"/>
    <x v="1"/>
    <x v="62"/>
    <x v="62"/>
    <x v="0"/>
  </r>
  <r>
    <x v="454"/>
    <x v="63"/>
    <x v="73"/>
    <s v="CAPACITOR FABRICATION METHOD BY VERTICAL THROUGH HOLES AND SELECTIVE ETCHING"/>
    <x v="1"/>
    <s v=""/>
    <x v="0"/>
    <s v=""/>
    <x v="1"/>
    <x v="1"/>
    <x v="63"/>
    <x v="63"/>
    <x v="0"/>
  </r>
  <r>
    <x v="455"/>
    <x v="63"/>
    <x v="74"/>
    <s v="METHOD OF COATING MAGNETIC PARTICLES WITH INSULATING LAYER AND APPLICATIONS"/>
    <x v="1"/>
    <s v=""/>
    <x v="0"/>
    <s v=""/>
    <x v="1"/>
    <x v="1"/>
    <x v="63"/>
    <x v="63"/>
    <x v="0"/>
  </r>
  <r>
    <x v="456"/>
    <x v="64"/>
    <x v="20"/>
    <s v="METHODOLOGY FOR INSULATING HIGH-LATERAL-ASPECT-RATIO MICRON-SCALE METALLIC LAMINATED STRUCTURES VIA IN-SOLUTION POLYMER FILLING"/>
    <x v="1"/>
    <s v=""/>
    <x v="0"/>
    <s v=""/>
    <x v="1"/>
    <x v="1"/>
    <x v="64"/>
    <x v="64"/>
    <x v="0"/>
  </r>
  <r>
    <x v="457"/>
    <x v="64"/>
    <x v="20"/>
    <s v="SELF-ASSEMBLY OF FILMS FOR MULTI-LAYER STRUCTURES"/>
    <x v="1"/>
    <s v=""/>
    <x v="0"/>
    <s v=""/>
    <x v="1"/>
    <x v="1"/>
    <x v="64"/>
    <x v="64"/>
    <x v="0"/>
  </r>
  <r>
    <x v="458"/>
    <x v="65"/>
    <x v="75"/>
    <s v="3 LEVEL DIRECT AC/AC CONVERTER WITH IMPUTED DC LINK (IDCL) CONVERTER CELLS AND ACTIVE SNUBBER"/>
    <x v="346"/>
    <s v="02/01/2013"/>
    <x v="140"/>
    <s v="04/26/2016"/>
    <x v="223"/>
    <x v="202"/>
    <x v="65"/>
    <x v="65"/>
    <x v="0"/>
  </r>
  <r>
    <x v="459"/>
    <x v="65"/>
    <x v="75"/>
    <s v="ACTIVE AC SNUBBER FOR DIRECT AC/AC POWER CONVERTERS"/>
    <x v="347"/>
    <s v="03/15/2015"/>
    <x v="141"/>
    <s v="08/25/2015"/>
    <x v="224"/>
    <x v="203"/>
    <x v="65"/>
    <x v="65"/>
    <x v="0"/>
  </r>
  <r>
    <x v="460"/>
    <x v="65"/>
    <x v="75"/>
    <s v="POWER FLOW CONTROLLER WITH A FRACTIONALLY RATED BACK-TO-BACK CONVERTER"/>
    <x v="348"/>
    <s v="11/09/2012"/>
    <x v="142"/>
    <s v="03/08/2016"/>
    <x v="225"/>
    <x v="204"/>
    <x v="65"/>
    <x v="65"/>
    <x v="0"/>
  </r>
  <r>
    <x v="461"/>
    <x v="65"/>
    <x v="75"/>
    <s v="TRANSMISSION &amp; DISTRIBUTION POWER ROUTER - CD-PAR"/>
    <x v="349"/>
    <s v="12/06/2011"/>
    <x v="0"/>
    <s v=""/>
    <x v="1"/>
    <x v="1"/>
    <x v="65"/>
    <x v="65"/>
    <x v="0"/>
  </r>
  <r>
    <x v="462"/>
    <x v="66"/>
    <x v="76"/>
    <s v="USING A CARBON VACANCY REDUCTION MATERIAL TO INCREASE AVERAGE CARRIER LIFETIME IN A SIC SEMICONDUCTOR DEVICE"/>
    <x v="350"/>
    <s v="09/12/2012"/>
    <x v="0"/>
    <s v=""/>
    <x v="1"/>
    <x v="1"/>
    <x v="66"/>
    <x v="66"/>
    <x v="0"/>
  </r>
  <r>
    <x v="463"/>
    <x v="66"/>
    <x v="11"/>
    <s v="ULTRAHIGH VOLTAGE (&gt;=10 kV) COMPLEMENTARY INVERTER USING SIC P-IGBT AND N-IGBT"/>
    <x v="1"/>
    <s v=""/>
    <x v="0"/>
    <s v=""/>
    <x v="1"/>
    <x v="1"/>
    <x v="66"/>
    <x v="66"/>
    <x v="0"/>
  </r>
  <r>
    <x v="464"/>
    <x v="66"/>
    <x v="11"/>
    <s v="CONTROL TECHNIQUE FOR MEDIUM VOLTAGE ACTIVE FRONT END CONVERTER FOR GRID INTERFACE APPLICATIONS"/>
    <x v="1"/>
    <s v=""/>
    <x v="0"/>
    <s v=""/>
    <x v="1"/>
    <x v="1"/>
    <x v="66"/>
    <x v="66"/>
    <x v="0"/>
  </r>
  <r>
    <x v="465"/>
    <x v="66"/>
    <x v="11"/>
    <s v="CONTROL METHOD FOR THE DUAL ACTIVE BRIDGE ISOLATED DE-DC POWER CONVERTER IN PRESENCE OF TRANSFORMER PARASITICS"/>
    <x v="1"/>
    <s v=""/>
    <x v="0"/>
    <s v=""/>
    <x v="1"/>
    <x v="1"/>
    <x v="66"/>
    <x v="66"/>
    <x v="0"/>
  </r>
  <r>
    <x v="466"/>
    <x v="66"/>
    <x v="11"/>
    <s v="GATE DRIVER IMPLEMENTATION AND VALIDATION WITH HIGH DV/DT IMMUNITY FOR ULTRAHIGH VOLTAGE SIC POWER SEMICONDUCTOR DEVICES"/>
    <x v="1"/>
    <s v=""/>
    <x v="0"/>
    <s v=""/>
    <x v="1"/>
    <x v="1"/>
    <x v="66"/>
    <x v="66"/>
    <x v="0"/>
  </r>
  <r>
    <x v="467"/>
    <x v="67"/>
    <x v="77"/>
    <s v="WIDE-TEMPERATURE HIGH-FREQUENCY HIGH-EFFICIENCY SIC INTEGRATED-GATE-BUFFER (IGB)"/>
    <x v="1"/>
    <s v=""/>
    <x v="0"/>
    <s v=""/>
    <x v="1"/>
    <x v="1"/>
    <x v="67"/>
    <x v="67"/>
    <x v="0"/>
  </r>
  <r>
    <x v="468"/>
    <x v="67"/>
    <x v="77"/>
    <s v="AN UNDER VOLTAGE LOCK-OUT CIRCUIT COMPATIBLE WITH INTEGRATION WITH POWER MOSFET DEVICES"/>
    <x v="1"/>
    <s v=""/>
    <x v="0"/>
    <s v=""/>
    <x v="1"/>
    <x v="1"/>
    <x v="67"/>
    <x v="67"/>
    <x v="0"/>
  </r>
  <r>
    <x v="469"/>
    <x v="67"/>
    <x v="78"/>
    <s v="VERTICAL POWER TRANSISTOR WITH BUILT-IN GATE BUFFER"/>
    <x v="351"/>
    <s v="06/25/2013"/>
    <x v="143"/>
    <s v="11/10/2015"/>
    <x v="226"/>
    <x v="205"/>
    <x v="67"/>
    <x v="67"/>
    <x v="0"/>
  </r>
  <r>
    <x v="470"/>
    <x v="67"/>
    <x v="78"/>
    <s v="ACTIVE ENERGY RECOVERY CLAMPING CIRCUIT TO IMPROVE THE PERFORMANCE OF POWER CONVERTERS"/>
    <x v="1"/>
    <s v=""/>
    <x v="0"/>
    <s v=""/>
    <x v="1"/>
    <x v="1"/>
    <x v="67"/>
    <x v="67"/>
    <x v="0"/>
  </r>
  <r>
    <x v="471"/>
    <x v="68"/>
    <x v="79"/>
    <s v="MICRO-FABRICATED INTEGRATED COIL AND MAGNETIC CIRCUIT AND METHOD OF MANUFACTURING THEREOF"/>
    <x v="352"/>
    <s v="09/03/2014"/>
    <x v="144"/>
    <s v="03/28/2017"/>
    <x v="227"/>
    <x v="206"/>
    <x v="68"/>
    <x v="68"/>
    <x v="0"/>
  </r>
  <r>
    <x v="472"/>
    <x v="68"/>
    <x v="79"/>
    <s v="ELECTROMAGNETIC DEVICE HAVING LAYERED MAGNETIC MATERIAL COMPONENTS AND METHODS FOR MAKING SAME"/>
    <x v="353"/>
    <s v="08/06/2016"/>
    <x v="0"/>
    <s v=""/>
    <x v="1"/>
    <x v="1"/>
    <x v="68"/>
    <x v="68"/>
    <x v="0"/>
  </r>
  <r>
    <x v="473"/>
    <x v="69"/>
    <x v="80"/>
    <s v="PREVENTION OF HYDROPHBIC DEWETTING THROUGH NANOPARTICLE SURFACE TREATMENT"/>
    <x v="354"/>
    <s v="06/15/2017"/>
    <x v="0"/>
    <s v=""/>
    <x v="1"/>
    <x v="1"/>
    <x v="69"/>
    <x v="69"/>
    <x v="0"/>
  </r>
  <r>
    <x v="474"/>
    <x v="69"/>
    <x v="80"/>
    <s v="ROLLED POWER CAPACITOR WITH COMPOSITE DIELECTRIC (METACAP POWER CAPACITOR)"/>
    <x v="355"/>
    <s v="05/22/2013"/>
    <x v="0"/>
    <s v=""/>
    <x v="1"/>
    <x v="1"/>
    <x v="69"/>
    <x v="69"/>
    <x v="0"/>
  </r>
  <r>
    <x v="475"/>
    <x v="69"/>
    <x v="80"/>
    <s v="PREVENTION OF HYDROPHBIC DEWETTING THROUGH NANOPARTICLE SURFACE TREATMENT"/>
    <x v="356"/>
    <s v="02/25/2013"/>
    <x v="0"/>
    <s v=""/>
    <x v="1"/>
    <x v="1"/>
    <x v="69"/>
    <x v="69"/>
    <x v="0"/>
  </r>
  <r>
    <x v="476"/>
    <x v="69"/>
    <x v="80"/>
    <s v="DIELECTRIC FILM WITH NANAOPARTICLES"/>
    <x v="357"/>
    <s v="01/18/2013"/>
    <x v="0"/>
    <s v=""/>
    <x v="1"/>
    <x v="1"/>
    <x v="69"/>
    <x v="69"/>
    <x v="0"/>
  </r>
  <r>
    <x v="477"/>
    <x v="69"/>
    <x v="80"/>
    <s v="MULTI-METAL OXIDE CERAMIC NANOMATERIAL"/>
    <x v="358"/>
    <s v="03/29/2016"/>
    <x v="0"/>
    <s v=""/>
    <x v="228"/>
    <x v="207"/>
    <x v="69"/>
    <x v="69"/>
    <x v="0"/>
  </r>
  <r>
    <x v="478"/>
    <x v="69"/>
    <x v="80"/>
    <s v="METHOD FOR PROVIDING A STRETCHABLE POWER SOURCE AND DEVICE"/>
    <x v="1"/>
    <s v=""/>
    <x v="0"/>
    <s v=""/>
    <x v="1"/>
    <x v="1"/>
    <x v="69"/>
    <x v="69"/>
    <x v="0"/>
  </r>
  <r>
    <x v="479"/>
    <x v="69"/>
    <x v="80"/>
    <s v="MULTI-METAL OXIDE CERAMIC NANOMATERIAL"/>
    <x v="1"/>
    <s v=""/>
    <x v="0"/>
    <s v=""/>
    <x v="1"/>
    <x v="1"/>
    <x v="69"/>
    <x v="69"/>
    <x v="0"/>
  </r>
  <r>
    <x v="480"/>
    <x v="69"/>
    <x v="81"/>
    <s v="SWITCHED-CAPACITOR ISOLATED LED DRIVER"/>
    <x v="359"/>
    <s v="06/02/2014"/>
    <x v="145"/>
    <s v="03/22/2016"/>
    <x v="229"/>
    <x v="208"/>
    <x v="69"/>
    <x v="69"/>
    <x v="0"/>
  </r>
  <r>
    <x v="481"/>
    <x v="69"/>
    <x v="80"/>
    <s v="MULTI-METAL OXIDE CERAMIC NANOMATERIAL"/>
    <x v="360"/>
    <s v="07/29/2014"/>
    <x v="146"/>
    <s v="05/18/2016"/>
    <x v="230"/>
    <x v="209"/>
    <x v="69"/>
    <x v="69"/>
    <x v="0"/>
  </r>
  <r>
    <x v="482"/>
    <x v="69"/>
    <x v="64"/>
    <s v="CAPACITIVELY ISOLATED LED DRIVER CIRCUIT"/>
    <x v="1"/>
    <s v=""/>
    <x v="0"/>
    <s v=""/>
    <x v="1"/>
    <x v="1"/>
    <x v="69"/>
    <x v="69"/>
    <x v="0"/>
  </r>
  <r>
    <x v="483"/>
    <x v="70"/>
    <x v="82"/>
    <s v="ELECTRONIC COMPONENTS WITH REACTIVE FILTERS"/>
    <x v="361"/>
    <s v="02/23/2012"/>
    <x v="147"/>
    <s v="07/22/2014"/>
    <x v="231"/>
    <x v="210"/>
    <x v="70"/>
    <x v="70"/>
    <x v="0"/>
  </r>
  <r>
    <x v="484"/>
    <x v="70"/>
    <x v="82"/>
    <s v="METHOD OF FORMING ELECTRONIC COMPONENTS WITH REACTIVE FILTERS"/>
    <x v="362"/>
    <s v="06/17/2014"/>
    <x v="148"/>
    <s v="05/26/2015"/>
    <x v="232"/>
    <x v="211"/>
    <x v="70"/>
    <x v="70"/>
    <x v="0"/>
  </r>
  <r>
    <x v="485"/>
    <x v="71"/>
    <x v="83"/>
    <s v="METALLIC-GLASS ALLOYS FOR CAPACITOR ANODES"/>
    <x v="363"/>
    <s v="05/15/2015"/>
    <x v="149"/>
    <s v="02/27/2018"/>
    <x v="233"/>
    <x v="212"/>
    <x v="71"/>
    <x v="71"/>
    <x v="0"/>
  </r>
  <r>
    <x v="486"/>
    <x v="72"/>
    <x v="84"/>
    <s v="SPREAD CONTAINER"/>
    <x v="364"/>
    <s v="05/29/2014"/>
    <x v="150"/>
    <s v="01/10/2017"/>
    <x v="234"/>
    <x v="213"/>
    <x v="72"/>
    <x v="72"/>
    <x v="0"/>
  </r>
  <r>
    <x v="487"/>
    <x v="72"/>
    <x v="85"/>
    <s v="GAN BASED HFERS AND MOS-HFETS FABRICATED ON SAME WAFER"/>
    <x v="1"/>
    <s v=""/>
    <x v="0"/>
    <s v=""/>
    <x v="1"/>
    <x v="1"/>
    <x v="72"/>
    <x v="72"/>
    <x v="0"/>
  </r>
  <r>
    <x v="488"/>
    <x v="72"/>
    <x v="85"/>
    <s v="ILL-NITRIDE INSULTATING-GATE TRANSISTORS WITH PASSIVATION"/>
    <x v="1"/>
    <s v=""/>
    <x v="0"/>
    <s v=""/>
    <x v="1"/>
    <x v="1"/>
    <x v="72"/>
    <x v="72"/>
    <x v="0"/>
  </r>
  <r>
    <x v="489"/>
    <x v="73"/>
    <x v="86"/>
    <s v="PLUSE LASER MACHINING METHODS FOR THE FABRICATION OF DISCRETE COMPONENTS FROM MAGNETIC THICK FILMS"/>
    <x v="1"/>
    <s v=""/>
    <x v="0"/>
    <s v=""/>
    <x v="1"/>
    <x v="1"/>
    <x v="73"/>
    <x v="73"/>
    <x v="0"/>
  </r>
  <r>
    <x v="490"/>
    <x v="73"/>
    <x v="86"/>
    <s v="MAGNETIC FIELD ANNEALING OF THICK MAGNETIC FILMS"/>
    <x v="1"/>
    <s v=""/>
    <x v="0"/>
    <s v=""/>
    <x v="1"/>
    <x v="1"/>
    <x v="73"/>
    <x v="73"/>
    <x v="0"/>
  </r>
  <r>
    <x v="491"/>
    <x v="74"/>
    <x v="65"/>
    <s v="COMPOUNDS, COMPLEXES, COMPOSITIONS, METHODS AND SYSTEMS FOR HEATING AND COOLING"/>
    <x v="365"/>
    <s v="03/30/2016"/>
    <x v="0"/>
    <s v=""/>
    <x v="1"/>
    <x v="1"/>
    <x v="74"/>
    <x v="74"/>
    <x v="0"/>
  </r>
  <r>
    <x v="492"/>
    <x v="74"/>
    <x v="65"/>
    <s v="COMPOUNDS, COMPLEXES, COMPOSITIONS, METHODS AND SYSTEMS FOR HEATING AND COOLING"/>
    <x v="366"/>
    <s v="09/30/2014"/>
    <x v="0"/>
    <s v=""/>
    <x v="235"/>
    <x v="214"/>
    <x v="74"/>
    <x v="74"/>
    <x v="0"/>
  </r>
  <r>
    <x v="493"/>
    <x v="75"/>
    <x v="87"/>
    <s v="MOTOR PYLONS FOR A KITE AND AIRBORNE POWER GENERATION SYSTEM USING SAME "/>
    <x v="367"/>
    <s v="01/02/2013"/>
    <x v="151"/>
    <s v="02/17/2015"/>
    <x v="236"/>
    <x v="1"/>
    <x v="75"/>
    <x v="75"/>
    <x v="0"/>
  </r>
  <r>
    <x v="494"/>
    <x v="75"/>
    <x v="87"/>
    <s v="MOTOR PYLONS FOR A KITE AND AIRBORNE POWER GENERATION SYSTEM USING SAME"/>
    <x v="368"/>
    <s v="01/06/2015"/>
    <x v="152"/>
    <s v="01/31/2017"/>
    <x v="237"/>
    <x v="215"/>
    <x v="75"/>
    <x v="75"/>
    <x v="0"/>
  </r>
  <r>
    <x v="495"/>
    <x v="75"/>
    <x v="87"/>
    <s v="KITE GROUND STATION AND SYSTEM USING SAME"/>
    <x v="369"/>
    <s v="11/17/2014"/>
    <x v="153"/>
    <s v="03/21/2017"/>
    <x v="238"/>
    <x v="216"/>
    <x v="75"/>
    <x v="75"/>
    <x v="0"/>
  </r>
  <r>
    <x v="496"/>
    <x v="76"/>
    <x v="88"/>
    <s v="MICROFABRICATED MAGNETIC DEVICES AND ASSOCIATED METHOD"/>
    <x v="370"/>
    <s v="06/06/2013"/>
    <x v="0"/>
    <s v=""/>
    <x v="1"/>
    <x v="1"/>
    <x v="76"/>
    <x v="76"/>
    <x v="0"/>
  </r>
  <r>
    <x v="497"/>
    <x v="76"/>
    <x v="37"/>
    <s v="SEMICONDUCTOR DEVICES HAVING A RECESSED ELECTRODE STRUCTURE"/>
    <x v="371"/>
    <s v="10/11/2012"/>
    <x v="154"/>
    <s v="05/26/2015"/>
    <x v="239"/>
    <x v="217"/>
    <x v="76"/>
    <x v="76"/>
    <x v="0"/>
  </r>
  <r>
    <x v="498"/>
    <x v="76"/>
    <x v="37"/>
    <s v="REDUCING LEAKAGE CURRENT IN SEMICONDUCTOR DEVICES "/>
    <x v="372"/>
    <s v="06/10/2015"/>
    <x v="155"/>
    <s v="03/06/2018"/>
    <x v="240"/>
    <x v="218"/>
    <x v="76"/>
    <x v="76"/>
    <x v="0"/>
  </r>
  <r>
    <x v="499"/>
    <x v="76"/>
    <x v="37"/>
    <s v="NEW STRUCTURE AND ETCH TECHOLONGY FOR III-NITRIDE SEMICONDUCTORS"/>
    <x v="373"/>
    <s v="05/13/2015"/>
    <x v="156"/>
    <s v="02/14/2017"/>
    <x v="241"/>
    <x v="219"/>
    <x v="76"/>
    <x v="76"/>
    <x v="0"/>
  </r>
  <r>
    <x v="500"/>
    <x v="76"/>
    <x v="37"/>
    <s v="DIODE HAVING TRENCHES IN A SEMICONDUCTOR REGION _x000d_"/>
    <x v="374"/>
    <s v="11/18/2013"/>
    <x v="157"/>
    <s v="03/22/2016"/>
    <x v="242"/>
    <x v="1"/>
    <x v="76"/>
    <x v="76"/>
    <x v="0"/>
  </r>
  <r>
    <x v="501"/>
    <x v="76"/>
    <x v="37"/>
    <s v="HF SWITCHED LED DRIVER WITH SWITCHED-CAPACITOR PREREGULATOR"/>
    <x v="1"/>
    <s v=""/>
    <x v="0"/>
    <s v=""/>
    <x v="1"/>
    <x v="1"/>
    <x v="76"/>
    <x v="76"/>
    <x v="0"/>
  </r>
  <r>
    <x v="502"/>
    <x v="76"/>
    <x v="37"/>
    <s v="NEW STRUCTURE AND ETCH TECHNOLOGY FOR III-NITRIDE SEMICONDUCTORS"/>
    <x v="1"/>
    <s v=""/>
    <x v="0"/>
    <s v=""/>
    <x v="1"/>
    <x v="1"/>
    <x v="76"/>
    <x v="76"/>
    <x v="0"/>
  </r>
  <r>
    <x v="497"/>
    <x v="76"/>
    <x v="37"/>
    <s v="NEW STRUCTURE AND TECHNOLOGY FOR POWER SEMICONDUCTOR DEVICES"/>
    <x v="375"/>
    <s v="10/11/2012"/>
    <x v="0"/>
    <s v=""/>
    <x v="239"/>
    <x v="217"/>
    <x v="76"/>
    <x v="76"/>
    <x v="4"/>
  </r>
  <r>
    <x v="503"/>
    <x v="76"/>
    <x v="37"/>
    <s v="NEW STRUCTURE AND ETCH TECHOLONGY FOR FOR III-NITRIDE SEMICONDUCTORS"/>
    <x v="376"/>
    <s v="12/27/2016"/>
    <x v="0"/>
    <s v=""/>
    <x v="1"/>
    <x v="1"/>
    <x v="76"/>
    <x v="76"/>
    <x v="0"/>
  </r>
  <r>
    <x v="504"/>
    <x v="76"/>
    <x v="37"/>
    <s v="GRID INTERFACE POWER CONVERSION ARCHITECTURE"/>
    <x v="377"/>
    <s v="04/08/2014"/>
    <x v="0"/>
    <s v=""/>
    <x v="243"/>
    <x v="220"/>
    <x v="76"/>
    <x v="76"/>
    <x v="0"/>
  </r>
  <r>
    <x v="505"/>
    <x v="77"/>
    <x v="89"/>
    <s v="APPARATUS AND METHOD FOR USE IN STORING ENERGY"/>
    <x v="378"/>
    <s v="03/15/2013"/>
    <x v="158"/>
    <s v="08/01/2017"/>
    <x v="244"/>
    <x v="221"/>
    <x v="77"/>
    <x v="77"/>
    <x v="0"/>
  </r>
  <r>
    <x v="506"/>
    <x v="78"/>
    <x v="90"/>
    <s v="TRANSFORMATION ENABLED NITRIDE MAGNETS ABSENT RATE EARTHS (TEN MARE)"/>
    <x v="1"/>
    <s v=""/>
    <x v="0"/>
    <s v=""/>
    <x v="1"/>
    <x v="1"/>
    <x v="78"/>
    <x v="78"/>
    <x v="0"/>
  </r>
  <r>
    <x v="507"/>
    <x v="78"/>
    <x v="90"/>
    <s v="EFFICIENT FLO-TE HEAT PUMPS"/>
    <x v="379"/>
    <s v="11/07/2014"/>
    <x v="0"/>
    <s v=""/>
    <x v="1"/>
    <x v="1"/>
    <x v="78"/>
    <x v="78"/>
    <x v="0"/>
  </r>
  <r>
    <x v="508"/>
    <x v="78"/>
    <x v="90"/>
    <s v="THERMOELECTRIC DEVICE FOR HIGH TEMPERATURE APPLICATIONS"/>
    <x v="380"/>
    <s v="06/17/2015"/>
    <x v="0"/>
    <s v=""/>
    <x v="1"/>
    <x v="1"/>
    <x v="78"/>
    <x v="78"/>
    <x v="0"/>
  </r>
  <r>
    <x v="509"/>
    <x v="78"/>
    <x v="90"/>
    <s v="RECYCLING OF HEAT FOR EFFICIENT DISTILLIATION"/>
    <x v="381"/>
    <s v="05/04/2015"/>
    <x v="0"/>
    <s v=""/>
    <x v="1"/>
    <x v="1"/>
    <x v="78"/>
    <x v="78"/>
    <x v="0"/>
  </r>
  <r>
    <x v="510"/>
    <x v="78"/>
    <x v="90"/>
    <s v="Transformation Enabled Nitride Magnets Absent Rare Earths and a Process of Making the Same "/>
    <x v="382"/>
    <s v="11/19/2013"/>
    <x v="0"/>
    <s v=""/>
    <x v="1"/>
    <x v="1"/>
    <x v="78"/>
    <x v="78"/>
    <x v="0"/>
  </r>
  <r>
    <x v="511"/>
    <x v="79"/>
    <x v="91"/>
    <s v="MAGNETIC REFRIGERATION SYSTEM WITH SEPARATED INLET AND OUTLET FLOW"/>
    <x v="383"/>
    <s v="12/01/2014"/>
    <x v="0"/>
    <s v=""/>
    <x v="245"/>
    <x v="222"/>
    <x v="79"/>
    <x v="79"/>
    <x v="0"/>
  </r>
  <r>
    <x v="512"/>
    <x v="79"/>
    <x v="91"/>
    <s v="HIGH POROSITY PARTICLATE BEDS STRUCTURALLY STABILIZED BY EPOXY"/>
    <x v="384"/>
    <s v="08/28/2014"/>
    <x v="0"/>
    <s v=""/>
    <x v="139"/>
    <x v="123"/>
    <x v="79"/>
    <x v="79"/>
    <x v="0"/>
  </r>
  <r>
    <x v="513"/>
    <x v="79"/>
    <x v="91"/>
    <s v="MAGNETIC REFRIGERATION SYSTEM WITH UNEQUAL BLOWS"/>
    <x v="1"/>
    <s v=""/>
    <x v="0"/>
    <s v=""/>
    <x v="1"/>
    <x v="1"/>
    <x v="79"/>
    <x v="79"/>
    <x v="0"/>
  </r>
  <r>
    <x v="514"/>
    <x v="80"/>
    <x v="92"/>
    <s v="MONOCOQUE SHELL-AND -TUBE HEAT EXCHANGER_x000d__x000d_"/>
    <x v="1"/>
    <s v=""/>
    <x v="0"/>
    <s v=""/>
    <x v="1"/>
    <x v="1"/>
    <x v="80"/>
    <x v="80"/>
    <x v="0"/>
  </r>
  <r>
    <x v="515"/>
    <x v="80"/>
    <x v="92"/>
    <s v="MONOCOQUE SHELL-AND -TUBE HEAT EXCHANGER"/>
    <x v="1"/>
    <s v=""/>
    <x v="0"/>
    <s v=""/>
    <x v="1"/>
    <x v="1"/>
    <x v="80"/>
    <x v="80"/>
    <x v="0"/>
  </r>
  <r>
    <x v="516"/>
    <x v="81"/>
    <x v="93"/>
    <s v="NOVEL DESIGNS IMPROVING THE PERFORMANCE OF A COMPRESSIVE THERMOELASTIC COOLING SYSTEM"/>
    <x v="1"/>
    <s v=""/>
    <x v="0"/>
    <s v=""/>
    <x v="1"/>
    <x v="1"/>
    <x v="81"/>
    <x v="81"/>
    <x v="0"/>
  </r>
  <r>
    <x v="517"/>
    <x v="81"/>
    <x v="94"/>
    <s v="THERMOELASTIC COOLING"/>
    <x v="385"/>
    <s v="03/27/2012"/>
    <x v="0"/>
    <s v=""/>
    <x v="1"/>
    <x v="1"/>
    <x v="81"/>
    <x v="81"/>
    <x v="0"/>
  </r>
  <r>
    <x v="518"/>
    <x v="82"/>
    <x v="66"/>
    <s v="USE OF PRESSURE PULSING AND/OR WAVE FORMS TO IMPROVE PERFORMANCE IN CASCADE REVERSE OSMOSIS"/>
    <x v="1"/>
    <s v=""/>
    <x v="0"/>
    <s v=""/>
    <x v="1"/>
    <x v="1"/>
    <x v="82"/>
    <x v="82"/>
    <x v="0"/>
  </r>
  <r>
    <x v="519"/>
    <x v="82"/>
    <x v="66"/>
    <s v="USE OF CASCADE REVERSE OSMOSIS IN THE TREATMENT AND RECYCLE OF FLOWBACK WATER FROM HYDRAULIC FRACTURING"/>
    <x v="1"/>
    <s v=""/>
    <x v="0"/>
    <s v=""/>
    <x v="1"/>
    <x v="1"/>
    <x v="82"/>
    <x v="82"/>
    <x v="0"/>
  </r>
  <r>
    <x v="520"/>
    <x v="82"/>
    <x v="66"/>
    <s v="USE OF CASCADE REVERSE OSMOSIS FOR ENERGY RECOVERY IN SEAWATER DESALINATION"/>
    <x v="1"/>
    <s v=""/>
    <x v="0"/>
    <s v=""/>
    <x v="1"/>
    <x v="1"/>
    <x v="82"/>
    <x v="82"/>
    <x v="0"/>
  </r>
  <r>
    <x v="521"/>
    <x v="82"/>
    <x v="66"/>
    <s v="ENHANCEMENTS AND POTENTIAL ENABLING FEATURES FOR CASCADE REVERSE OSMOSIS"/>
    <x v="1"/>
    <s v=""/>
    <x v="0"/>
    <s v=""/>
    <x v="1"/>
    <x v="1"/>
    <x v="82"/>
    <x v="82"/>
    <x v="0"/>
  </r>
  <r>
    <x v="522"/>
    <x v="83"/>
    <x v="73"/>
    <s v="3D Microstructures and Micro-Mixing for Rapid Absorption/Desorption in Mechanically Constrained Liquid Absorbents"/>
    <x v="1"/>
    <s v=""/>
    <x v="0"/>
    <s v=""/>
    <x v="1"/>
    <x v="1"/>
    <x v="83"/>
    <x v="83"/>
    <x v="0"/>
  </r>
  <r>
    <x v="523"/>
    <x v="83"/>
    <x v="73"/>
    <s v="THIN FILM-BASED COMPACT ABSORPTION COOLING SYSTEM"/>
    <x v="386"/>
    <s v="04/22/2014"/>
    <x v="159"/>
    <s v="11/08/2016"/>
    <x v="246"/>
    <x v="223"/>
    <x v="83"/>
    <x v="83"/>
    <x v="0"/>
  </r>
  <r>
    <x v="524"/>
    <x v="83"/>
    <x v="73"/>
    <s v="COMPACT AND EFFICIENT PLATE AND FRAME ABSORBER "/>
    <x v="387"/>
    <s v="03/22/2018"/>
    <x v="0"/>
    <s v=""/>
    <x v="1"/>
    <x v="1"/>
    <x v="83"/>
    <x v="83"/>
    <x v="0"/>
  </r>
  <r>
    <x v="525"/>
    <x v="84"/>
    <x v="5"/>
    <s v=" A HIGH EFFICIENCY NICKEL-IRON BATTERY"/>
    <x v="1"/>
    <s v=""/>
    <x v="0"/>
    <s v=""/>
    <x v="1"/>
    <x v="1"/>
    <x v="84"/>
    <x v="84"/>
    <x v="0"/>
  </r>
  <r>
    <x v="526"/>
    <x v="84"/>
    <x v="5"/>
    <s v="HIGH EFFICIENCY ELECTRODES AND ADDITIVES FOR IRON-AIR BATTERY"/>
    <x v="388"/>
    <s v=""/>
    <x v="160"/>
    <s v=""/>
    <x v="247"/>
    <x v="224"/>
    <x v="84"/>
    <x v="84"/>
    <x v="0"/>
  </r>
  <r>
    <x v="527"/>
    <x v="85"/>
    <x v="95"/>
    <s v="HYDROGEN/BROMINE FLOW BATTERY IN WHICH HYDROGEN IS FRELY EXCHANGED BETWEEN TWO CELL COMPARTMENTS"/>
    <x v="389"/>
    <s v="06/13/2016"/>
    <x v="0"/>
    <s v=""/>
    <x v="1"/>
    <x v="1"/>
    <x v="62"/>
    <x v="62"/>
    <x v="0"/>
  </r>
  <r>
    <x v="528"/>
    <x v="85"/>
    <x v="95"/>
    <s v="METHODS OF RETURNING MATERIALS FROM THE BR2 SIDE OF THE SYSTEM AFTER CROSSOVER AND SYSTEMS THEREFOR"/>
    <x v="390"/>
    <s v="06/17/2016"/>
    <x v="0"/>
    <s v=""/>
    <x v="1"/>
    <x v="1"/>
    <x v="62"/>
    <x v="62"/>
    <x v="0"/>
  </r>
  <r>
    <x v="529"/>
    <x v="85"/>
    <x v="95"/>
    <s v="SAFETY SYSTEM FOR A FLOW BATTERY AND FLOW BATTERY SYSTEM"/>
    <x v="391"/>
    <s v="12/10/2014"/>
    <x v="0"/>
    <s v=""/>
    <x v="1"/>
    <x v="1"/>
    <x v="62"/>
    <x v="62"/>
    <x v="0"/>
  </r>
  <r>
    <x v="530"/>
    <x v="85"/>
    <x v="95"/>
    <s v="SYSTEM AND METHOD FOR MINIMIZING TRANSPORT RELATED PERFORMANCE LOSSES IN A FLOW BATTERY SYSTEM"/>
    <x v="392"/>
    <s v="05/19/2016"/>
    <x v="0"/>
    <s v=""/>
    <x v="1"/>
    <x v="1"/>
    <x v="62"/>
    <x v="62"/>
    <x v="0"/>
  </r>
  <r>
    <x v="531"/>
    <x v="86"/>
    <x v="96"/>
    <s v="LITHOGRAPHICALLY PATTERNED MODE SIZE CONVERTERS AND ARRAYS"/>
    <x v="1"/>
    <s v=""/>
    <x v="0"/>
    <s v=""/>
    <x v="1"/>
    <x v="1"/>
    <x v="85"/>
    <x v="85"/>
    <x v="0"/>
  </r>
  <r>
    <x v="532"/>
    <x v="86"/>
    <x v="96"/>
    <s v="MULTI-MODE, SINGLE-TANK ENERGY STORAGE"/>
    <x v="1"/>
    <s v=""/>
    <x v="0"/>
    <s v=""/>
    <x v="1"/>
    <x v="1"/>
    <x v="85"/>
    <x v="85"/>
    <x v="0"/>
  </r>
  <r>
    <x v="533"/>
    <x v="86"/>
    <x v="97"/>
    <s v="ADVANCED CASCADE THERMAL STORAGE"/>
    <x v="1"/>
    <s v=""/>
    <x v="0"/>
    <s v=""/>
    <x v="1"/>
    <x v="1"/>
    <x v="85"/>
    <x v="85"/>
    <x v="0"/>
  </r>
  <r>
    <x v="534"/>
    <x v="86"/>
    <x v="96"/>
    <s v="HYBRID ENERGY STORAGE SYSTEM"/>
    <x v="393"/>
    <s v="09/07/2018"/>
    <x v="0"/>
    <s v=""/>
    <x v="1"/>
    <x v="1"/>
    <x v="85"/>
    <x v="85"/>
    <x v="0"/>
  </r>
  <r>
    <x v="535"/>
    <x v="86"/>
    <x v="96"/>
    <s v="MODULAR THERMAL ENERGY STORAGE SYSTEM"/>
    <x v="394"/>
    <s v="09/07/2018"/>
    <x v="0"/>
    <s v=""/>
    <x v="1"/>
    <x v="1"/>
    <x v="85"/>
    <x v="85"/>
    <x v="0"/>
  </r>
  <r>
    <x v="536"/>
    <x v="86"/>
    <x v="96"/>
    <s v="HYBRID ENERGY STORAGE SYSTEM"/>
    <x v="395"/>
    <s v="02/28/2017"/>
    <x v="0"/>
    <s v=""/>
    <x v="85"/>
    <x v="71"/>
    <x v="85"/>
    <x v="85"/>
    <x v="0"/>
  </r>
  <r>
    <x v="537"/>
    <x v="86"/>
    <x v="96"/>
    <s v="MODULAR THERMAL ENERGY STORAGE SYSTEM"/>
    <x v="396"/>
    <s v="02/28/2017"/>
    <x v="0"/>
    <s v=""/>
    <x v="86"/>
    <x v="72"/>
    <x v="85"/>
    <x v="85"/>
    <x v="0"/>
  </r>
  <r>
    <x v="538"/>
    <x v="86"/>
    <x v="96"/>
    <s v="MODULAR THERMAL ENERGY STORAGE SYSTEM"/>
    <x v="397"/>
    <s v="02/29/2016"/>
    <x v="0"/>
    <s v=""/>
    <x v="1"/>
    <x v="1"/>
    <x v="85"/>
    <x v="85"/>
    <x v="0"/>
  </r>
  <r>
    <x v="539"/>
    <x v="86"/>
    <x v="97"/>
    <s v="HIGH-DENSITY, HIGH-TEMPERATURE THERMAL ENERGY STORAGE AND RETRIEVAL VIA ELEMENTAL FLUIDS"/>
    <x v="398"/>
    <s v="09/02/2014"/>
    <x v="0"/>
    <s v=""/>
    <x v="1"/>
    <x v="1"/>
    <x v="85"/>
    <x v="85"/>
    <x v="0"/>
  </r>
  <r>
    <x v="540"/>
    <x v="86"/>
    <x v="97"/>
    <s v="SUPERCRITICAL THERMAL ENERGY STORAGE"/>
    <x v="399"/>
    <s v="09/20/2011"/>
    <x v="0"/>
    <s v=""/>
    <x v="1"/>
    <x v="1"/>
    <x v="85"/>
    <x v="85"/>
    <x v="0"/>
  </r>
  <r>
    <x v="541"/>
    <x v="86"/>
    <x v="97"/>
    <s v="THERMAL PROPERTY MEASUREMENT DEVICE"/>
    <x v="400"/>
    <s v="09/16/2013"/>
    <x v="0"/>
    <s v=""/>
    <x v="1"/>
    <x v="1"/>
    <x v="85"/>
    <x v="85"/>
    <x v="0"/>
  </r>
  <r>
    <x v="542"/>
    <x v="87"/>
    <x v="98"/>
    <s v="MODULAR, MULTI-CHANNEL INTERLEAVED POWER CONVERTER"/>
    <x v="401"/>
    <s v="01/15/2014"/>
    <x v="0"/>
    <s v=""/>
    <x v="1"/>
    <x v="1"/>
    <x v="86"/>
    <x v="86"/>
    <x v="0"/>
  </r>
  <r>
    <x v="543"/>
    <x v="87"/>
    <x v="98"/>
    <s v="INTERLEAVED MULTI-CHANNEL MULTI-LEVEL DC/DC CONVERTERS AND COUPLED INDUCTOR ARRANGEMENTS"/>
    <x v="402"/>
    <s v="01/15/2014"/>
    <x v="0"/>
    <s v=""/>
    <x v="1"/>
    <x v="1"/>
    <x v="86"/>
    <x v="86"/>
    <x v="0"/>
  </r>
  <r>
    <x v="544"/>
    <x v="87"/>
    <x v="99"/>
    <s v="RADIO FREQUENCY-ASSISTED FAST SUPERCONDUCTING SWITCH"/>
    <x v="403"/>
    <s v="04/09/2013"/>
    <x v="0"/>
    <s v=""/>
    <x v="1"/>
    <x v="1"/>
    <x v="86"/>
    <x v="86"/>
    <x v="0"/>
  </r>
  <r>
    <x v="545"/>
    <x v="87"/>
    <x v="98"/>
    <s v="MULTI-PHASE AC/AC STEP-DOWN CONVERTER FOR DISTRIBUTION SYSTEMS"/>
    <x v="404"/>
    <s v="02/07/2014"/>
    <x v="0"/>
    <s v=""/>
    <x v="248"/>
    <x v="225"/>
    <x v="86"/>
    <x v="86"/>
    <x v="0"/>
  </r>
  <r>
    <x v="546"/>
    <x v="87"/>
    <x v="100"/>
    <s v="METHODS AND SYSTEMS FOR ENHANCING SUPERCONDUCTOR MANUFACTURING"/>
    <x v="405"/>
    <s v="03/17/2014"/>
    <x v="0"/>
    <s v=""/>
    <x v="1"/>
    <x v="1"/>
    <x v="86"/>
    <x v="86"/>
    <x v="0"/>
  </r>
  <r>
    <x v="547"/>
    <x v="88"/>
    <x v="101"/>
    <s v="ELECTROLYTE FLOW CONFIGURATION FOR A METAL HALOGEN FLOW BATTERY"/>
    <x v="1"/>
    <s v=""/>
    <x v="161"/>
    <s v="03/12/2012"/>
    <x v="249"/>
    <x v="226"/>
    <x v="87"/>
    <x v="87"/>
    <x v="5"/>
  </r>
  <r>
    <x v="548"/>
    <x v="88"/>
    <x v="101"/>
    <s v="NOVEL ELECTRODE DESIGN FOR HIGH PERFORMANCE METAL HALOGEN FLOW BATTERY"/>
    <x v="406"/>
    <s v=""/>
    <x v="0"/>
    <s v=""/>
    <x v="1"/>
    <x v="1"/>
    <x v="87"/>
    <x v="87"/>
    <x v="5"/>
  </r>
  <r>
    <x v="549"/>
    <x v="88"/>
    <x v="101"/>
    <s v="UTILIZTION OF PLASMA TO AID COATING"/>
    <x v="407"/>
    <s v=""/>
    <x v="0"/>
    <s v=""/>
    <x v="1"/>
    <x v="1"/>
    <x v="87"/>
    <x v="87"/>
    <x v="5"/>
  </r>
  <r>
    <x v="550"/>
    <x v="89"/>
    <x v="102"/>
    <s v="MEANS FOR PURGING AIR FROM WATER-BASED HVAC SYSTEMS"/>
    <x v="1"/>
    <s v=""/>
    <x v="0"/>
    <s v=""/>
    <x v="1"/>
    <x v="1"/>
    <x v="88"/>
    <x v="88"/>
    <x v="0"/>
  </r>
  <r>
    <x v="551"/>
    <x v="89"/>
    <x v="102"/>
    <s v="SUPERSONIC COMPRESSOR ROTOR"/>
    <x v="408"/>
    <s v="09/16/2011"/>
    <x v="0"/>
    <s v=""/>
    <x v="1"/>
    <x v="1"/>
    <x v="88"/>
    <x v="88"/>
    <x v="0"/>
  </r>
  <r>
    <x v="552"/>
    <x v="89"/>
    <x v="102"/>
    <s v="SUPERSONIC COMPRESSOR ROTOR"/>
    <x v="409"/>
    <s v="12/17/2012"/>
    <x v="0"/>
    <s v=""/>
    <x v="1"/>
    <x v="1"/>
    <x v="88"/>
    <x v="88"/>
    <x v="0"/>
  </r>
  <r>
    <x v="553"/>
    <x v="89"/>
    <x v="102"/>
    <s v="USE OF SUPERSONIC COMPRESSOR FOR WATER REFRIGERANT CYCLE"/>
    <x v="410"/>
    <s v="01/23/2012"/>
    <x v="0"/>
    <s v=""/>
    <x v="1"/>
    <x v="1"/>
    <x v="88"/>
    <x v="88"/>
    <x v="0"/>
  </r>
  <r>
    <x v="554"/>
    <x v="90"/>
    <x v="102"/>
    <s v="PULSED FLOW FOR CONDENSATE REMOVAL IN MEMBRANE DEHUMIDIFICATION SYSTEM"/>
    <x v="1"/>
    <s v=""/>
    <x v="0"/>
    <s v=""/>
    <x v="1"/>
    <x v="1"/>
    <x v="89"/>
    <x v="89"/>
    <x v="0"/>
  </r>
  <r>
    <x v="555"/>
    <x v="90"/>
    <x v="102"/>
    <s v="MEMBRANE CONTACTOR FOR DEHUMIDIFICATION SYSTEMS"/>
    <x v="411"/>
    <s v="01/15/2014"/>
    <x v="162"/>
    <s v="04/12/2016"/>
    <x v="250"/>
    <x v="227"/>
    <x v="89"/>
    <x v="89"/>
    <x v="0"/>
  </r>
  <r>
    <x v="556"/>
    <x v="90"/>
    <x v="102"/>
    <s v="MEMBRANE CONTACTOR FOR DEHUMIDIFICATION SYSTEMS"/>
    <x v="412"/>
    <s v="01/17/2014"/>
    <x v="163"/>
    <s v="03/01/2016"/>
    <x v="251"/>
    <x v="228"/>
    <x v="89"/>
    <x v="89"/>
    <x v="0"/>
  </r>
  <r>
    <x v="557"/>
    <x v="90"/>
    <x v="102"/>
    <s v="MEMBRANE MODULE DESIGN FOR ENHANCED HEAT TRANSFER"/>
    <x v="1"/>
    <s v=""/>
    <x v="0"/>
    <s v=""/>
    <x v="1"/>
    <x v="1"/>
    <x v="89"/>
    <x v="89"/>
    <x v="0"/>
  </r>
  <r>
    <x v="558"/>
    <x v="90"/>
    <x v="102"/>
    <s v="VACUUM LEAK PREVENTION FOR CLOSED DESLCCANT SYSTEMS"/>
    <x v="1"/>
    <s v=""/>
    <x v="0"/>
    <s v=""/>
    <x v="1"/>
    <x v="1"/>
    <x v="89"/>
    <x v="89"/>
    <x v="0"/>
  </r>
  <r>
    <x v="559"/>
    <x v="90"/>
    <x v="102"/>
    <s v="ORIENTED MEMBRANE MODULE FOR CONDENSATE REMOVAL IN A DEHUMIDIFICATION SYSTEM"/>
    <x v="1"/>
    <s v=""/>
    <x v="0"/>
    <s v=""/>
    <x v="1"/>
    <x v="1"/>
    <x v="89"/>
    <x v="89"/>
    <x v="0"/>
  </r>
  <r>
    <x v="560"/>
    <x v="91"/>
    <x v="102"/>
    <s v="REAL-TIME PERFORMANCE SENSOR FOR VALADIUM FLOW BATTERY SYSTEM"/>
    <x v="413"/>
    <s v="06/20/2011"/>
    <x v="164"/>
    <s v="03/11/2014"/>
    <x v="252"/>
    <x v="229"/>
    <x v="90"/>
    <x v="90"/>
    <x v="0"/>
  </r>
  <r>
    <x v="561"/>
    <x v="91"/>
    <x v="102"/>
    <s v="USING SOC MEASUREMENTS TO MININIZE DECAY OF NEGATIVE ELECTRODE DECAY OF NEGATIVE ELECTRODE IN VANDIUM REDOX BATTERY"/>
    <x v="414"/>
    <s v="03/15/2013"/>
    <x v="0"/>
    <s v=""/>
    <x v="253"/>
    <x v="230"/>
    <x v="90"/>
    <x v="90"/>
    <x v="0"/>
  </r>
  <r>
    <x v="562"/>
    <x v="91"/>
    <x v="102"/>
    <s v="CONTROLLED OXIDATION FOR IMPROVED FLOW BATTERY PERFORMANCE"/>
    <x v="1"/>
    <s v=""/>
    <x v="0"/>
    <s v=""/>
    <x v="1"/>
    <x v="1"/>
    <x v="90"/>
    <x v="90"/>
    <x v="0"/>
  </r>
  <r>
    <x v="563"/>
    <x v="91"/>
    <x v="102"/>
    <s v="OPERATIONAL METHODS AND DESIGN OF A REDOX-FLOW BATTERY SYSTEM"/>
    <x v="1"/>
    <s v=""/>
    <x v="0"/>
    <s v=""/>
    <x v="1"/>
    <x v="1"/>
    <x v="90"/>
    <x v="90"/>
    <x v="0"/>
  </r>
  <r>
    <x v="564"/>
    <x v="91"/>
    <x v="102"/>
    <s v="OPERATIONAL METHODS AND DESIGN OF A REDOX-FLOW TYPE BATTERY"/>
    <x v="1"/>
    <s v=""/>
    <x v="0"/>
    <s v=""/>
    <x v="1"/>
    <x v="1"/>
    <x v="90"/>
    <x v="90"/>
    <x v="0"/>
  </r>
  <r>
    <x v="565"/>
    <x v="91"/>
    <x v="102"/>
    <s v="FLOW BATTERY STACK WITH TWO MEMBRANES"/>
    <x v="1"/>
    <s v=""/>
    <x v="0"/>
    <s v=""/>
    <x v="1"/>
    <x v="1"/>
    <x v="90"/>
    <x v="90"/>
    <x v="0"/>
  </r>
  <r>
    <x v="566"/>
    <x v="91"/>
    <x v="103"/>
    <s v="REDOX BATTERY MEMBRANE"/>
    <x v="1"/>
    <s v=""/>
    <x v="0"/>
    <s v=""/>
    <x v="1"/>
    <x v="1"/>
    <x v="90"/>
    <x v="90"/>
    <x v="0"/>
  </r>
  <r>
    <x v="567"/>
    <x v="91"/>
    <x v="102"/>
    <s v="SYSTEM AND METHOD FOR OPERATING A FLOW BATTERY SYSTEM AT AN ELEVATED TEMPERATURE"/>
    <x v="415"/>
    <s v="06/14/2011"/>
    <x v="165"/>
    <s v="07/14/2015"/>
    <x v="254"/>
    <x v="231"/>
    <x v="90"/>
    <x v="90"/>
    <x v="0"/>
  </r>
  <r>
    <x v="568"/>
    <x v="91"/>
    <x v="102"/>
    <s v="SYSTEM AND METHOD FOR SENSING AND MITIGATING HYDROGEN EVOLUTION WITHIN A FLOW BATTERY SYSTEM"/>
    <x v="413"/>
    <s v="06/20/2011"/>
    <x v="164"/>
    <s v="03/11/2014"/>
    <x v="252"/>
    <x v="229"/>
    <x v="90"/>
    <x v="90"/>
    <x v="0"/>
  </r>
  <r>
    <x v="569"/>
    <x v="91"/>
    <x v="102"/>
    <s v="REACTIVATION OF FLOW BATTERY ELECTRODE BY EXPOSURE TO OXIDIZING SOLUTION"/>
    <x v="416"/>
    <s v="03/15/2013"/>
    <x v="0"/>
    <s v=""/>
    <x v="253"/>
    <x v="230"/>
    <x v="90"/>
    <x v="90"/>
    <x v="0"/>
  </r>
  <r>
    <x v="570"/>
    <x v="91"/>
    <x v="102"/>
    <s v="EDGE CONFIGURATION TO MINIMIZE CARBON CORROSION DUE TO SHUNT CURRENTS IN VANADIUM FLOW BATTERIES"/>
    <x v="417"/>
    <s v="11/09/2012"/>
    <x v="0"/>
    <s v=""/>
    <x v="1"/>
    <x v="1"/>
    <x v="90"/>
    <x v="90"/>
    <x v="0"/>
  </r>
  <r>
    <x v="571"/>
    <x v="91"/>
    <x v="102"/>
    <s v="OPERATIONAL METHODS OF REDOX FLOW BATTERY"/>
    <x v="418"/>
    <s v="08/18/2015"/>
    <x v="0"/>
    <s v=""/>
    <x v="1"/>
    <x v="1"/>
    <x v="90"/>
    <x v="90"/>
    <x v="0"/>
  </r>
  <r>
    <x v="572"/>
    <x v="91"/>
    <x v="102"/>
    <s v="USING SOC MEASUREMENTS TO MININIZE DECAY OF NEGATIVE ELECTRODE DECAY OF NEGATIVE ELECTRODE IN VANDIUM REDOX BATTERY"/>
    <x v="419"/>
    <s v="03/15/2013"/>
    <x v="0"/>
    <s v=""/>
    <x v="1"/>
    <x v="1"/>
    <x v="90"/>
    <x v="90"/>
    <x v="0"/>
  </r>
  <r>
    <x v="573"/>
    <x v="91"/>
    <x v="102"/>
    <s v="EDGE CONFIGURATION TO MINIMIZE CARBON CORROSION DUE TO SHUNT CURRENTS IN VANADIUM FLOW BATTERIES"/>
    <x v="420"/>
    <s v="11/09/2012"/>
    <x v="0"/>
    <s v=""/>
    <x v="1"/>
    <x v="1"/>
    <x v="90"/>
    <x v="90"/>
    <x v="0"/>
  </r>
  <r>
    <x v="574"/>
    <x v="91"/>
    <x v="102"/>
    <s v="OPERATIONAL METHODS OF REDOX FLOW BATTERY"/>
    <x v="421"/>
    <s v="08/18/2015"/>
    <x v="0"/>
    <s v=""/>
    <x v="1"/>
    <x v="1"/>
    <x v="90"/>
    <x v="90"/>
    <x v="0"/>
  </r>
  <r>
    <x v="575"/>
    <x v="91"/>
    <x v="102"/>
    <s v="CARBON FIBER GARPHILIZATION TEMPERATURE THAT STABILIZES SURFACE OXIDES"/>
    <x v="422"/>
    <s v="12/23/2012"/>
    <x v="0"/>
    <s v=""/>
    <x v="1"/>
    <x v="1"/>
    <x v="90"/>
    <x v="90"/>
    <x v="0"/>
  </r>
  <r>
    <x v="576"/>
    <x v="91"/>
    <x v="102"/>
    <s v="FLOW BATTERY WITH MIXED FLOW"/>
    <x v="423"/>
    <s v="12/20/2011"/>
    <x v="0"/>
    <s v=""/>
    <x v="128"/>
    <x v="112"/>
    <x v="90"/>
    <x v="90"/>
    <x v="0"/>
  </r>
  <r>
    <x v="577"/>
    <x v="91"/>
    <x v="102"/>
    <s v="METHOD FOR OPTIMAL CONTROL OF FBS USING ADVANCED SOC MEASUREMENT"/>
    <x v="424"/>
    <s v="09/26/2013"/>
    <x v="0"/>
    <s v=""/>
    <x v="1"/>
    <x v="1"/>
    <x v="90"/>
    <x v="90"/>
    <x v="0"/>
  </r>
  <r>
    <x v="578"/>
    <x v="91"/>
    <x v="102"/>
    <s v="FLOW BATTERY FLOW FIELD HAVING VOLUME THAT IS FUNCTION OF POWER PARAMETER, TIME PARAMETER AND CONCENTRATION PARAMETER"/>
    <x v="418"/>
    <s v="09/13/2013"/>
    <x v="0"/>
    <s v=""/>
    <x v="1"/>
    <x v="1"/>
    <x v="90"/>
    <x v="90"/>
    <x v="0"/>
  </r>
  <r>
    <x v="579"/>
    <x v="91"/>
    <x v="102"/>
    <s v="REACTIVATION OF FLOW BATTERY ELECTRODE BY EXPOSURE TO OXIDIZING SOLUTION"/>
    <x v="419"/>
    <s v="03/15/2013"/>
    <x v="0"/>
    <s v=""/>
    <x v="1"/>
    <x v="1"/>
    <x v="90"/>
    <x v="90"/>
    <x v="0"/>
  </r>
  <r>
    <x v="580"/>
    <x v="91"/>
    <x v="102"/>
    <s v="FLOW BATTERY HAVING A LOW RESISTANCE MEMRANE"/>
    <x v="425"/>
    <s v="02/08/2011"/>
    <x v="0"/>
    <s v=""/>
    <x v="1"/>
    <x v="1"/>
    <x v="90"/>
    <x v="90"/>
    <x v="0"/>
  </r>
  <r>
    <x v="581"/>
    <x v="91"/>
    <x v="102"/>
    <s v="FLOW BATTERY WITH MIXED FLOW"/>
    <x v="426"/>
    <s v="01/12/2015"/>
    <x v="0"/>
    <s v=""/>
    <x v="1"/>
    <x v="1"/>
    <x v="90"/>
    <x v="90"/>
    <x v="0"/>
  </r>
  <r>
    <x v="582"/>
    <x v="91"/>
    <x v="102"/>
    <s v="FLOW BATTERY FLOW FIELD HAVING VOLUME THAT IS FUNCTION OF POWER PARAMETER, TIME PARAMETER AND CONCENTRATION PARAMETER"/>
    <x v="421"/>
    <s v="08/18/2015"/>
    <x v="0"/>
    <s v=""/>
    <x v="1"/>
    <x v="1"/>
    <x v="90"/>
    <x v="90"/>
    <x v="0"/>
  </r>
  <r>
    <x v="583"/>
    <x v="91"/>
    <x v="102"/>
    <s v="METHOD FOR OPTIMAL CONTROL OF FBS USING ADVANCED SOC MEASUREMENT"/>
    <x v="427"/>
    <s v="12/23/2013"/>
    <x v="0"/>
    <s v=""/>
    <x v="1"/>
    <x v="1"/>
    <x v="90"/>
    <x v="90"/>
    <x v="0"/>
  </r>
  <r>
    <x v="584"/>
    <x v="91"/>
    <x v="102"/>
    <s v="GRAPHITE- CONTAINING ELECTRODE AND METHOD RELATED THERETO"/>
    <x v="422"/>
    <s v="12/23/2012"/>
    <x v="0"/>
    <s v=""/>
    <x v="1"/>
    <x v="1"/>
    <x v="90"/>
    <x v="90"/>
    <x v="0"/>
  </r>
  <r>
    <x v="585"/>
    <x v="91"/>
    <x v="102"/>
    <s v="GRAPHITE- CONTAINING ELECTRODE AND METHOD RELATED THERETO"/>
    <x v="428"/>
    <d v="2012-12-23T00:00:00"/>
    <x v="0"/>
    <s v=""/>
    <x v="1"/>
    <x v="1"/>
    <x v="90"/>
    <x v="90"/>
    <x v="0"/>
  </r>
  <r>
    <x v="586"/>
    <x v="92"/>
    <x v="104"/>
    <s v="ALKALINE BATTERY OPERATIONAL METHODOLOGY"/>
    <x v="429"/>
    <s v="08/20/2014"/>
    <x v="166"/>
    <s v="08/16/2016"/>
    <x v="255"/>
    <x v="232"/>
    <x v="91"/>
    <x v="91"/>
    <x v="0"/>
  </r>
  <r>
    <x v="587"/>
    <x v="92"/>
    <x v="104"/>
    <s v="NICKEL-ZINC FLOW BATTERY"/>
    <x v="430"/>
    <s v="02/11/2012"/>
    <x v="0"/>
    <s v=""/>
    <x v="1"/>
    <x v="1"/>
    <x v="91"/>
    <x v="91"/>
    <x v="0"/>
  </r>
  <r>
    <x v="588"/>
    <x v="92"/>
    <x v="104"/>
    <s v="SECONDARY ZINC-MANGANESE DIOXIDE BATTERIES FOR  HIGH POWER APPLICATIONS"/>
    <x v="431"/>
    <s v="05/08/2015"/>
    <x v="0"/>
    <s v=""/>
    <x v="1"/>
    <x v="1"/>
    <x v="91"/>
    <x v="91"/>
    <x v="0"/>
  </r>
  <r>
    <x v="589"/>
    <x v="92"/>
    <x v="104"/>
    <s v="ACHIEVING MAXIMUM DISCHARGE CAPACITY FOR HIGHER-LOADING  MNO2 CATHODES IN RECHARGEABLE MNO2-ZN ALKALINE BATTERIES"/>
    <x v="432"/>
    <s v="02/03/2016"/>
    <x v="0"/>
    <s v=""/>
    <x v="1"/>
    <x v="1"/>
    <x v="91"/>
    <x v="91"/>
    <x v="0"/>
  </r>
  <r>
    <x v="590"/>
    <x v="92"/>
    <x v="104"/>
    <s v="NOVEL BINDERS AND SYNTHESIS ROUTES FOR MNO2 CATHODES IN HIGH PERFORMANCE RECHARGEABLE MNO2-ZN BATTERIES"/>
    <x v="433"/>
    <s v="02/03/2016"/>
    <x v="0"/>
    <s v=""/>
    <x v="1"/>
    <x v="1"/>
    <x v="91"/>
    <x v="91"/>
    <x v="0"/>
  </r>
  <r>
    <x v="591"/>
    <x v="92"/>
    <x v="104"/>
    <s v="ELECTROLYTE ADDITIVES FOR ALKALINE ZINC MANGANESE DIOXIDE (ZN-mNO2) BATTERIES FOR HIGH DEPTH OF DISCHARGE (DOD) AND C-RATES"/>
    <x v="434"/>
    <s v="02/03/2016"/>
    <x v="0"/>
    <s v=""/>
    <x v="1"/>
    <x v="1"/>
    <x v="91"/>
    <x v="91"/>
    <x v="0"/>
  </r>
  <r>
    <x v="592"/>
    <x v="92"/>
    <x v="104"/>
    <s v="A MAGNETIC SYSTEM FOR PRODUCING ELECTROLYTE FLOW IN BATTERIES"/>
    <x v="435"/>
    <s v="02/03/2016"/>
    <x v="0"/>
    <s v=""/>
    <x v="1"/>
    <x v="1"/>
    <x v="91"/>
    <x v="91"/>
    <x v="0"/>
  </r>
  <r>
    <x v="593"/>
    <x v="92"/>
    <x v="104"/>
    <s v="METHOD FOR CONTROLLING LARGE STRINGS OF BATTERY CELLS USING ADAPTIVE MODELS"/>
    <x v="436"/>
    <s v="02/03/2016"/>
    <x v="0"/>
    <s v=""/>
    <x v="1"/>
    <x v="1"/>
    <x v="91"/>
    <x v="91"/>
    <x v="0"/>
  </r>
  <r>
    <x v="594"/>
    <x v="92"/>
    <x v="104"/>
    <s v="ORGANIC-INORGANIC COMPOSITE ELECTRODES FOR ELECTRICAL ENERGY STORAGE"/>
    <x v="437"/>
    <s v="02/03/2016"/>
    <x v="0"/>
    <s v=""/>
    <x v="1"/>
    <x v="1"/>
    <x v="91"/>
    <x v="91"/>
    <x v="0"/>
  </r>
  <r>
    <x v="595"/>
    <x v="92"/>
    <x v="104"/>
    <s v="DEVELOPMENT OF NOVEL MATERIALS AND ARCHITECTURES FOR LOW COST ELECTROCHEMICAL ENERGY STORAGE SYSTEMS"/>
    <x v="438"/>
    <s v="02/03/2016"/>
    <x v="0"/>
    <s v=""/>
    <x v="1"/>
    <x v="1"/>
    <x v="91"/>
    <x v="91"/>
    <x v="0"/>
  </r>
  <r>
    <x v="596"/>
    <x v="92"/>
    <x v="104"/>
    <s v="LOW-COST FLOW-ASSISTED ZINC MANGANESE DIOXIDE ALKALINE STORAGE BATTERY"/>
    <x v="439"/>
    <s v="02/03/2016"/>
    <x v="0"/>
    <s v=""/>
    <x v="1"/>
    <x v="1"/>
    <x v="91"/>
    <x v="91"/>
    <x v="0"/>
  </r>
  <r>
    <x v="597"/>
    <x v="92"/>
    <x v="104"/>
    <s v="EFFECT OF POLYANILINE COATING ON MEMBRANES/ELECTRODES TO IMMOBILIZE ZINCATE IONS TO ACHIEVE HIGHER ENERGY DENSITY  IN RECHARGEABLE ALKALINE CELLS"/>
    <x v="440"/>
    <s v="02/03/2016"/>
    <x v="0"/>
    <s v=""/>
    <x v="1"/>
    <x v="1"/>
    <x v="91"/>
    <x v="91"/>
    <x v="0"/>
  </r>
  <r>
    <x v="598"/>
    <x v="92"/>
    <x v="104"/>
    <s v="ADVANCED NEGATIVE ZINC ELECTRODES FOR LONG LASTINGRECHARGEABLE ALKALINE BATTERIES WITH HIGH SPECIFIC ENERGY"/>
    <x v="441"/>
    <s v="02/03/2016"/>
    <x v="0"/>
    <s v=""/>
    <x v="1"/>
    <x v="1"/>
    <x v="91"/>
    <x v="91"/>
    <x v="0"/>
  </r>
  <r>
    <x v="599"/>
    <x v="92"/>
    <x v="104"/>
    <s v="RECHARGEABLE ALKALINE MANGANESE DIOXIDE-ZINC BIPOLAR BATTERIES"/>
    <x v="442"/>
    <s v="02/03/2016"/>
    <x v="0"/>
    <s v=""/>
    <x v="1"/>
    <x v="1"/>
    <x v="91"/>
    <x v="91"/>
    <x v="0"/>
  </r>
  <r>
    <x v="600"/>
    <x v="92"/>
    <x v="104"/>
    <s v="ELECTROLYTE VELOCITY OPTIMIZATION IN FLOW-ASSISTED RECHARGEABLE BATTERIES, AND THE DEVICE TO OPTIMIZE THE VELOCITY BASED ON THE COULOMB PASSED AND CURRENT DENSITY"/>
    <x v="443"/>
    <s v="02/03/2016"/>
    <x v="0"/>
    <s v=""/>
    <x v="1"/>
    <x v="1"/>
    <x v="91"/>
    <x v="91"/>
    <x v="0"/>
  </r>
  <r>
    <x v="601"/>
    <x v="92"/>
    <x v="104"/>
    <s v="SECONDARY ZINC-MANGANESE DIOXIDE BATTERIES FOR HIGH POWER APPLICATIONS"/>
    <x v="444"/>
    <s v="02/03/2016"/>
    <x v="0"/>
    <s v=""/>
    <x v="1"/>
    <x v="1"/>
    <x v="91"/>
    <x v="91"/>
    <x v="0"/>
  </r>
  <r>
    <x v="602"/>
    <x v="92"/>
    <x v="104"/>
    <s v="NOVEL, FREESTANDING MANGANESE DIOXIDE CATHODES FOR ALKALINE BATTERIES"/>
    <x v="445"/>
    <s v="02/03/2016"/>
    <x v="0"/>
    <s v=""/>
    <x v="1"/>
    <x v="1"/>
    <x v="91"/>
    <x v="91"/>
    <x v="0"/>
  </r>
  <r>
    <x v="603"/>
    <x v="92"/>
    <x v="104"/>
    <s v="DEVELOPMENT OF NOVEL MATERIALS AND ARCHITECTURES FOR LOW COST ELECTROCHEMICAL ENERGY STORAGE SYSTEMS"/>
    <x v="438"/>
    <s v="02/03/2016"/>
    <x v="0"/>
    <s v=""/>
    <x v="1"/>
    <x v="1"/>
    <x v="91"/>
    <x v="91"/>
    <x v="0"/>
  </r>
  <r>
    <x v="604"/>
    <x v="93"/>
    <x v="105"/>
    <s v="STATORS WITH RECONFIGURABLE COIL PATHS"/>
    <x v="446"/>
    <s v="05/10/2011"/>
    <x v="167"/>
    <s v="08/12/2014"/>
    <x v="256"/>
    <x v="233"/>
    <x v="92"/>
    <x v="92"/>
    <x v="0"/>
  </r>
  <r>
    <x v="605"/>
    <x v="93"/>
    <x v="105"/>
    <s v="LOW COST, VACUUM ASSISTED FIBERGLASS PRODUCTION"/>
    <x v="1"/>
    <s v=""/>
    <x v="0"/>
    <s v=""/>
    <x v="1"/>
    <x v="1"/>
    <x v="92"/>
    <x v="92"/>
    <x v="0"/>
  </r>
  <r>
    <x v="606"/>
    <x v="94"/>
    <x v="106"/>
    <s v="HUB-LESS FLYWHEEL ENERGY STORAGE DEVICE"/>
    <x v="1"/>
    <s v=""/>
    <x v="0"/>
    <s v=""/>
    <x v="1"/>
    <x v="1"/>
    <x v="93"/>
    <x v="93"/>
    <x v="0"/>
  </r>
  <r>
    <x v="607"/>
    <x v="95"/>
    <x v="53"/>
    <s v="SOFT MAGNETIC PHASE NANOPARTICLES PREPARATIONS AND ASSOCIATED METHODS THEREOF"/>
    <x v="447"/>
    <s v="03/07/2013"/>
    <x v="168"/>
    <s v="02/21/2016"/>
    <x v="257"/>
    <x v="234"/>
    <x v="94"/>
    <x v="94"/>
    <x v="0"/>
  </r>
  <r>
    <x v="608"/>
    <x v="95"/>
    <x v="53"/>
    <s v="NANOCOMPOSITE PERMANENT MAGNET AND METHODS FOR MAKING THE SAME"/>
    <x v="448"/>
    <s v="06/29/2012"/>
    <x v="169"/>
    <s v="06/21/2016"/>
    <x v="258"/>
    <x v="235"/>
    <x v="94"/>
    <x v="94"/>
    <x v="0"/>
  </r>
  <r>
    <x v="609"/>
    <x v="95"/>
    <x v="53"/>
    <s v="NANOCOMPOSITE PERMANENT MAGNET PRODUCED FROM DUAL-PHASE NANOFLAKES"/>
    <x v="449"/>
    <s v="11/27/2013"/>
    <x v="0"/>
    <s v=""/>
    <x v="1"/>
    <x v="1"/>
    <x v="94"/>
    <x v="94"/>
    <x v="0"/>
  </r>
  <r>
    <x v="610"/>
    <x v="96"/>
    <x v="107"/>
    <s v="CLOSTRIDIUM LJUNGDAHLII STRAIN CAPABLE OF BUTYRATE PRODUCTION FROM CARBON DIOXIDE AND FOR NOVEL GENETIC TOOLS FOR CLOSTRIDIUM LJUNGDAHLII"/>
    <x v="1"/>
    <s v=""/>
    <x v="0"/>
    <s v=""/>
    <x v="1"/>
    <x v="1"/>
    <x v="50"/>
    <x v="50"/>
    <x v="0"/>
  </r>
  <r>
    <x v="611"/>
    <x v="97"/>
    <x v="108"/>
    <s v="SUPERCRITICAL FLUIDS, SYSTEMS AND METHODS FOR USE"/>
    <x v="450"/>
    <s v="11/27/2012"/>
    <x v="0"/>
    <s v=""/>
    <x v="1"/>
    <x v="1"/>
    <x v="95"/>
    <x v="95"/>
    <x v="0"/>
  </r>
  <r>
    <x v="612"/>
    <x v="98"/>
    <x v="109"/>
    <s v="FLOW CONTROL SYSTEMS AND METHODS FOR A PHASE CHANGE MATERIAL SOLAR RECEIVER"/>
    <x v="451"/>
    <s v="12/19/2013"/>
    <x v="0"/>
    <s v=""/>
    <x v="1"/>
    <x v="1"/>
    <x v="96"/>
    <x v="96"/>
    <x v="0"/>
  </r>
  <r>
    <x v="613"/>
    <x v="98"/>
    <x v="109"/>
    <s v="METAL REMELTING AND ELECTRICAL POWER GENERATION WITH CONCENTRATED SOLAR POWER"/>
    <x v="452"/>
    <s v="12/20/2013"/>
    <x v="0"/>
    <s v=""/>
    <x v="1"/>
    <x v="1"/>
    <x v="96"/>
    <x v="96"/>
    <x v="0"/>
  </r>
  <r>
    <x v="614"/>
    <x v="98"/>
    <x v="109"/>
    <s v="APPARATUS, METHODS, AND SYSTEMS FOR RECOVERING HEAT FROM A METAL CASTING PROCESS"/>
    <x v="453"/>
    <s v="12/20/2013"/>
    <x v="0"/>
    <s v=""/>
    <x v="1"/>
    <x v="1"/>
    <x v="96"/>
    <x v="96"/>
    <x v="0"/>
  </r>
  <r>
    <x v="615"/>
    <x v="98"/>
    <x v="109"/>
    <s v="CONCENTRATING SOLAR POWER METHODS AND SYSTEMS WITH LIQUID-SOLID PHASE CHANGE MATERIAL FOR HEAT TRANSFER"/>
    <x v="454"/>
    <s v="07/03/2012"/>
    <x v="0"/>
    <s v=""/>
    <x v="1"/>
    <x v="1"/>
    <x v="96"/>
    <x v="96"/>
    <x v="0"/>
  </r>
  <r>
    <x v="616"/>
    <x v="99"/>
    <x v="110"/>
    <s v="LIGHT METAL SOLID SOLUTION ALOYS FOR HYDROGEN STORAGE"/>
    <x v="1"/>
    <s v=""/>
    <x v="0"/>
    <s v=""/>
    <x v="1"/>
    <x v="1"/>
    <x v="97"/>
    <x v="97"/>
    <x v="0"/>
  </r>
  <r>
    <x v="617"/>
    <x v="99"/>
    <x v="111"/>
    <s v="A CLIMATE CONTROL SYSTEM AND ASSOCIATED METHODS"/>
    <x v="455"/>
    <s v="10/21/2015"/>
    <x v="0"/>
    <s v=""/>
    <x v="144"/>
    <x v="129"/>
    <x v="97"/>
    <x v="97"/>
    <x v="0"/>
  </r>
  <r>
    <x v="618"/>
    <x v="99"/>
    <x v="111"/>
    <s v="A CLIMATE CONTROL SYSTEM AND ASSOCIATED METHODS"/>
    <x v="456"/>
    <s v="04/12/2017"/>
    <x v="0"/>
    <s v=""/>
    <x v="1"/>
    <x v="1"/>
    <x v="97"/>
    <x v="97"/>
    <x v="0"/>
  </r>
  <r>
    <x v="619"/>
    <x v="100"/>
    <x v="112"/>
    <s v="GRAPHITIC MATRIXES WITH RATIONALLY DESIGNED MICROSCOPIC STRUCTURE, USES THEREOF AND METHODS OF MAKING"/>
    <x v="1"/>
    <s v=""/>
    <x v="0"/>
    <s v=""/>
    <x v="1"/>
    <x v="1"/>
    <x v="98"/>
    <x v="98"/>
    <x v="0"/>
  </r>
  <r>
    <x v="620"/>
    <x v="100"/>
    <x v="112"/>
    <s v="SUGAR ALCOHOL BEND WITH HIGH LATENT HEAT"/>
    <x v="1"/>
    <s v=""/>
    <x v="0"/>
    <s v=""/>
    <x v="1"/>
    <x v="1"/>
    <x v="98"/>
    <x v="98"/>
    <x v="0"/>
  </r>
  <r>
    <x v="621"/>
    <x v="100"/>
    <x v="112"/>
    <s v="CARBON FOAM/CARBON NANOTUBE HYBRID MATERIAL AND METHODS FOR THIER SYNTHESIS AND USE"/>
    <x v="1"/>
    <s v=""/>
    <x v="0"/>
    <s v=""/>
    <x v="1"/>
    <x v="1"/>
    <x v="98"/>
    <x v="98"/>
    <x v="0"/>
  </r>
  <r>
    <x v="622"/>
    <x v="100"/>
    <x v="112"/>
    <s v="VERY LOW VISCOSITY, HIGH STABILITY LIQUID GLASS FOR HEAT TRANSFER AND THERMAL ENERGY STORAGE"/>
    <x v="457"/>
    <s v="11/08/2012"/>
    <x v="0"/>
    <s v=""/>
    <x v="1"/>
    <x v="1"/>
    <x v="98"/>
    <x v="98"/>
    <x v="0"/>
  </r>
  <r>
    <x v="623"/>
    <x v="100"/>
    <x v="112"/>
    <s v="VERY LOW VISCOSITY, HIGH STABILITY LIQUID GLASS FOR HEAT TRANSFER AND THERMAL ENERGY STORAGE"/>
    <x v="458"/>
    <s v="11/16/2012"/>
    <x v="0"/>
    <s v=""/>
    <x v="1"/>
    <x v="1"/>
    <x v="98"/>
    <x v="98"/>
    <x v="0"/>
  </r>
  <r>
    <x v="624"/>
    <x v="100"/>
    <x v="112"/>
    <s v="VERY LOW VISCOSITY, HIGH STABILITY LIQUID GLASS FOR HEAT TRANSFER AND THERMAL ENERGY STORAGE"/>
    <x v="459"/>
    <s v="10/15/2012"/>
    <x v="0"/>
    <s v=""/>
    <x v="1"/>
    <x v="1"/>
    <x v="98"/>
    <x v="98"/>
    <x v="0"/>
  </r>
  <r>
    <x v="625"/>
    <x v="100"/>
    <x v="112"/>
    <s v="ADVANCED MOLTEN GLASS FOR HEAT TRANSFER AND THERMAL ENERGY STORAGE"/>
    <x v="460"/>
    <s v="02/27/2012"/>
    <x v="0"/>
    <s v=""/>
    <x v="1"/>
    <x v="1"/>
    <x v="98"/>
    <x v="98"/>
    <x v="0"/>
  </r>
  <r>
    <x v="626"/>
    <x v="100"/>
    <x v="112"/>
    <s v="ADVANCED MOLTEN GLASS FOR HEAT TRANSFER AND THERMAL ENERGY STORAGE"/>
    <x v="461"/>
    <s v="02/27/2012"/>
    <x v="0"/>
    <s v=""/>
    <x v="1"/>
    <x v="1"/>
    <x v="98"/>
    <x v="98"/>
    <x v="0"/>
  </r>
  <r>
    <x v="627"/>
    <x v="101"/>
    <x v="90"/>
    <s v="THERMOELECTRIC CLIMATE CONTROL SYSTEM WITH THERMAL STORAGE"/>
    <x v="462"/>
    <s v=""/>
    <x v="0"/>
    <s v=""/>
    <x v="1"/>
    <x v="1"/>
    <x v="78"/>
    <x v="78"/>
    <x v="0"/>
  </r>
  <r>
    <x v="628"/>
    <x v="102"/>
    <x v="113"/>
    <s v="HIGHLY SELECTIVE CO2 UPTAKE IN UNINODAL 6-CONNECTED NETS BASED UPON MO42-(M=CR, MO) PILLARS"/>
    <x v="1"/>
    <s v=""/>
    <x v="0"/>
    <s v=""/>
    <x v="1"/>
    <x v="1"/>
    <x v="62"/>
    <x v="62"/>
    <x v="0"/>
  </r>
  <r>
    <x v="629"/>
    <x v="103"/>
    <x v="114"/>
    <s v="THERMAL STORAGE PHASE CHANGE MATERIAL COMPOSITES"/>
    <x v="1"/>
    <s v=""/>
    <x v="0"/>
    <s v=""/>
    <x v="1"/>
    <x v="1"/>
    <x v="99"/>
    <x v="99"/>
    <x v="0"/>
  </r>
  <r>
    <x v="630"/>
    <x v="103"/>
    <x v="114"/>
    <s v="THERMAL STORAGE UNITS, COMPONENTS THEREOF, AND METHODS OF MAKING AND USING THEM"/>
    <x v="1"/>
    <s v=""/>
    <x v="0"/>
    <s v=""/>
    <x v="1"/>
    <x v="1"/>
    <x v="99"/>
    <x v="99"/>
    <x v="0"/>
  </r>
  <r>
    <x v="631"/>
    <x v="103"/>
    <x v="114"/>
    <s v="THERMAL STORAGE  UNITS COMPONENTS THEREOF, AND METHODS OF MAKING AND USING THEM"/>
    <x v="463"/>
    <s v="07/09/2018"/>
    <x v="0"/>
    <s v=""/>
    <x v="1"/>
    <x v="1"/>
    <x v="99"/>
    <x v="99"/>
    <x v="0"/>
  </r>
  <r>
    <x v="632"/>
    <x v="103"/>
    <x v="114"/>
    <s v="THERMAL STORAGE  UNITS COMPONENTS THEREOF, AND METHODS OF MAKING AND USING THEM"/>
    <x v="464"/>
    <s v="08/29/2014"/>
    <x v="0"/>
    <s v=""/>
    <x v="259"/>
    <x v="236"/>
    <x v="99"/>
    <x v="99"/>
    <x v="0"/>
  </r>
  <r>
    <x v="633"/>
    <x v="103"/>
    <x v="114"/>
    <s v="THERMAL STORAGE  UNITS COMPONENTS THEREOF, AND METHODS"/>
    <x v="465"/>
    <s v="08/29/2014"/>
    <x v="0"/>
    <s v=""/>
    <x v="1"/>
    <x v="1"/>
    <x v="99"/>
    <x v="99"/>
    <x v="0"/>
  </r>
  <r>
    <x v="634"/>
    <x v="104"/>
    <x v="113"/>
    <s v="THERMAL ENERGY STORAGE SYSTEMS AND METHODS"/>
    <x v="1"/>
    <s v=""/>
    <x v="0"/>
    <s v=""/>
    <x v="1"/>
    <x v="1"/>
    <x v="100"/>
    <x v="100"/>
    <x v="0"/>
  </r>
  <r>
    <x v="635"/>
    <x v="104"/>
    <x v="113"/>
    <s v="ENCAPSULATION OF PHASE CHANGE MATERIALS FOR HIGH TEMPERATURE THERMAL ENERGY STORAGE"/>
    <x v="466"/>
    <s v="06/16/2015"/>
    <x v="170"/>
    <s v="01/30/2018"/>
    <x v="260"/>
    <x v="237"/>
    <x v="100"/>
    <x v="100"/>
    <x v="0"/>
  </r>
  <r>
    <x v="636"/>
    <x v="104"/>
    <x v="113"/>
    <s v="ENCAPSULATION OF PHASE CHANGE MATERIALS FOR HIGH TEMPERATURE THERMAL ENERGY STORAGE"/>
    <x v="467"/>
    <s v="01/05/2018"/>
    <x v="0"/>
    <s v=""/>
    <x v="1"/>
    <x v="1"/>
    <x v="100"/>
    <x v="100"/>
    <x v="0"/>
  </r>
  <r>
    <x v="637"/>
    <x v="105"/>
    <x v="37"/>
    <s v="MOLECULAR ARCHITECTURAL STRATEGY FOR INCREASED MATERIAL ENERGY STORAGE"/>
    <x v="1"/>
    <s v=""/>
    <x v="0"/>
    <s v=""/>
    <x v="1"/>
    <x v="1"/>
    <x v="101"/>
    <x v="101"/>
    <x v="0"/>
  </r>
  <r>
    <x v="638"/>
    <x v="105"/>
    <x v="37"/>
    <s v="SCALABLE METHOD FOR INCREASING VISIBLE ABSORPTION AND ELECTRICAL CONDUCTIVITY OF AS-SYNTHESIZED GRAPHENE OXIDE SHEETS FOR OPTOELECTORNICS, PHOTONICS, AND ENERGY CONVERSION AND STORAGE"/>
    <x v="468"/>
    <s v=""/>
    <x v="171"/>
    <s v=""/>
    <x v="261"/>
    <x v="238"/>
    <x v="101"/>
    <x v="101"/>
    <x v="0"/>
  </r>
  <r>
    <x v="639"/>
    <x v="105"/>
    <x v="38"/>
    <s v="INFLATABLE COMPOUND PARABOLIC CONCENTRATOR (SOLAR CONCENTRATOR)"/>
    <x v="1"/>
    <s v=""/>
    <x v="0"/>
    <s v=""/>
    <x v="1"/>
    <x v="1"/>
    <x v="101"/>
    <x v="101"/>
    <x v="0"/>
  </r>
  <r>
    <x v="640"/>
    <x v="105"/>
    <x v="38"/>
    <s v="SOLAR COOKER BASED ON RECHARGEABLE THERMAL FUELS"/>
    <x v="1"/>
    <s v=""/>
    <x v="0"/>
    <s v=""/>
    <x v="1"/>
    <x v="1"/>
    <x v="101"/>
    <x v="101"/>
    <x v="0"/>
  </r>
  <r>
    <x v="641"/>
    <x v="105"/>
    <x v="37"/>
    <s v="SCALABLE METHOD FOR INCREASING VISIBLE ABSORPTION AND ELECTRICAL CONDUCTIVITY OF AS-SYNTHESIZED GRAPHENE OXIDE SHEETS FOR OPTOELECTORNICS, PHOTONICS, AND ENERGY CONVERSION AND STORAGE"/>
    <x v="469"/>
    <s v="05/01/2014"/>
    <x v="0"/>
    <s v=""/>
    <x v="97"/>
    <x v="82"/>
    <x v="101"/>
    <x v="101"/>
    <x v="0"/>
  </r>
  <r>
    <x v="642"/>
    <x v="106"/>
    <x v="37"/>
    <s v="LARGE LATENT HEAT IN AL -SI SYSTEM WITH ADDITION OF OTHER ELEMENTS FOR HEAT STORAGE APPLICATIONS"/>
    <x v="470"/>
    <s v="10/22/2013"/>
    <x v="0"/>
    <s v=""/>
    <x v="1"/>
    <x v="1"/>
    <x v="102"/>
    <x v="102"/>
    <x v="0"/>
  </r>
  <r>
    <x v="643"/>
    <x v="107"/>
    <x v="115"/>
    <s v="DIRECTLY-IRRADIATED TWO-ZONE SOLAR THEROCHEMICAL REACTOR FOR H20/CO2 SPLITTING"/>
    <x v="1"/>
    <s v=""/>
    <x v="0"/>
    <s v=""/>
    <x v="1"/>
    <x v="1"/>
    <x v="103"/>
    <x v="103"/>
    <x v="0"/>
  </r>
  <r>
    <x v="644"/>
    <x v="107"/>
    <x v="115"/>
    <s v="NITROGEN DIFFUSION METHOD USING UREA FOR BULK FE-N MATERIAL PREPARATION"/>
    <x v="1"/>
    <s v=""/>
    <x v="0"/>
    <s v=""/>
    <x v="1"/>
    <x v="1"/>
    <x v="103"/>
    <x v="103"/>
    <x v="0"/>
  </r>
  <r>
    <x v="645"/>
    <x v="107"/>
    <x v="115"/>
    <s v="INTEGRATED REACTIVE ELEMENT/HEAT EXCHANGER ASSEMBLY FOR THERMOCHEMICAL REACTOR SYSTEMS"/>
    <x v="1"/>
    <s v=""/>
    <x v="0"/>
    <s v=""/>
    <x v="1"/>
    <x v="1"/>
    <x v="103"/>
    <x v="103"/>
    <x v="0"/>
  </r>
  <r>
    <x v="646"/>
    <x v="107"/>
    <x v="115"/>
    <s v="DIRECTLY-IRRADIATED TWO-ZONE SOLAR THERMOCHEMICAL REACTOR FOR H20/CO2 SPLITTING"/>
    <x v="1"/>
    <s v=""/>
    <x v="0"/>
    <s v=""/>
    <x v="1"/>
    <x v="1"/>
    <x v="103"/>
    <x v="103"/>
    <x v="0"/>
  </r>
  <r>
    <x v="647"/>
    <x v="107"/>
    <x v="115"/>
    <s v="HIGH FIELD SYNTHESIS AND PROCESSING OF FE-N MAGNETS FOR IMPROVED PROPERTIES"/>
    <x v="1"/>
    <s v=""/>
    <x v="0"/>
    <s v=""/>
    <x v="1"/>
    <x v="1"/>
    <x v="103"/>
    <x v="103"/>
    <x v="0"/>
  </r>
  <r>
    <x v="648"/>
    <x v="107"/>
    <x v="115"/>
    <s v="FE-C-N NANOCOMPOSITES "/>
    <x v="1"/>
    <s v=""/>
    <x v="0"/>
    <s v=""/>
    <x v="1"/>
    <x v="1"/>
    <x v="103"/>
    <x v="103"/>
    <x v="0"/>
  </r>
  <r>
    <x v="649"/>
    <x v="107"/>
    <x v="24"/>
    <s v="MEMBRANE REACTOR FOR THERMOCHEMICALY DRIVEN FUEL PRODUCTION     "/>
    <x v="1"/>
    <s v=""/>
    <x v="0"/>
    <s v=""/>
    <x v="1"/>
    <x v="1"/>
    <x v="103"/>
    <x v="103"/>
    <x v="0"/>
  </r>
  <r>
    <x v="650"/>
    <x v="107"/>
    <x v="115"/>
    <s v="EXCHANGE-SPRING Fe16N2-Fe8N NANOCMPOSITE  PERMANANET MAGNET USING ION IMPLANTATION               "/>
    <x v="1"/>
    <s v=""/>
    <x v="0"/>
    <s v=""/>
    <x v="1"/>
    <x v="1"/>
    <x v="103"/>
    <x v="103"/>
    <x v="0"/>
  </r>
  <r>
    <x v="651"/>
    <x v="107"/>
    <x v="115"/>
    <s v="CONTINUOUS FABRICATION METHOD FOR Fe16N2 PERMANENT MAGNET MASS PRODUCTION             "/>
    <x v="1"/>
    <s v=""/>
    <x v="0"/>
    <s v=""/>
    <x v="1"/>
    <x v="1"/>
    <x v="103"/>
    <x v="103"/>
    <x v="0"/>
  </r>
  <r>
    <x v="652"/>
    <x v="107"/>
    <x v="115"/>
    <s v="IRON NITRIDE PERMANENT MAGNET WITH FeN MIXTURE AS PRECURSOR, DOPING METHOD AND PHASE STABILIZER        "/>
    <x v="1"/>
    <s v=""/>
    <x v="0"/>
    <s v=""/>
    <x v="1"/>
    <x v="1"/>
    <x v="103"/>
    <x v="103"/>
    <x v="0"/>
  </r>
  <r>
    <x v="653"/>
    <x v="107"/>
    <x v="115"/>
    <s v="THERMOCHEMICAL REACTOR SYSTEMS AND METHODS"/>
    <x v="471"/>
    <s v="11/21/2012"/>
    <x v="0"/>
    <s v=""/>
    <x v="1"/>
    <x v="1"/>
    <x v="103"/>
    <x v="103"/>
    <x v="0"/>
  </r>
  <r>
    <x v="654"/>
    <x v="107"/>
    <x v="115"/>
    <s v="TECHNIQUES FOR FORMING IRON NITRIDE MAGNETS"/>
    <x v="472"/>
    <s v="06/27/2013"/>
    <x v="0"/>
    <s v=""/>
    <x v="1"/>
    <x v="1"/>
    <x v="103"/>
    <x v="103"/>
    <x v="0"/>
  </r>
  <r>
    <x v="655"/>
    <x v="107"/>
    <x v="115"/>
    <s v="TECHNIQUES FOR FORMING IRON NITRIDE MATERIAL   "/>
    <x v="473"/>
    <s v="06/24/2014"/>
    <x v="0"/>
    <s v=""/>
    <x v="139"/>
    <x v="123"/>
    <x v="103"/>
    <x v="103"/>
    <x v="0"/>
  </r>
  <r>
    <x v="656"/>
    <x v="107"/>
    <x v="115"/>
    <s v="TECHNIQUES FOR FORMING IRON NITRIDE WIRE AND CONSOLIDATING THE SAME"/>
    <x v="474"/>
    <s v="06/24/2014"/>
    <x v="0"/>
    <s v=""/>
    <x v="1"/>
    <x v="1"/>
    <x v="103"/>
    <x v="103"/>
    <x v="0"/>
  </r>
  <r>
    <x v="657"/>
    <x v="107"/>
    <x v="115"/>
    <s v="IRON NITRIDE PERMANENT MAGNET AND TECHNIQUE FOR FORMING IRON NITRIDE PERMANENT MAGNET"/>
    <x v="475"/>
    <s v="02/07/2013"/>
    <x v="0"/>
    <s v=""/>
    <x v="1"/>
    <x v="1"/>
    <x v="103"/>
    <x v="103"/>
    <x v="0"/>
  </r>
  <r>
    <x v="658"/>
    <x v="108"/>
    <x v="102"/>
    <s v="SORBENT PREPARATION USE"/>
    <x v="1"/>
    <s v=""/>
    <x v="0"/>
    <s v=""/>
    <x v="1"/>
    <x v="1"/>
    <x v="104"/>
    <x v="104"/>
    <x v="0"/>
  </r>
  <r>
    <x v="659"/>
    <x v="108"/>
    <x v="102"/>
    <s v="ELASTICALLY LOADED ADSORBENT BED FOR THERMOCHEMICAL PROCESS"/>
    <x v="1"/>
    <s v=""/>
    <x v="0"/>
    <s v=""/>
    <x v="1"/>
    <x v="1"/>
    <x v="104"/>
    <x v="104"/>
    <x v="0"/>
  </r>
  <r>
    <x v="660"/>
    <x v="108"/>
    <x v="102"/>
    <s v="CYLINDRICAL THERMAL STORAGE TANK WITH VOLUME DISPLACEMENT"/>
    <x v="1"/>
    <s v=""/>
    <x v="0"/>
    <s v=""/>
    <x v="1"/>
    <x v="1"/>
    <x v="104"/>
    <x v="104"/>
    <x v="0"/>
  </r>
  <r>
    <x v="661"/>
    <x v="108"/>
    <x v="102"/>
    <s v="REFRIGERANT FUELED FUEL CELL POWER SYSTEM FOR TRANSPORT REFRIGERATION"/>
    <x v="1"/>
    <s v=""/>
    <x v="0"/>
    <s v=""/>
    <x v="1"/>
    <x v="1"/>
    <x v="104"/>
    <x v="104"/>
    <x v="0"/>
  </r>
  <r>
    <x v="662"/>
    <x v="108"/>
    <x v="102"/>
    <s v="FLEXIBLE CONTAINMENT OF SORBENT MATERIAL IN CONTACT WITH HEAT EXCHANGE SURFACE"/>
    <x v="1"/>
    <s v=""/>
    <x v="0"/>
    <s v=""/>
    <x v="1"/>
    <x v="1"/>
    <x v="104"/>
    <x v="104"/>
    <x v="0"/>
  </r>
  <r>
    <x v="663"/>
    <x v="108"/>
    <x v="102"/>
    <s v="HYBRID ADSORPTION COMPRESSION THERMAL STORAGE SYSYTEM WITH TWO REFRIGERANT COMPRESSORS"/>
    <x v="1"/>
    <s v=""/>
    <x v="0"/>
    <s v=""/>
    <x v="1"/>
    <x v="1"/>
    <x v="104"/>
    <x v="104"/>
    <x v="0"/>
  </r>
  <r>
    <x v="664"/>
    <x v="108"/>
    <x v="102"/>
    <s v="SUBCOOLING HEAT EXCHANGER FOR HYBRID ADSORPTION COMPRESSION THERMAL STORAGE SYSYTEM"/>
    <x v="1"/>
    <s v=""/>
    <x v="0"/>
    <s v=""/>
    <x v="1"/>
    <x v="1"/>
    <x v="104"/>
    <x v="104"/>
    <x v="0"/>
  </r>
  <r>
    <x v="665"/>
    <x v="108"/>
    <x v="102"/>
    <s v="ADSORBENT WITH OPTIMIZED HEAT OF ADSORPTION OF REFRIGERANT"/>
    <x v="1"/>
    <s v=""/>
    <x v="0"/>
    <s v=""/>
    <x v="1"/>
    <x v="1"/>
    <x v="104"/>
    <x v="104"/>
    <x v="0"/>
  </r>
  <r>
    <x v="666"/>
    <x v="108"/>
    <x v="102"/>
    <s v="ADSORBENT WITH STRUCTURED FINS TO IMPROVE HEAT TRANSFER"/>
    <x v="1"/>
    <s v=""/>
    <x v="0"/>
    <s v=""/>
    <x v="1"/>
    <x v="1"/>
    <x v="104"/>
    <x v="104"/>
    <x v="0"/>
  </r>
  <r>
    <x v="667"/>
    <x v="108"/>
    <x v="102"/>
    <s v="MULTIPLE CORE ADSORPTION SUBCOOLER"/>
    <x v="1"/>
    <s v=""/>
    <x v="0"/>
    <s v=""/>
    <x v="1"/>
    <x v="1"/>
    <x v="104"/>
    <x v="104"/>
    <x v="0"/>
  </r>
  <r>
    <x v="668"/>
    <x v="108"/>
    <x v="102"/>
    <s v="INTEGRATED CONDENSER-ADSORBER THERMAL STORAGE UNIT WITH VOLUME DISPLACEMENT"/>
    <x v="1"/>
    <s v=""/>
    <x v="0"/>
    <s v=""/>
    <x v="1"/>
    <x v="1"/>
    <x v="104"/>
    <x v="104"/>
    <x v="0"/>
  </r>
  <r>
    <x v="669"/>
    <x v="108"/>
    <x v="102"/>
    <s v="THERMAL STORAGE UNIT WITH MODULAR DESIGN AND VOLUME DISPLACEMENT"/>
    <x v="1"/>
    <s v=""/>
    <x v="0"/>
    <s v=""/>
    <x v="1"/>
    <x v="1"/>
    <x v="104"/>
    <x v="104"/>
    <x v="0"/>
  </r>
  <r>
    <x v="670"/>
    <x v="108"/>
    <x v="102"/>
    <s v="REFRIGERANT SUBCOOLING ARRANGEMENT FOR HYBRID ADSORPTION THERMAL STORAGE SYSTEM"/>
    <x v="1"/>
    <s v=""/>
    <x v="0"/>
    <s v=""/>
    <x v="1"/>
    <x v="1"/>
    <x v="104"/>
    <x v="104"/>
    <x v="0"/>
  </r>
  <r>
    <x v="671"/>
    <x v="108"/>
    <x v="102"/>
    <s v="THERMAL ENERGY STORAGE SYSTEM WITH ENHANCED WASTE HEAT CAPTURE CAPACITY"/>
    <x v="1"/>
    <s v=""/>
    <x v="0"/>
    <s v=""/>
    <x v="1"/>
    <x v="1"/>
    <x v="104"/>
    <x v="104"/>
    <x v="0"/>
  </r>
  <r>
    <x v="672"/>
    <x v="108"/>
    <x v="102"/>
    <s v="EFFICIENT HYDROGEN AND THERMAL ENERGY STORAGE"/>
    <x v="1"/>
    <s v=""/>
    <x v="0"/>
    <s v=""/>
    <x v="1"/>
    <x v="1"/>
    <x v="104"/>
    <x v="104"/>
    <x v="0"/>
  </r>
  <r>
    <x v="673"/>
    <x v="108"/>
    <x v="102"/>
    <s v="MULTI-PRESSURE ADSORBER ARRANGEMENT FOR HYDRID ADSORPTION THERMAL STORAGE SYSTEM"/>
    <x v="1"/>
    <s v=""/>
    <x v="0"/>
    <s v=""/>
    <x v="1"/>
    <x v="1"/>
    <x v="104"/>
    <x v="104"/>
    <x v="0"/>
  </r>
  <r>
    <x v="674"/>
    <x v="108"/>
    <x v="102"/>
    <s v="MCHX-BASED ADSORBER DESIGN"/>
    <x v="476"/>
    <s v="09/11/2015"/>
    <x v="0"/>
    <s v=""/>
    <x v="1"/>
    <x v="1"/>
    <x v="104"/>
    <x v="104"/>
    <x v="0"/>
  </r>
  <r>
    <x v="675"/>
    <x v="109"/>
    <x v="73"/>
    <s v="NOVEL MATERIAL FOR USE IN SOLAR REACTOR"/>
    <x v="1"/>
    <s v=""/>
    <x v="0"/>
    <s v=""/>
    <x v="1"/>
    <x v="1"/>
    <x v="105"/>
    <x v="105"/>
    <x v="0"/>
  </r>
  <r>
    <x v="676"/>
    <x v="109"/>
    <x v="73"/>
    <s v="SOLAR THERMOCHEMICAL REACTOR, METHODS OF MANUFACTURE AND USE THEREOF AND THERMOGRAVIMETER "/>
    <x v="477"/>
    <s v="06/20/2014"/>
    <x v="172"/>
    <s v="06/06/2017"/>
    <x v="262"/>
    <x v="239"/>
    <x v="105"/>
    <x v="105"/>
    <x v="0"/>
  </r>
  <r>
    <x v="677"/>
    <x v="109"/>
    <x v="73"/>
    <s v="NOVEL MATERIAL COMPRISING TWO DIFFERENT NON-METALLIC PARTICLES HAVING DIFFERENT PARTICLE SIZES FOR USE IN SOLAR REACTOR "/>
    <x v="478"/>
    <s v="06/18/2015"/>
    <x v="173"/>
    <s v="10/03/2017"/>
    <x v="263"/>
    <x v="240"/>
    <x v="105"/>
    <x v="105"/>
    <x v="0"/>
  </r>
  <r>
    <x v="678"/>
    <x v="109"/>
    <x v="73"/>
    <s v="UNIQUE MATERIAL FOR HYDROGEN PRODUCTION VIA THERMOCHEMICAL WATER-SPLITTING"/>
    <x v="1"/>
    <s v=""/>
    <x v="0"/>
    <s v=""/>
    <x v="1"/>
    <x v="1"/>
    <x v="105"/>
    <x v="105"/>
    <x v="0"/>
  </r>
  <r>
    <x v="679"/>
    <x v="109"/>
    <x v="73"/>
    <s v="CARBON DIOXIDE SHUTTLING THERMOCHEMICAL ENERGY STORAGE"/>
    <x v="1"/>
    <s v=""/>
    <x v="0"/>
    <s v=""/>
    <x v="1"/>
    <x v="1"/>
    <x v="105"/>
    <x v="105"/>
    <x v="0"/>
  </r>
  <r>
    <x v="680"/>
    <x v="109"/>
    <x v="73"/>
    <s v="SOLAR THERMOCHEMICAL REACTOR AND METHODS OF MANUFACTURE AND USE THEREOF"/>
    <x v="479"/>
    <s v="12/09/2015"/>
    <x v="0"/>
    <s v=""/>
    <x v="1"/>
    <x v="1"/>
    <x v="105"/>
    <x v="105"/>
    <x v="0"/>
  </r>
  <r>
    <x v="681"/>
    <x v="109"/>
    <x v="73"/>
    <s v="SOLAR THERMOCHEMICAL REACTOR, METHODS OF MANUFACTURE AND USE THEREOF AND THERMOGRAVIMETE"/>
    <x v="480"/>
    <s v="12/20/2016"/>
    <x v="0"/>
    <s v=""/>
    <x v="1"/>
    <x v="1"/>
    <x v="105"/>
    <x v="105"/>
    <x v="0"/>
  </r>
  <r>
    <x v="682"/>
    <x v="109"/>
    <x v="73"/>
    <s v="WINDOWLESS, INDIRECTLY-IRRADIATED SOLAR THERMOCHEMICAL REACTOR WITH LOW-PRESSURE CAPABILITIES"/>
    <x v="481"/>
    <s v="07/10/2017"/>
    <x v="0"/>
    <s v=""/>
    <x v="1"/>
    <x v="1"/>
    <x v="105"/>
    <x v="105"/>
    <x v="0"/>
  </r>
  <r>
    <x v="675"/>
    <x v="109"/>
    <x v="73"/>
    <s v="FUEL PRODUCTION FROM SOLAR HEAT UTILIZING NOVEL THERMO-MECHANICAL STABILIZED FERRITE MATERIALS "/>
    <x v="482"/>
    <s v="07/10/2017"/>
    <x v="0"/>
    <s v=""/>
    <x v="1"/>
    <x v="1"/>
    <x v="105"/>
    <x v="105"/>
    <x v="0"/>
  </r>
  <r>
    <x v="683"/>
    <x v="110"/>
    <x v="64"/>
    <s v="METAL ORGANIC FRAMEWORKS COMPRISING A PLURALITY OF SBUS WITH DIFFERENT METAL IONS AND/OR A PLUTALITY OF ORGANIC LINKING LIAN"/>
    <x v="483"/>
    <s v="09/22/2016"/>
    <x v="0"/>
    <s v=""/>
    <x v="264"/>
    <x v="241"/>
    <x v="106"/>
    <x v="106"/>
    <x v="0"/>
  </r>
  <r>
    <x v="684"/>
    <x v="110"/>
    <x v="37"/>
    <s v="THERMO-ADSORPTIVE BATTERY"/>
    <x v="484"/>
    <s v="10/22/2012"/>
    <x v="0"/>
    <s v=""/>
    <x v="265"/>
    <x v="242"/>
    <x v="106"/>
    <x v="106"/>
    <x v="0"/>
  </r>
  <r>
    <x v="685"/>
    <x v="110"/>
    <x v="37"/>
    <s v="THERMAL PULSE ENERGY HARVESTING STRATEGY AND DEVICE"/>
    <x v="485"/>
    <s v="01/09/2014"/>
    <x v="0"/>
    <s v=""/>
    <x v="266"/>
    <x v="243"/>
    <x v="106"/>
    <x v="106"/>
    <x v="0"/>
  </r>
  <r>
    <x v="685"/>
    <x v="110"/>
    <x v="37"/>
    <s v="THERMAL PULSE ENERGY HARVESTING STRATEGY AND DEVICE"/>
    <x v="486"/>
    <d v="2013-12-06T00:00:00"/>
    <x v="0"/>
    <s v=""/>
    <x v="266"/>
    <x v="243"/>
    <x v="106"/>
    <x v="106"/>
    <x v="4"/>
  </r>
  <r>
    <x v="686"/>
    <x v="110"/>
    <x v="37"/>
    <s v="PERCOLATED MICROSTRUCTURES FOR MULTI-MODAL TRANSPORT ENHANCEMENT IN POROUS ACTIVE MATERIALS"/>
    <x v="487"/>
    <s v="11/13/2014"/>
    <x v="0"/>
    <s v=""/>
    <x v="267"/>
    <x v="244"/>
    <x v="106"/>
    <x v="106"/>
    <x v="0"/>
  </r>
  <r>
    <x v="687"/>
    <x v="110"/>
    <x v="37"/>
    <s v="HARVESTING WATER FROM HUMID AIR USING ADSORBENTS/ABSORBENTS AND LOW GRADE ENERGY"/>
    <x v="488"/>
    <s v="11/30/2017"/>
    <x v="0"/>
    <s v=""/>
    <x v="1"/>
    <x v="1"/>
    <x v="106"/>
    <x v="106"/>
    <x v="0"/>
  </r>
  <r>
    <x v="688"/>
    <x v="110"/>
    <x v="37"/>
    <s v="ADSORPTION SYSTEM"/>
    <x v="489"/>
    <s v="11/26/2018"/>
    <x v="0"/>
    <s v=""/>
    <x v="1"/>
    <x v="1"/>
    <x v="106"/>
    <x v="106"/>
    <x v="0"/>
  </r>
  <r>
    <x v="689"/>
    <x v="110"/>
    <x v="37"/>
    <s v="STRUCTURAL AND THERMAL ENHANCEMENTS FOR DESIGN, FABRICATION, INTEGRATION, AND PERFORMANCE OF COMPACT ADSORPTION"/>
    <x v="490"/>
    <s v="12/24/2018"/>
    <x v="0"/>
    <s v=""/>
    <x v="1"/>
    <x v="1"/>
    <x v="106"/>
    <x v="106"/>
    <x v="0"/>
  </r>
  <r>
    <x v="690"/>
    <x v="110"/>
    <x v="37"/>
    <s v="BIO-GTL BIOLOGICAL CONVERSION OF NATURAL GAS INTO DIESEL FUEL; OVERALL PROCESS"/>
    <x v="491"/>
    <s v="03/27/2014"/>
    <x v="0"/>
    <s v=""/>
    <x v="1"/>
    <x v="1"/>
    <x v="106"/>
    <x v="106"/>
    <x v="0"/>
  </r>
  <r>
    <x v="686"/>
    <x v="110"/>
    <x v="37"/>
    <s v="PERCOLATED MICROSTRUCTURES FOR MULTI-MODAL TRANSPORT ENHANCEMENT IN POROUS ACTIVE MATERIALS"/>
    <x v="492"/>
    <s v="11/13/2014"/>
    <x v="0"/>
    <s v=""/>
    <x v="1"/>
    <x v="1"/>
    <x v="106"/>
    <x v="106"/>
    <x v="0"/>
  </r>
  <r>
    <x v="691"/>
    <x v="110"/>
    <x v="37"/>
    <s v="THERMO-ADSORPTIVE BATTERY"/>
    <x v="493"/>
    <s v="10/22/2012"/>
    <x v="0"/>
    <s v=""/>
    <x v="98"/>
    <x v="245"/>
    <x v="106"/>
    <x v="106"/>
    <x v="0"/>
  </r>
  <r>
    <x v="692"/>
    <x v="110"/>
    <x v="37"/>
    <s v="MONOLITHICALLY INTEGRATED BI-DIRECTIONAL HEAT PUMP STRUCTURE"/>
    <x v="486"/>
    <s v="12/06/2013"/>
    <x v="0"/>
    <s v=""/>
    <x v="268"/>
    <x v="246"/>
    <x v="106"/>
    <x v="106"/>
    <x v="0"/>
  </r>
  <r>
    <x v="693"/>
    <x v="110"/>
    <x v="37"/>
    <s v="HIGH VAPOR UPTAKE HYDROPHILIC ZEOLITE OR ZEOTYPE ADSORBENTS AND ANTI-FREEZING ADSORBATES FOR ADVANCED THERMO-ADSORPTIVE BATTERY CLIMATE CONTROL SYSTEMS"/>
    <x v="494"/>
    <s v="06/02/2015"/>
    <x v="0"/>
    <s v=""/>
    <x v="99"/>
    <x v="83"/>
    <x v="106"/>
    <x v="106"/>
    <x v="0"/>
  </r>
  <r>
    <x v="694"/>
    <x v="111"/>
    <x v="116"/>
    <s v="SYNTHESIS OF ORDERED L1-TYPE FeNi NANOPARTICLES"/>
    <x v="495"/>
    <s v="03/11/2013"/>
    <x v="174"/>
    <s v="09/22/2015"/>
    <x v="269"/>
    <x v="247"/>
    <x v="107"/>
    <x v="107"/>
    <x v="0"/>
  </r>
  <r>
    <x v="695"/>
    <x v="111"/>
    <x v="38"/>
    <s v="METALLURGICAL SYNTHESIS METHODS FOR BULK FENI L10 ORDERED MAGNET"/>
    <x v="1"/>
    <s v=""/>
    <x v="0"/>
    <s v=""/>
    <x v="1"/>
    <x v="1"/>
    <x v="107"/>
    <x v="107"/>
    <x v="0"/>
  </r>
  <r>
    <x v="696"/>
    <x v="112"/>
    <x v="88"/>
    <s v="NANOSTRUCTURED MN-AL PERMANENT MAGNETS AND METHODS OF PRODUCING SAME "/>
    <x v="496"/>
    <s v="04/23/2010"/>
    <x v="0"/>
    <s v=""/>
    <x v="1"/>
    <x v="1"/>
    <x v="108"/>
    <x v="108"/>
    <x v="0"/>
  </r>
  <r>
    <x v="697"/>
    <x v="112"/>
    <x v="88"/>
    <s v="NANOSTRUCTURED MN-AL PERMANENT MAGNETS AND METHODS OF PRODUCING SAME "/>
    <x v="497"/>
    <s v="06/20/2011"/>
    <x v="0"/>
    <s v=""/>
    <x v="1"/>
    <x v="1"/>
    <x v="108"/>
    <x v="108"/>
    <x v="0"/>
  </r>
  <r>
    <x v="698"/>
    <x v="113"/>
    <x v="117"/>
    <s v="MnBi ALIGNED PERMANENT MAGNETS"/>
    <x v="1"/>
    <s v=""/>
    <x v="0"/>
    <s v=""/>
    <x v="1"/>
    <x v="1"/>
    <x v="109"/>
    <x v="109"/>
    <x v="0"/>
  </r>
  <r>
    <x v="699"/>
    <x v="113"/>
    <x v="118"/>
    <s v="REMANENT MAGNETIZATION ASSITED SELF-ASEMBLED CORE-SHELL MAGNETS FOR MAGNETIC EXCHANGE COUPLING"/>
    <x v="1"/>
    <s v=""/>
    <x v="0"/>
    <s v=""/>
    <x v="1"/>
    <x v="1"/>
    <x v="109"/>
    <x v="109"/>
    <x v="0"/>
  </r>
  <r>
    <x v="700"/>
    <x v="113"/>
    <x v="118"/>
    <s v="MANUFACTURING METAL/SOFT MAGNETIC METAL ALLOY COMPOSITE (EXCHANGE COUPLED) MAGNETS"/>
    <x v="1"/>
    <s v=""/>
    <x v="0"/>
    <s v=""/>
    <x v="1"/>
    <x v="1"/>
    <x v="109"/>
    <x v="109"/>
    <x v="0"/>
  </r>
  <r>
    <x v="701"/>
    <x v="114"/>
    <x v="119"/>
    <s v="ENHANCED PINNING IN 2G HTS WIRE BY IRRADIATION OF MOVING INSERT STRIP "/>
    <x v="498"/>
    <s v="08/25/2016"/>
    <x v="0"/>
    <s v=""/>
    <x v="270"/>
    <x v="248"/>
    <x v="62"/>
    <x v="62"/>
    <x v="0"/>
  </r>
  <r>
    <x v="702"/>
    <x v="114"/>
    <x v="119"/>
    <s v="ENHANCING PINNING IN 2G HTS WIRE BY IRRADIATION OF MOVING INSERT STRIP"/>
    <x v="499"/>
    <s v="08/25/2016"/>
    <x v="0"/>
    <s v=""/>
    <x v="271"/>
    <x v="249"/>
    <x v="62"/>
    <x v="62"/>
    <x v="0"/>
  </r>
  <r>
    <x v="703"/>
    <x v="114"/>
    <x v="119"/>
    <s v="LONG LENGTH HIGH TEMPERATURE SUPERCONDUCTING WIRES WITH UNIFORM ION IMPLANTED PINNING MICROSTRUCTURES_x000d__x000d_DISCOSURE TITLE:  ENHANCED PINNING IN 2G HTS WIRE BY IRRADIATION OF MIVING INSERT STRIP"/>
    <x v="500"/>
    <s v="08/25/2016"/>
    <x v="0"/>
    <s v=""/>
    <x v="272"/>
    <x v="250"/>
    <x v="62"/>
    <x v="62"/>
    <x v="0"/>
  </r>
  <r>
    <x v="704"/>
    <x v="115"/>
    <x v="120"/>
    <s v="MICRO-CHANNEL HEAT EXCHANGER FOR STATOR OF ELETRICAL MACHINE WITH SUPPLY HEADER"/>
    <x v="501"/>
    <s v="03/13/2014"/>
    <x v="175"/>
    <s v="08/16/2016"/>
    <x v="273"/>
    <x v="251"/>
    <x v="110"/>
    <x v="110"/>
    <x v="0"/>
  </r>
  <r>
    <x v="705"/>
    <x v="115"/>
    <x v="120"/>
    <s v="TWO PHASE GAP COOLING OF AN ELECTRICAL MACHINE"/>
    <x v="502"/>
    <s v="12/12/2013"/>
    <x v="176"/>
    <s v="10/04/2016"/>
    <x v="274"/>
    <x v="252"/>
    <x v="110"/>
    <x v="110"/>
    <x v="0"/>
  </r>
  <r>
    <x v="706"/>
    <x v="115"/>
    <x v="98"/>
    <s v="ASSEMBLY OF SEGMENTED MAGNETIZING FIXTURE POLES"/>
    <x v="1"/>
    <s v=""/>
    <x v="0"/>
    <s v=""/>
    <x v="1"/>
    <x v="1"/>
    <x v="110"/>
    <x v="110"/>
    <x v="0"/>
  </r>
  <r>
    <x v="707"/>
    <x v="115"/>
    <x v="120"/>
    <s v="MICRO-CHANNEL HEAT EXCHANGER INTEGRATED INTO STATOR CORE OF ELECTRICAL MACHINE"/>
    <x v="503"/>
    <s v="03/14/2013"/>
    <x v="177"/>
    <s v="06/07/2016"/>
    <x v="275"/>
    <x v="253"/>
    <x v="110"/>
    <x v="110"/>
    <x v="0"/>
  </r>
  <r>
    <x v="708"/>
    <x v="116"/>
    <x v="121"/>
    <s v="NON-RARE EARTH MAGNETIC NANOPARTICLES "/>
    <x v="504"/>
    <s v="07/01/2014"/>
    <x v="0"/>
    <s v=""/>
    <x v="276"/>
    <x v="1"/>
    <x v="111"/>
    <x v="111"/>
    <x v="0"/>
  </r>
  <r>
    <x v="709"/>
    <x v="116"/>
    <x v="121"/>
    <s v="SOLVOTHERMAL SYNTHESIS OF MAGNETIC NANOPARTICLES"/>
    <x v="504"/>
    <s v="01/04/2013"/>
    <x v="0"/>
    <s v=""/>
    <x v="276"/>
    <x v="1"/>
    <x v="111"/>
    <x v="111"/>
    <x v="0"/>
  </r>
  <r>
    <x v="710"/>
    <x v="116"/>
    <x v="122"/>
    <s v="CONTINOUS PLUG-FLOW NANOMANUFACTURING OF COPPER NANOPARTICLES"/>
    <x v="1"/>
    <s v=""/>
    <x v="0"/>
    <s v=""/>
    <x v="1"/>
    <x v="1"/>
    <x v="111"/>
    <x v="111"/>
    <x v="0"/>
  </r>
  <r>
    <x v="711"/>
    <x v="116"/>
    <x v="122"/>
    <s v="HIGH ANISOTROPY NANOPARTICLES FOR MAGNETIC MEDIA"/>
    <x v="1"/>
    <s v=""/>
    <x v="0"/>
    <s v=""/>
    <x v="1"/>
    <x v="1"/>
    <x v="111"/>
    <x v="111"/>
    <x v="0"/>
  </r>
  <r>
    <x v="712"/>
    <x v="116"/>
    <x v="121"/>
    <s v="HIGH ANISOTROPY NANOPARTICLES"/>
    <x v="505"/>
    <s v="03/27/2014"/>
    <x v="0"/>
    <s v=""/>
    <x v="1"/>
    <x v="1"/>
    <x v="111"/>
    <x v="111"/>
    <x v="0"/>
  </r>
  <r>
    <x v="713"/>
    <x v="116"/>
    <x v="121"/>
    <s v="HIGH ANISOTROPY NANOPARTICLES FOR MAGNETIC MEDIA"/>
    <x v="506"/>
    <s v="03/28/2013"/>
    <x v="0"/>
    <s v=""/>
    <x v="1"/>
    <x v="1"/>
    <x v="111"/>
    <x v="111"/>
    <x v="0"/>
  </r>
  <r>
    <x v="714"/>
    <x v="116"/>
    <x v="121"/>
    <s v="NON-RARE EARTH MAGNETIC NANOPARTICLES "/>
    <x v="507"/>
    <s v="01/04/2013"/>
    <x v="0"/>
    <s v=""/>
    <x v="145"/>
    <x v="130"/>
    <x v="111"/>
    <x v="111"/>
    <x v="0"/>
  </r>
  <r>
    <x v="715"/>
    <x v="116"/>
    <x v="121"/>
    <s v="CONTINUOUS PLUG-FLOW NANOMANUFACTURING OF COPPER NANOPARTICLES"/>
    <x v="508"/>
    <s v="12/13/2012"/>
    <x v="0"/>
    <s v=""/>
    <x v="1"/>
    <x v="1"/>
    <x v="111"/>
    <x v="111"/>
    <x v="0"/>
  </r>
  <r>
    <x v="716"/>
    <x v="116"/>
    <x v="121"/>
    <s v="INTERMETALLIC COMPOUNDS AS PERMANENT MAGNETS"/>
    <x v="509"/>
    <s v="06/20/2012"/>
    <x v="0"/>
    <s v=""/>
    <x v="1"/>
    <x v="1"/>
    <x v="111"/>
    <x v="111"/>
    <x v="0"/>
  </r>
  <r>
    <x v="717"/>
    <x v="116"/>
    <x v="122"/>
    <s v="SOLVOTHERMAL SYNTHESIS OF MAGNETIC NANOPARTICLES"/>
    <x v="506"/>
    <s v="08/28/2012"/>
    <x v="0"/>
    <s v=""/>
    <x v="1"/>
    <x v="1"/>
    <x v="111"/>
    <x v="111"/>
    <x v="0"/>
  </r>
  <r>
    <x v="718"/>
    <x v="117"/>
    <x v="123"/>
    <s v="TRANSFORMATION ENABLED NITRIDE MAGNETS ABSENT RARE EARTHS(TEN MARE)"/>
    <x v="510"/>
    <s v="12/17/2012"/>
    <x v="0"/>
    <s v=""/>
    <x v="202"/>
    <x v="182"/>
    <x v="112"/>
    <x v="112"/>
    <x v="0"/>
  </r>
  <r>
    <x v="719"/>
    <x v="117"/>
    <x v="123"/>
    <s v="TRANSFORMATION ENABLED NITRIDE MAGNETS ABSENT RARE EARTHS(TEN MARE)"/>
    <x v="511"/>
    <s v="05/08/2018"/>
    <x v="0"/>
    <s v=""/>
    <x v="1"/>
    <x v="1"/>
    <x v="112"/>
    <x v="112"/>
    <x v="0"/>
  </r>
  <r>
    <x v="720"/>
    <x v="117"/>
    <x v="123"/>
    <s v="TRANSFORMATION ENABLED NITRIDE MAGNETS ABSENT RARE EARTHS(TEN MARE)"/>
    <x v="512"/>
    <s v="06/13/2014"/>
    <x v="178"/>
    <s v="06/12/2018"/>
    <x v="277"/>
    <x v="254"/>
    <x v="112"/>
    <x v="112"/>
    <x v="0"/>
  </r>
  <r>
    <x v="721"/>
    <x v="118"/>
    <x v="32"/>
    <s v="RAPID CONSOLIDATION METHOD FOR PREPARING BULK METASTABLE IRON-RICH MATERIALS"/>
    <x v="513"/>
    <s v="08/25/2015"/>
    <x v="0"/>
    <s v=""/>
    <x v="278"/>
    <x v="255"/>
    <x v="113"/>
    <x v="113"/>
    <x v="0"/>
  </r>
  <r>
    <x v="722"/>
    <x v="118"/>
    <x v="32"/>
    <s v="CERIUM-IRON-BASED MAGNETIC COMPOUNDS"/>
    <x v="514"/>
    <s v="03/06/2013"/>
    <x v="179"/>
    <s v=""/>
    <x v="279"/>
    <x v="256"/>
    <x v="113"/>
    <x v="113"/>
    <x v="0"/>
  </r>
  <r>
    <x v="723"/>
    <x v="119"/>
    <x v="124"/>
    <s v="IN-SITU METAL SHELL COATING FOR HIGH ENERGY DENSITY SPRING MAGNETS THROUGH SONOCHEMISTRY"/>
    <x v="1"/>
    <s v=""/>
    <x v="0"/>
    <s v=""/>
    <x v="1"/>
    <x v="1"/>
    <x v="62"/>
    <x v="62"/>
    <x v="0"/>
  </r>
  <r>
    <x v="724"/>
    <x v="119"/>
    <x v="125"/>
    <s v="MNBI SOLUTION NANOSYNTHESIS FOR HIGH ENERGY PRODUCT PERMANENT MAGNET"/>
    <x v="1"/>
    <s v=""/>
    <x v="0"/>
    <s v=""/>
    <x v="1"/>
    <x v="1"/>
    <x v="62"/>
    <x v="62"/>
    <x v="0"/>
  </r>
  <r>
    <x v="725"/>
    <x v="120"/>
    <x v="115"/>
    <s v="a&quot;-Fe16(NxZ1-x)2(Z=C,B,O) WITH HIGH SATURATION MAGNETIZATION AND LOW COERCIVITY"/>
    <x v="515"/>
    <s v="08/06/2015"/>
    <x v="0"/>
    <s v=""/>
    <x v="280"/>
    <x v="257"/>
    <x v="114"/>
    <x v="114"/>
    <x v="0"/>
  </r>
  <r>
    <x v="726"/>
    <x v="120"/>
    <x v="115"/>
    <s v="FeN POWDER WITH ANISOTROPIC SHAPE"/>
    <x v="1"/>
    <s v=""/>
    <x v="0"/>
    <s v=""/>
    <x v="1"/>
    <x v="1"/>
    <x v="114"/>
    <x v="114"/>
    <x v="0"/>
  </r>
  <r>
    <x v="727"/>
    <x v="120"/>
    <x v="115"/>
    <s v="PREPRARATION OF Fe16N2,FE16(NC)2 FILM AND FE16N2/FE16(NC)2 MULTI-LAYER STRUCTURE BY CHEMICAL DEPOSITION METHOD"/>
    <x v="1"/>
    <s v=""/>
    <x v="0"/>
    <s v=""/>
    <x v="1"/>
    <x v="1"/>
    <x v="114"/>
    <x v="114"/>
    <x v="0"/>
  </r>
  <r>
    <x v="728"/>
    <x v="120"/>
    <x v="115"/>
    <s v="DESIGN OF CONTROLLERS REALIZING DISTRIBUTION - LEVEL VIRTUAL POWER PLANTS"/>
    <x v="1"/>
    <s v=""/>
    <x v="0"/>
    <s v=""/>
    <x v="1"/>
    <x v="1"/>
    <x v="114"/>
    <x v="114"/>
    <x v="0"/>
  </r>
  <r>
    <x v="729"/>
    <x v="120"/>
    <x v="115"/>
    <s v="A DISTRIBUTED REALTIME COORDINATION OF AGENTS"/>
    <x v="1"/>
    <s v=""/>
    <x v="0"/>
    <s v=""/>
    <x v="1"/>
    <x v="1"/>
    <x v="114"/>
    <x v="114"/>
    <x v="0"/>
  </r>
  <r>
    <x v="730"/>
    <x v="120"/>
    <x v="115"/>
    <s v="NITROGENDIFFUSION METHOD USING UREA FOR BULK FE-N MATERIAL PREPARATION"/>
    <x v="1"/>
    <s v=""/>
    <x v="0"/>
    <s v=""/>
    <x v="1"/>
    <x v="1"/>
    <x v="114"/>
    <x v="114"/>
    <x v="0"/>
  </r>
  <r>
    <x v="731"/>
    <x v="120"/>
    <x v="115"/>
    <s v="MAGNETIC CASTING APPROACH FOR Fe16N2 PERMANENT MAGNET MASS PRODUCTION"/>
    <x v="1"/>
    <s v=""/>
    <x v="0"/>
    <s v=""/>
    <x v="1"/>
    <x v="1"/>
    <x v="114"/>
    <x v="114"/>
    <x v="0"/>
  </r>
  <r>
    <x v="732"/>
    <x v="120"/>
    <x v="115"/>
    <s v="IRON NITRIDE PERMANENT MAGNET AND TECHIQUE FOR FORMING IRON NITRIDE PERMANENT MAGNET"/>
    <x v="516"/>
    <s v="06/14/2017"/>
    <x v="180"/>
    <s v="07/25/2017"/>
    <x v="281"/>
    <x v="258"/>
    <x v="114"/>
    <x v="114"/>
    <x v="7"/>
  </r>
  <r>
    <x v="733"/>
    <x v="120"/>
    <x v="115"/>
    <s v="CONTINOUS FABRICATION METHOD FOR Fe16N2 PERMANENT MAGNET MASS PRODUCTION "/>
    <x v="1"/>
    <s v=""/>
    <x v="0"/>
    <s v=""/>
    <x v="1"/>
    <x v="1"/>
    <x v="114"/>
    <x v="114"/>
    <x v="0"/>
  </r>
  <r>
    <x v="734"/>
    <x v="120"/>
    <x v="115"/>
    <s v="EXCHANGE-SPRING Fe16N2-Fe8N NANOCOMPOSITE PERMANENT MAGNET USING ION IMPLANTATION"/>
    <x v="1"/>
    <s v=""/>
    <x v="0"/>
    <s v=""/>
    <x v="1"/>
    <x v="1"/>
    <x v="114"/>
    <x v="114"/>
    <x v="0"/>
  </r>
  <r>
    <x v="735"/>
    <x v="120"/>
    <x v="115"/>
    <s v="SYNTHESIS APPROACHES FOR BULK IRON NITRIDE COMPOUND PERMANENT MAGNET_x000d__x000d_U/M # 20160387"/>
    <x v="1"/>
    <s v=""/>
    <x v="0"/>
    <s v=""/>
    <x v="1"/>
    <x v="1"/>
    <x v="114"/>
    <x v="114"/>
    <x v="0"/>
  </r>
  <r>
    <x v="736"/>
    <x v="120"/>
    <x v="115"/>
    <s v="IRON NITRIDE PERMANENT MAGNET AND TECHNIQUE FOR FORMING IRON NITRIDE PERMANENT MAGNET"/>
    <x v="517"/>
    <s v="08/17/2012"/>
    <x v="181"/>
    <s v="09/04/2018"/>
    <x v="282"/>
    <x v="259"/>
    <x v="114"/>
    <x v="114"/>
    <x v="0"/>
  </r>
  <r>
    <x v="737"/>
    <x v="120"/>
    <x v="115"/>
    <s v="INDUCTOR INCLUDING SOFT MAGNETIC MATERIAL INCLUDING IRON, NITROGEN AND CARBON BORPN, OR OXYGEN"/>
    <x v="518"/>
    <s v="08/07/2015"/>
    <x v="182"/>
    <s v="06/19/2018"/>
    <x v="283"/>
    <x v="260"/>
    <x v="114"/>
    <x v="114"/>
    <x v="0"/>
  </r>
  <r>
    <x v="738"/>
    <x v="120"/>
    <x v="115"/>
    <s v="PREPRARATION OF Fe16N2,FE16(NC)2 FILM AND FE16N2/FE16(NC)2 MULTI-LAYER STRUCTURE BY CHEMICAL DEPOSITION METHOD"/>
    <x v="519"/>
    <s v="02/03/2017"/>
    <x v="0"/>
    <s v=""/>
    <x v="1"/>
    <x v="1"/>
    <x v="114"/>
    <x v="114"/>
    <x v="0"/>
  </r>
  <r>
    <x v="739"/>
    <x v="120"/>
    <x v="115"/>
    <s v="APPROACHES TO RESERVE STRAIN IN FeN MAGNET"/>
    <x v="520"/>
    <s v="01/26/2015"/>
    <x v="0"/>
    <s v=""/>
    <x v="1"/>
    <x v="1"/>
    <x v="114"/>
    <x v="114"/>
    <x v="0"/>
  </r>
  <r>
    <x v="740"/>
    <x v="120"/>
    <x v="115"/>
    <s v="CHEMICAL VAPOR DEPOSITION OF A MULTIAYER STRUCTURE INCLUDING Fe16N2 LAYERS AND SOFT MAGNETIC LAYERS"/>
    <x v="521"/>
    <s v="02/03/2017"/>
    <x v="0"/>
    <s v=""/>
    <x v="1"/>
    <x v="1"/>
    <x v="114"/>
    <x v="114"/>
    <x v="0"/>
  </r>
  <r>
    <x v="741"/>
    <x v="120"/>
    <x v="115"/>
    <s v="IRON NITRIDE PERMANENT MAGNET AND TECHNIQUE FOR FORMING IRON NITRIDE PERMANENT MAGNET"/>
    <x v="522"/>
    <s v="06/08/2018"/>
    <x v="0"/>
    <s v=""/>
    <x v="1"/>
    <x v="1"/>
    <x v="114"/>
    <x v="114"/>
    <x v="0"/>
  </r>
  <r>
    <x v="742"/>
    <x v="120"/>
    <x v="115"/>
    <s v="A NEW TYPE IRON RICH LOW-COST PERMANENT MAGNET WITH GIGANTIC COERCIVITY AND MAGNETIC ENERGY PRODCT"/>
    <x v="523"/>
    <s v="05/28/2018"/>
    <x v="0"/>
    <s v=""/>
    <x v="1"/>
    <x v="1"/>
    <x v="114"/>
    <x v="114"/>
    <x v="0"/>
  </r>
  <r>
    <x v="743"/>
    <x v="120"/>
    <x v="115"/>
    <s v="IRON-NITRIDE MAGNET BY NITRIDING A POROUS STRUCTURE"/>
    <x v="524"/>
    <s v="05/02/2018"/>
    <x v="0"/>
    <s v=""/>
    <x v="1"/>
    <x v="1"/>
    <x v="114"/>
    <x v="114"/>
    <x v="0"/>
  </r>
  <r>
    <x v="744"/>
    <x v="120"/>
    <x v="115"/>
    <s v="IRON NITRIDE PERMANENT MAGNET WITH FEN MIXTURE AS PRECURSOR, DOPING METHOD AND PHASE STABILIZER"/>
    <x v="473"/>
    <s v="12/22/2015"/>
    <x v="0"/>
    <s v=""/>
    <x v="139"/>
    <x v="123"/>
    <x v="114"/>
    <x v="114"/>
    <x v="0"/>
  </r>
  <r>
    <x v="745"/>
    <x v="120"/>
    <x v="115"/>
    <s v="SYNTHESIS APPROACHES FOR BULK IRON NITRIDE COMPOUND PERMANENT MAGNET_x000d__x000d_U/M # 20160387"/>
    <x v="525"/>
    <s v="05/04/2018"/>
    <x v="0"/>
    <s v=""/>
    <x v="284"/>
    <x v="261"/>
    <x v="114"/>
    <x v="114"/>
    <x v="0"/>
  </r>
  <r>
    <x v="746"/>
    <x v="120"/>
    <x v="115"/>
    <s v="HIGH FIELD SYNTHESIS AND PROCESSING OF FE-N MAGNETS FOR IMPROVED PROPERTIES"/>
    <x v="526"/>
    <s v="12/13/2017"/>
    <x v="0"/>
    <s v=""/>
    <x v="1"/>
    <x v="1"/>
    <x v="114"/>
    <x v="114"/>
    <x v="0"/>
  </r>
  <r>
    <x v="747"/>
    <x v="120"/>
    <x v="115"/>
    <s v="IRON NITRIDE PERMANENT MAGNET AND TECHNIQUE FOR FORMING IRON NITRIDE PERMANENYT MAGNET"/>
    <x v="527"/>
    <s v="08/17/2012"/>
    <x v="0"/>
    <s v=""/>
    <x v="285"/>
    <x v="262"/>
    <x v="114"/>
    <x v="114"/>
    <x v="0"/>
  </r>
  <r>
    <x v="748"/>
    <x v="120"/>
    <x v="115"/>
    <s v="APPLIED MAGNETIC FIELD SYNTHESIS AND PROCESSING OF IRON NITRIDE MAGNETIC MATERIALS"/>
    <x v="528"/>
    <s v="06/29/2015"/>
    <x v="0"/>
    <s v=""/>
    <x v="1"/>
    <x v="1"/>
    <x v="114"/>
    <x v="114"/>
    <x v="0"/>
  </r>
  <r>
    <x v="749"/>
    <x v="120"/>
    <x v="115"/>
    <s v="FE-C-N NANOCOMPOSITES"/>
    <x v="529"/>
    <s v="09/27/2016"/>
    <x v="0"/>
    <s v=""/>
    <x v="1"/>
    <x v="1"/>
    <x v="114"/>
    <x v="114"/>
    <x v="0"/>
  </r>
  <r>
    <x v="750"/>
    <x v="120"/>
    <x v="115"/>
    <s v="IRON NITRIDE PERMANENT MAGNET WITH FEN MIXTURE AS PRECURSOR, DOPING METHOD AND PHASE STABILIZER"/>
    <x v="474"/>
    <s v="12/22/2015"/>
    <x v="0"/>
    <s v=""/>
    <x v="1"/>
    <x v="1"/>
    <x v="114"/>
    <x v="114"/>
    <x v="0"/>
  </r>
  <r>
    <x v="751"/>
    <x v="120"/>
    <x v="115"/>
    <s v="MASS PRODUCTION OF IRON NITRIDE POWDER"/>
    <x v="530"/>
    <s v="06/27/2013"/>
    <x v="0"/>
    <s v=""/>
    <x v="1"/>
    <x v="1"/>
    <x v="114"/>
    <x v="114"/>
    <x v="0"/>
  </r>
  <r>
    <x v="752"/>
    <x v="120"/>
    <x v="115"/>
    <s v="IRON NITRIDE WIRE AND CONSOLIDATED MAGNET MASS PRODUCTION"/>
    <x v="531"/>
    <s v="06/27/2013"/>
    <x v="0"/>
    <s v=""/>
    <x v="1"/>
    <x v="1"/>
    <x v="114"/>
    <x v="114"/>
    <x v="0"/>
  </r>
  <r>
    <x v="753"/>
    <x v="121"/>
    <x v="58"/>
    <s v="USE OF LCIA PROTEIN FROM CHLAMYDOMONAS REINHARTII TO ENHANCE PHOTOSYNTHESIS IN PLANTS"/>
    <x v="1"/>
    <s v=""/>
    <x v="0"/>
    <s v=""/>
    <x v="1"/>
    <x v="1"/>
    <x v="115"/>
    <x v="115"/>
    <x v="0"/>
  </r>
  <r>
    <x v="754"/>
    <x v="121"/>
    <x v="58"/>
    <s v="COMBINING EXPRESSION OF LCIA AND CCP1(LIP-36) PROTEINS FROM CHLAMYDOMONAS REINHARTII WITH REDUCTION IN EXPRESSION OF CWII TO ENHANCE GROWTIH AND SEED YIELD IN PLANTS"/>
    <x v="1"/>
    <s v=""/>
    <x v="0"/>
    <s v=""/>
    <x v="1"/>
    <x v="1"/>
    <x v="115"/>
    <x v="115"/>
    <x v="0"/>
  </r>
  <r>
    <x v="755"/>
    <x v="121"/>
    <x v="58"/>
    <s v="USE OF THE SBTA BICARBONATE TRANSPORTER TO ENHANCE PHOTOSYNTHESIS IN PLANTS"/>
    <x v="1"/>
    <s v=""/>
    <x v="0"/>
    <s v=""/>
    <x v="1"/>
    <x v="1"/>
    <x v="115"/>
    <x v="115"/>
    <x v="0"/>
  </r>
  <r>
    <x v="756"/>
    <x v="121"/>
    <x v="57"/>
    <s v="STRATEGY FOR PRODUCING HIGHER OIL CONTENTS IN FOOD AND BIOFUELS CORPS"/>
    <x v="1"/>
    <s v=""/>
    <x v="0"/>
    <s v=""/>
    <x v="1"/>
    <x v="1"/>
    <x v="115"/>
    <x v="115"/>
    <x v="0"/>
  </r>
  <r>
    <x v="757"/>
    <x v="121"/>
    <x v="58"/>
    <s v="USE OF THE RUBISCO ACTIVASE PROMOTER SEQUENCES FROM ARABIDOPSIS THALIANA TO EXPRESS PROTEINS IN TRANSGENIC PLANTS"/>
    <x v="1"/>
    <s v=""/>
    <x v="0"/>
    <s v=""/>
    <x v="1"/>
    <x v="1"/>
    <x v="115"/>
    <x v="115"/>
    <x v="0"/>
  </r>
  <r>
    <x v="758"/>
    <x v="121"/>
    <x v="58"/>
    <s v="ISOLATION AND USE OF TRIACLGLYCEROL (TAG) BIOSYNTHESIS PATHWAY GENERS FROM CAMELINA SATIVA FOR ENHANCE PRODUCTION OF OIL CONTENTS AND SEED YELD IN CORPS"/>
    <x v="1"/>
    <s v=""/>
    <x v="0"/>
    <s v=""/>
    <x v="1"/>
    <x v="1"/>
    <x v="115"/>
    <x v="115"/>
    <x v="0"/>
  </r>
  <r>
    <x v="759"/>
    <x v="121"/>
    <x v="58"/>
    <s v="ENGINEERING TRIACYLGLYCEROL (TAG) BIOSYNTHESIS PATHWAY FOR ENHANCE PRODUCTION OF OIL CONTENTS AND SEED YIELD IN CAMELINA SATIVA SEEDS"/>
    <x v="1"/>
    <s v=""/>
    <x v="0"/>
    <s v=""/>
    <x v="1"/>
    <x v="1"/>
    <x v="115"/>
    <x v="115"/>
    <x v="0"/>
  </r>
  <r>
    <x v="760"/>
    <x v="121"/>
    <x v="58"/>
    <s v="USE OF THE TRANSIT PEPTIDE AND TARGETING SIGNALS OF CHLOROPLAST INNER ENVELOPE MEMBRANE PROTEINS TO TARGET PROTEINS TO THE CHLOROPLAST INNER ENVELOPE MEMBRANE"/>
    <x v="1"/>
    <s v=""/>
    <x v="0"/>
    <s v=""/>
    <x v="1"/>
    <x v="1"/>
    <x v="115"/>
    <x v="115"/>
    <x v="0"/>
  </r>
  <r>
    <x v="761"/>
    <x v="121"/>
    <x v="58"/>
    <s v="USE OF CCP1 (LIP-36) PROTEIN FROM CHLAMYDOMONAS REINHARTII TO ENHANCE GROWTH OR TOLERANCE TO STRESS IN PLANTS"/>
    <x v="1"/>
    <s v=""/>
    <x v="0"/>
    <s v=""/>
    <x v="1"/>
    <x v="1"/>
    <x v="115"/>
    <x v="115"/>
    <x v="0"/>
  </r>
  <r>
    <x v="762"/>
    <x v="121"/>
    <x v="58"/>
    <s v="PARKASH/COMPOSITIONS AND METHODS FOR ENGINEERING "/>
    <x v="532"/>
    <s v="02/22/2018"/>
    <x v="0"/>
    <s v=""/>
    <x v="1"/>
    <x v="1"/>
    <x v="115"/>
    <x v="115"/>
    <x v="0"/>
  </r>
  <r>
    <x v="763"/>
    <x v="121"/>
    <x v="58"/>
    <s v="COMBINING EXPRESSION OF LCIA AND CCP1(LIP-36) PROTEINS FROM CHLAMYDOMONAS REINHARTII WITH REDUCTION IN EXPRESSION OF CWII TO ENHANCE GROWTIH AND SEED YIELD IN PLANTS"/>
    <x v="533"/>
    <s v="10/21/2016"/>
    <x v="0"/>
    <s v=""/>
    <x v="286"/>
    <x v="263"/>
    <x v="115"/>
    <x v="115"/>
    <x v="0"/>
  </r>
  <r>
    <x v="764"/>
    <x v="121"/>
    <x v="58"/>
    <s v="USE OF THE BICA BICARBONATE TRANSPORTER TO ENHANCE PHOTOSYNTHESIS IN PLANTS "/>
    <x v="534"/>
    <s v="12/31/2013"/>
    <x v="0"/>
    <s v=""/>
    <x v="287"/>
    <x v="264"/>
    <x v="115"/>
    <x v="115"/>
    <x v="0"/>
  </r>
  <r>
    <x v="764"/>
    <x v="121"/>
    <x v="58"/>
    <s v="USE OF THE BICA BICARBONATE TRANSPORTER TO ENHANCE PHOTOSYNTHESIS IN PLANTS "/>
    <x v="535"/>
    <s v="12/31/2013"/>
    <x v="0"/>
    <s v=""/>
    <x v="1"/>
    <x v="1"/>
    <x v="115"/>
    <x v="115"/>
    <x v="0"/>
  </r>
  <r>
    <x v="765"/>
    <x v="122"/>
    <x v="54"/>
    <s v="RECOMBINANT MICROORGANISMS HAVING A REVERSE GLYOXYLATE SHUNT"/>
    <x v="1"/>
    <s v=""/>
    <x v="0"/>
    <s v=""/>
    <x v="1"/>
    <x v="1"/>
    <x v="49"/>
    <x v="116"/>
    <x v="0"/>
  </r>
  <r>
    <x v="766"/>
    <x v="122"/>
    <x v="54"/>
    <s v="ENERGY PLANT DESIGN"/>
    <x v="1"/>
    <s v=""/>
    <x v="0"/>
    <s v=""/>
    <x v="1"/>
    <x v="1"/>
    <x v="49"/>
    <x v="116"/>
    <x v="0"/>
  </r>
  <r>
    <x v="767"/>
    <x v="122"/>
    <x v="54"/>
    <s v="TRANSGENIC PLANTS AND MICROORGANISMS HAVING AN ALTERNATIVE CO2 FIXING PATHWAY"/>
    <x v="1"/>
    <s v=""/>
    <x v="0"/>
    <s v=""/>
    <x v="1"/>
    <x v="1"/>
    <x v="49"/>
    <x v="116"/>
    <x v="0"/>
  </r>
  <r>
    <x v="768"/>
    <x v="123"/>
    <x v="126"/>
    <s v="IMPROVED CARBON FIXATION SYSTEMS IN PLANTS AND ALGAE"/>
    <x v="1"/>
    <s v=""/>
    <x v="0"/>
    <s v=""/>
    <x v="1"/>
    <x v="1"/>
    <x v="116"/>
    <x v="117"/>
    <x v="0"/>
  </r>
  <r>
    <x v="769"/>
    <x v="123"/>
    <x v="127"/>
    <s v="PLANT PHENOMETRICS SYSTEMS AND METHODS AND DEVICES RELATED THERETO"/>
    <x v="1"/>
    <s v=""/>
    <x v="0"/>
    <s v=""/>
    <x v="1"/>
    <x v="1"/>
    <x v="116"/>
    <x v="117"/>
    <x v="0"/>
  </r>
  <r>
    <x v="770"/>
    <x v="123"/>
    <x v="127"/>
    <s v="PHOTOSYNTHETIC TRANSFER RATE ESTIMATION IN COMPLEX PLANT CANOPIES"/>
    <x v="1"/>
    <s v=""/>
    <x v="0"/>
    <s v=""/>
    <x v="1"/>
    <x v="1"/>
    <x v="116"/>
    <x v="117"/>
    <x v="0"/>
  </r>
  <r>
    <x v="771"/>
    <x v="123"/>
    <x v="127"/>
    <s v="METHODOLOGY FOR IDENTIFICATION FOR GENOMIC GAIN OF FUNCTION LOCI THAT ENABLE INCREASED PHOTOSYNTHETIC PERFORMANCE AND ROBUSTNESS FROM POPULATIONS OF GREEN ALGAE"/>
    <x v="1"/>
    <s v=""/>
    <x v="0"/>
    <s v=""/>
    <x v="1"/>
    <x v="1"/>
    <x v="116"/>
    <x v="117"/>
    <x v="0"/>
  </r>
  <r>
    <x v="772"/>
    <x v="123"/>
    <x v="44"/>
    <s v="METHODS TO INCREASE PLANT OIL PRODUCTION "/>
    <x v="1"/>
    <s v=""/>
    <x v="0"/>
    <s v=""/>
    <x v="1"/>
    <x v="1"/>
    <x v="116"/>
    <x v="117"/>
    <x v="0"/>
  </r>
  <r>
    <x v="773"/>
    <x v="123"/>
    <x v="0"/>
    <s v="METHODS TO ESTIMATE PHOTOSYNTHETIC ELECTRON TRANSFER RATES IN COMPLEX PLANT CANOPIES "/>
    <x v="1"/>
    <s v=""/>
    <x v="0"/>
    <s v=""/>
    <x v="1"/>
    <x v="1"/>
    <x v="116"/>
    <x v="117"/>
    <x v="0"/>
  </r>
  <r>
    <x v="774"/>
    <x v="123"/>
    <x v="44"/>
    <s v="METHODS TO INCREASE PLANT OIL PRODUCTION "/>
    <x v="536"/>
    <s v="03/27/2014"/>
    <x v="183"/>
    <s v="03/26/2019"/>
    <x v="288"/>
    <x v="265"/>
    <x v="116"/>
    <x v="117"/>
    <x v="4"/>
  </r>
  <r>
    <x v="773"/>
    <x v="123"/>
    <x v="0"/>
    <s v="METHODS TO ESTIMATE PHOTOSYNTHETIC ELECTRON TRANSFER RATES IN COMPLEX PLANT CANOPIES "/>
    <x v="537"/>
    <s v="04/29/2016"/>
    <x v="0"/>
    <s v=""/>
    <x v="100"/>
    <x v="84"/>
    <x v="116"/>
    <x v="117"/>
    <x v="0"/>
  </r>
  <r>
    <x v="775"/>
    <x v="123"/>
    <x v="0"/>
    <s v="METHODS TO ESTIMATE PHOTOSYNTHETIC ELECTRON TRANSFER RATES IN COMPLEX PLANT CANOPIES "/>
    <x v="538"/>
    <s v="10/26/2017"/>
    <x v="0"/>
    <s v=""/>
    <x v="1"/>
    <x v="1"/>
    <x v="116"/>
    <x v="117"/>
    <x v="0"/>
  </r>
  <r>
    <x v="776"/>
    <x v="124"/>
    <x v="49"/>
    <s v="INCREASING BIOPRODUCT YIELD BY REROUTING PHOTORESPIRATION PASSWAY IN PLANTS"/>
    <x v="539"/>
    <s v="02/28/2014"/>
    <x v="184"/>
    <s v="10/23/2018"/>
    <x v="289"/>
    <x v="266"/>
    <x v="117"/>
    <x v="118"/>
    <x v="0"/>
  </r>
  <r>
    <x v="777"/>
    <x v="124"/>
    <x v="128"/>
    <s v="INCREASING BIOPRODUCT YIELD BY BLOCKING GLYCOLATE TRANSPORT, INCREASING PHOTOSYNTHESIS RATE"/>
    <x v="1"/>
    <s v=""/>
    <x v="0"/>
    <s v=""/>
    <x v="1"/>
    <x v="1"/>
    <x v="117"/>
    <x v="118"/>
    <x v="0"/>
  </r>
  <r>
    <x v="778"/>
    <x v="124"/>
    <x v="128"/>
    <s v="INCREASING TERPENE YIELD BY ENGINEERING NOVEL STORAGE ORGANELLE AND METABOLON FOR SUBSTRATE CHANNELLING"/>
    <x v="540"/>
    <s v="02/03/2017"/>
    <x v="0"/>
    <s v=""/>
    <x v="1"/>
    <x v="1"/>
    <x v="117"/>
    <x v="118"/>
    <x v="0"/>
  </r>
  <r>
    <x v="779"/>
    <x v="124"/>
    <x v="128"/>
    <s v="INCREASING TERPENE YIELD BY ENGINEERING NOVEL STORAGE ORGANELLE AND METABOLON FOR SUBSTRATE CHANNELLING"/>
    <x v="541"/>
    <s v="08/06/2015"/>
    <x v="0"/>
    <s v=""/>
    <x v="121"/>
    <x v="105"/>
    <x v="117"/>
    <x v="118"/>
    <x v="0"/>
  </r>
  <r>
    <x v="780"/>
    <x v="125"/>
    <x v="64"/>
    <s v="METHOD TO INCREASE CROP PLANT CANOPY PRODUCTIVITY"/>
    <x v="542"/>
    <s v="06/28/2017"/>
    <x v="0"/>
    <s v=""/>
    <x v="259"/>
    <x v="236"/>
    <x v="118"/>
    <x v="119"/>
    <x v="0"/>
  </r>
  <r>
    <x v="781"/>
    <x v="125"/>
    <x v="64"/>
    <s v="FUSION CONSTRUCTS AS PROTEIN OVER-EXPRESSION VECTORS"/>
    <x v="543"/>
    <s v="06/23/2016"/>
    <x v="0"/>
    <s v=""/>
    <x v="290"/>
    <x v="267"/>
    <x v="118"/>
    <x v="119"/>
    <x v="0"/>
  </r>
  <r>
    <x v="782"/>
    <x v="125"/>
    <x v="64"/>
    <s v="METHOD TO INCREASE CROP PLANT CANOPY PRODUCTIVITY"/>
    <x v="544"/>
    <s v="06/28/2017"/>
    <x v="0"/>
    <s v=""/>
    <x v="62"/>
    <x v="51"/>
    <x v="118"/>
    <x v="119"/>
    <x v="0"/>
  </r>
  <r>
    <x v="783"/>
    <x v="125"/>
    <x v="64"/>
    <s v="FUSION CONSTRUCTS AS PROTEIN OVER-EXPRESSION VECTORS"/>
    <x v="545"/>
    <s v="12/21/2017"/>
    <x v="0"/>
    <s v=""/>
    <x v="291"/>
    <x v="268"/>
    <x v="118"/>
    <x v="119"/>
    <x v="0"/>
  </r>
  <r>
    <x v="784"/>
    <x v="125"/>
    <x v="64"/>
    <s v="TERPENE HYDROCARBONS PRODUCTION IN TOBACCO"/>
    <x v="1"/>
    <s v=""/>
    <x v="0"/>
    <s v=""/>
    <x v="1"/>
    <x v="1"/>
    <x v="118"/>
    <x v="119"/>
    <x v="0"/>
  </r>
  <r>
    <x v="785"/>
    <x v="126"/>
    <x v="129"/>
    <s v="ENHANCING OIL ACCUMULATOLN IN VEGETATIVE TISSUE OF PLANTS"/>
    <x v="546"/>
    <s v="07/02/2013"/>
    <x v="0"/>
    <s v=""/>
    <x v="1"/>
    <x v="1"/>
    <x v="119"/>
    <x v="120"/>
    <x v="0"/>
  </r>
  <r>
    <x v="786"/>
    <x v="126"/>
    <x v="130"/>
    <s v="GENETIC METHOD FOR THE PRODUCTION OF A HIGH SATURATE, LOW POLYUNSATURATED FATTY ACID SOYBEAN OIL"/>
    <x v="547"/>
    <s v="07/31/2015"/>
    <x v="0"/>
    <s v=""/>
    <x v="292"/>
    <x v="269"/>
    <x v="119"/>
    <x v="120"/>
    <x v="0"/>
  </r>
  <r>
    <x v="787"/>
    <x v="126"/>
    <x v="73"/>
    <s v="A SCREENABLE MARKER FOR THE GENERATION AND IDENTIFICATION OF TRANSGENIC PLANTS"/>
    <x v="1"/>
    <s v=""/>
    <x v="0"/>
    <s v=""/>
    <x v="1"/>
    <x v="1"/>
    <x v="119"/>
    <x v="120"/>
    <x v="0"/>
  </r>
  <r>
    <x v="788"/>
    <x v="126"/>
    <x v="131"/>
    <s v="ADDITION OF ICTB GENE INTO PHOTOSYNTHETIC CELLS OF A C4 PLANT INCREASES PHOTOSYNTHETIC"/>
    <x v="1"/>
    <s v=""/>
    <x v="0"/>
    <s v=""/>
    <x v="1"/>
    <x v="1"/>
    <x v="119"/>
    <x v="120"/>
    <x v="0"/>
  </r>
  <r>
    <x v="789"/>
    <x v="126"/>
    <x v="64"/>
    <s v="A Screenable Marker for the Generation and Identification of Transgenic Plants"/>
    <x v="1"/>
    <s v=""/>
    <x v="0"/>
    <s v=""/>
    <x v="1"/>
    <x v="1"/>
    <x v="119"/>
    <x v="120"/>
    <x v="0"/>
  </r>
  <r>
    <x v="790"/>
    <x v="126"/>
    <x v="131"/>
    <s v="A METHOD FOR IMPROVING THE CHILLING TOLERANCE OF SUGARCANE AND MEANS TO ACCELERATE ITS SELECTION"/>
    <x v="1"/>
    <s v=""/>
    <x v="0"/>
    <s v=""/>
    <x v="1"/>
    <x v="1"/>
    <x v="119"/>
    <x v="120"/>
    <x v="0"/>
  </r>
  <r>
    <x v="791"/>
    <x v="126"/>
    <x v="64"/>
    <s v="METHOD FOR THE PRODUCTION OF HIGH SATURATED, LOW POLYUNSATURATED SOYBEAN OIL"/>
    <x v="1"/>
    <s v=""/>
    <x v="0"/>
    <s v=""/>
    <x v="1"/>
    <x v="1"/>
    <x v="119"/>
    <x v="120"/>
    <x v="0"/>
  </r>
  <r>
    <x v="792"/>
    <x v="126"/>
    <x v="73"/>
    <s v="A SHORT 30nt REGION OF HOMOLOGY IS ABLE TO SUPPORT ERROR-FREE SITE SPECIFIC RECOMBINATION IN PLANTS"/>
    <x v="1"/>
    <s v=""/>
    <x v="0"/>
    <s v=""/>
    <x v="1"/>
    <x v="1"/>
    <x v="119"/>
    <x v="120"/>
    <x v="0"/>
  </r>
  <r>
    <x v="793"/>
    <x v="126"/>
    <x v="131"/>
    <s v="SEPARATION PROCESS OF OIL AND SUGARS FROM BIOMASS"/>
    <x v="548"/>
    <s v="10/14/2014"/>
    <x v="185"/>
    <s v="07/19/2016"/>
    <x v="293"/>
    <x v="270"/>
    <x v="119"/>
    <x v="120"/>
    <x v="0"/>
  </r>
  <r>
    <x v="794"/>
    <x v="126"/>
    <x v="131"/>
    <s v="IMPROVING PHOTOSYNTHETIC CAPACITY THROUGH INCREASED CANOPY LIGHT TRANSMITTANCE"/>
    <x v="549"/>
    <s v="01/13/2016"/>
    <x v="0"/>
    <s v=""/>
    <x v="1"/>
    <x v="1"/>
    <x v="119"/>
    <x v="120"/>
    <x v="0"/>
  </r>
  <r>
    <x v="795"/>
    <x v="126"/>
    <x v="131"/>
    <s v="A METHOD TO INCREASE PHOTOSYNTHETIC RATES IN A C4 PLANT THROUGH OVEREXPRESSION OF PYRUVATE ORTHOPHOSPHATE DIKINASE"/>
    <x v="550"/>
    <s v="06/22/2016"/>
    <x v="0"/>
    <s v=""/>
    <x v="1"/>
    <x v="1"/>
    <x v="119"/>
    <x v="120"/>
    <x v="0"/>
  </r>
  <r>
    <x v="796"/>
    <x v="127"/>
    <x v="51"/>
    <s v="CELL TYPE SPECIFIC PROMOTERS FROM CAMELINA SATIVA"/>
    <x v="1"/>
    <s v=""/>
    <x v="0"/>
    <s v=""/>
    <x v="1"/>
    <x v="1"/>
    <x v="120"/>
    <x v="121"/>
    <x v="0"/>
  </r>
  <r>
    <x v="797"/>
    <x v="127"/>
    <x v="11"/>
    <s v="NOVEL TECHNOLOGY TO ENABLE AND IMPROVE GENE EDITING AND TRANSFORMATION IN PLASTIDS"/>
    <x v="1"/>
    <s v=""/>
    <x v="0"/>
    <s v=""/>
    <x v="1"/>
    <x v="1"/>
    <x v="120"/>
    <x v="121"/>
    <x v="0"/>
  </r>
  <r>
    <x v="798"/>
    <x v="127"/>
    <x v="11"/>
    <s v="SYNTHETIC PATHWAY FOR BIOLOGICAL CARBON DIOXIDE SEQUESTRATION"/>
    <x v="1"/>
    <s v=""/>
    <x v="0"/>
    <s v=""/>
    <x v="1"/>
    <x v="1"/>
    <x v="120"/>
    <x v="121"/>
    <x v="0"/>
  </r>
  <r>
    <x v="799"/>
    <x v="127"/>
    <x v="11"/>
    <s v="ISOLATION AND CHARACTERIZATION OF A NEW TERPENE SYNTHASE FROM CAMELINA SATIVA"/>
    <x v="1"/>
    <s v=""/>
    <x v="0"/>
    <s v=""/>
    <x v="1"/>
    <x v="1"/>
    <x v="120"/>
    <x v="121"/>
    <x v="0"/>
  </r>
  <r>
    <x v="800"/>
    <x v="127"/>
    <x v="51"/>
    <s v="METABOLIC ENGINEERING OF PLANT TERPENOID PATHWAY FOR IMPROVEMENT OF PLANT GROWTH AND PRODUCTION OF ENCONOMIC METABOLITIES IN CAMELINA SATIVA"/>
    <x v="1"/>
    <s v=""/>
    <x v="0"/>
    <s v=""/>
    <x v="1"/>
    <x v="1"/>
    <x v="120"/>
    <x v="121"/>
    <x v="0"/>
  </r>
  <r>
    <x v="801"/>
    <x v="127"/>
    <x v="51"/>
    <s v="A SYNTHETIC TEMPLATE FOR IN-VIVO REVERSE TRANSCRIPTION"/>
    <x v="1"/>
    <s v=""/>
    <x v="0"/>
    <s v=""/>
    <x v="1"/>
    <x v="1"/>
    <x v="120"/>
    <x v="121"/>
    <x v="0"/>
  </r>
  <r>
    <x v="802"/>
    <x v="127"/>
    <x v="51"/>
    <s v="PRODUCING MEDIUM-CHAIN FATTY ACID IN CAMELINA SEED OIL"/>
    <x v="1"/>
    <s v=""/>
    <x v="0"/>
    <s v=""/>
    <x v="1"/>
    <x v="1"/>
    <x v="120"/>
    <x v="121"/>
    <x v="0"/>
  </r>
  <r>
    <x v="803"/>
    <x v="127"/>
    <x v="11"/>
    <s v="INCREASE MEDIUM, SATURATED FATY ACID CONTENT IN CAMELINA SEED OIL BY MANIPULATING FASII ENZYME ACTIVITY"/>
    <x v="1"/>
    <s v=""/>
    <x v="0"/>
    <s v=""/>
    <x v="1"/>
    <x v="1"/>
    <x v="120"/>
    <x v="121"/>
    <x v="0"/>
  </r>
  <r>
    <x v="804"/>
    <x v="127"/>
    <x v="11"/>
    <s v="INCREASE PRODUCTION OF LIMONENE AND OTHER TERPENES IN CAMELINA SATIVA"/>
    <x v="1"/>
    <s v=""/>
    <x v="0"/>
    <s v=""/>
    <x v="1"/>
    <x v="1"/>
    <x v="120"/>
    <x v="121"/>
    <x v="0"/>
  </r>
  <r>
    <x v="805"/>
    <x v="127"/>
    <x v="11"/>
    <s v="SYNTHETIC PATHWAY FOR BIOLOGICAL CARBON DIOXIDE SEQUESTRATION"/>
    <x v="551"/>
    <s v="01/19/2018"/>
    <x v="0"/>
    <s v=""/>
    <x v="1"/>
    <x v="1"/>
    <x v="120"/>
    <x v="121"/>
    <x v="0"/>
  </r>
  <r>
    <x v="806"/>
    <x v="127"/>
    <x v="11"/>
    <s v="INCREASING CO2/BICARBONATE UPTAKE AND BIOMASS PRODUCATION VIA EXPRESSION OF HIGH AFFINITY OR EXTREMOPHILE CO2/BICARBONAE TRANSPORTERS IN PLANTS AND CYANOBACTERIA"/>
    <x v="552"/>
    <s v="06/24/2013"/>
    <x v="0"/>
    <s v=""/>
    <x v="1"/>
    <x v="1"/>
    <x v="120"/>
    <x v="121"/>
    <x v="0"/>
  </r>
  <r>
    <x v="807"/>
    <x v="127"/>
    <x v="11"/>
    <s v="TRANSGENIC PLANTS EXPRESSING CHLOROPLAST TARGETED PYROCOCCUS FURIOSUS SUPEROXIDE REDUCTASE_x000d__x000a_"/>
    <x v="553"/>
    <s v="12/22/2015"/>
    <x v="0"/>
    <s v=""/>
    <x v="1"/>
    <x v="1"/>
    <x v="120"/>
    <x v="121"/>
    <x v="0"/>
  </r>
  <r>
    <x v="808"/>
    <x v="127"/>
    <x v="11"/>
    <s v="TRANSGENIC EXPRESSION OF ARCHAEA SUPEROXIDE REDUCTASE"/>
    <x v="554"/>
    <s v="06/24/2013"/>
    <x v="0"/>
    <s v=""/>
    <x v="1"/>
    <x v="1"/>
    <x v="120"/>
    <x v="121"/>
    <x v="0"/>
  </r>
  <r>
    <x v="809"/>
    <x v="127"/>
    <x v="11"/>
    <s v="METHODS AND COMPOSITIONS FOR ENHANCED BIOMASS PRODUCTION AND INCREASE ABIOTIC STRESS TOLERANCE"/>
    <x v="555"/>
    <s v="01/19/2018"/>
    <x v="0"/>
    <s v=""/>
    <x v="1"/>
    <x v="1"/>
    <x v="120"/>
    <x v="121"/>
    <x v="0"/>
  </r>
  <r>
    <x v="810"/>
    <x v="127"/>
    <x v="11"/>
    <s v="METHOD AND COMPOSITIONS FOR IMPROVEMENT IN SEED YIELD"/>
    <x v="556"/>
    <s v="12/22/2015"/>
    <x v="0"/>
    <s v=""/>
    <x v="1"/>
    <x v="1"/>
    <x v="120"/>
    <x v="121"/>
    <x v="0"/>
  </r>
  <r>
    <x v="811"/>
    <x v="127"/>
    <x v="11"/>
    <s v="INCREASING CO2/BICARBONATE UPTAKE AND BIOMASS PRODUCATION VIA EXPRESSION OF HIGH AFFINITY OR EXTREMOPHILE CO2/BICARBONAE TRANSPORTERS IN PLANTS AND CYANOBACTERIA"/>
    <x v="557"/>
    <s v="06/20/2014"/>
    <x v="0"/>
    <s v=""/>
    <x v="103"/>
    <x v="87"/>
    <x v="120"/>
    <x v="121"/>
    <x v="0"/>
  </r>
  <r>
    <x v="812"/>
    <x v="127"/>
    <x v="11"/>
    <s v="TRANSGENIC PLANTS EXPRESSING CHLOROPLAST TARGETED PYROCOCCUS FURIOSUS SUPEROXIDE REDUCTASE_x000d__x000a_"/>
    <x v="558"/>
    <s v="12/08/2017"/>
    <x v="0"/>
    <s v=""/>
    <x v="1"/>
    <x v="1"/>
    <x v="120"/>
    <x v="121"/>
    <x v="0"/>
  </r>
  <r>
    <x v="813"/>
    <x v="127"/>
    <x v="11"/>
    <s v="TRANSGENIC PLANTS EXPRESSING CHLOROPLAST TARGETED PYROCOCCUS FURIOSUS SUPEROXIDE REDUCTASE_x000d__x000a_"/>
    <x v="559"/>
    <s v="06/24/2013"/>
    <x v="0"/>
    <s v=""/>
    <x v="1"/>
    <x v="1"/>
    <x v="120"/>
    <x v="121"/>
    <x v="0"/>
  </r>
  <r>
    <x v="814"/>
    <x v="128"/>
    <x v="132"/>
    <s v="METHODS FOR ENABLING FARNESENE ACCUMULATION IN PLANTS AND RELATED COMPOSITIONS"/>
    <x v="560"/>
    <s v="02/26/2014"/>
    <x v="0"/>
    <s v=""/>
    <x v="1"/>
    <x v="1"/>
    <x v="121"/>
    <x v="122"/>
    <x v="0"/>
  </r>
  <r>
    <x v="815"/>
    <x v="128"/>
    <x v="132"/>
    <s v="ENGINEERING PLANTS TO PRODUCE FARNESENE AND OTHER TERPENOIDS"/>
    <x v="561"/>
    <s v="11/21/2013"/>
    <x v="0"/>
    <s v=""/>
    <x v="1"/>
    <x v="1"/>
    <x v="121"/>
    <x v="122"/>
    <x v="0"/>
  </r>
  <r>
    <x v="816"/>
    <x v="128"/>
    <x v="132"/>
    <s v="ENGINEERING PLANTS TO PRODUCE FARNESENE AND OTHER TERPENOIDS"/>
    <x v="562"/>
    <s v="11/15/2011"/>
    <x v="0"/>
    <s v=""/>
    <x v="1"/>
    <x v="1"/>
    <x v="121"/>
    <x v="122"/>
    <x v="0"/>
  </r>
  <r>
    <x v="817"/>
    <x v="128"/>
    <x v="132"/>
    <s v="ENGINEERING PLANTS WITH RATE LIMITING FARNESENE METABOLIC GENES"/>
    <x v="563"/>
    <s v="01/13/2012"/>
    <x v="0"/>
    <s v=""/>
    <x v="1"/>
    <x v="1"/>
    <x v="121"/>
    <x v="122"/>
    <x v="0"/>
  </r>
  <r>
    <x v="818"/>
    <x v="128"/>
    <x v="14"/>
    <s v="TARGETED METABOLIC ENGINEERING TO PRODUCE FARNESENE IN HIGHER PLANTS"/>
    <x v="1"/>
    <s v=""/>
    <x v="0"/>
    <s v=""/>
    <x v="1"/>
    <x v="1"/>
    <x v="121"/>
    <x v="122"/>
    <x v="0"/>
  </r>
  <r>
    <x v="819"/>
    <x v="128"/>
    <x v="114"/>
    <s v="METHODS FOR PRENYLATION OF PEPTIDES AND THEIR USE IN OVER-PRODUCTION OF FARNESENE AND GERANULGERANYL TERPENES"/>
    <x v="564"/>
    <s v="02/17/2017"/>
    <x v="0"/>
    <s v=""/>
    <x v="1"/>
    <x v="1"/>
    <x v="121"/>
    <x v="122"/>
    <x v="0"/>
  </r>
  <r>
    <x v="820"/>
    <x v="129"/>
    <x v="73"/>
    <s v="STIMULATION OF OLEORESIN FORMATION FOR INCREASING WOOD RESINOSIS AND FLOW"/>
    <x v="1"/>
    <s v=""/>
    <x v="0"/>
    <s v=""/>
    <x v="1"/>
    <x v="1"/>
    <x v="122"/>
    <x v="123"/>
    <x v="0"/>
  </r>
  <r>
    <x v="821"/>
    <x v="130"/>
    <x v="133"/>
    <s v="SINGLE BUS STAR CONNECTED SWITCHED RELUCTANCE (SB-SR) DRIVE"/>
    <x v="565"/>
    <s v="06/27/2014"/>
    <x v="186"/>
    <s v="05/10/2016"/>
    <x v="294"/>
    <x v="271"/>
    <x v="123"/>
    <x v="124"/>
    <x v="0"/>
  </r>
  <r>
    <x v="822"/>
    <x v="130"/>
    <x v="133"/>
    <s v="EXTERIOR ROTOR SWITCHED RELUCTANCE MACHINE"/>
    <x v="1"/>
    <s v=""/>
    <x v="0"/>
    <s v=""/>
    <x v="1"/>
    <x v="1"/>
    <x v="123"/>
    <x v="124"/>
    <x v="0"/>
  </r>
  <r>
    <x v="823"/>
    <x v="130"/>
    <x v="133"/>
    <s v="DOUBLE STATOR SWITCHED RELUCTANCE MOTOR WITH PERMANENT MANET EXCITATION ON ROTOR"/>
    <x v="1"/>
    <s v=""/>
    <x v="0"/>
    <s v=""/>
    <x v="1"/>
    <x v="1"/>
    <x v="123"/>
    <x v="124"/>
    <x v="0"/>
  </r>
  <r>
    <x v="824"/>
    <x v="131"/>
    <x v="82"/>
    <s v="ENHANCEMENT MODE III-NITRIDE DEVICES"/>
    <x v="566"/>
    <s v="03/13/2013"/>
    <x v="187"/>
    <s v="07/21/2015"/>
    <x v="295"/>
    <x v="1"/>
    <x v="124"/>
    <x v="125"/>
    <x v="0"/>
  </r>
  <r>
    <x v="825"/>
    <x v="131"/>
    <x v="82"/>
    <s v="ENHANCEMENT MODE III-NITRIDE DEVICES"/>
    <x v="567"/>
    <s v="05/18/2015"/>
    <x v="188"/>
    <s v="03/07/2017"/>
    <x v="296"/>
    <x v="272"/>
    <x v="124"/>
    <x v="125"/>
    <x v="0"/>
  </r>
  <r>
    <x v="826"/>
    <x v="131"/>
    <x v="82"/>
    <s v="FORMING ENHANCEMENT MODE III-NITRIDE DEVICES"/>
    <x v="568"/>
    <s v="11/17/2014"/>
    <x v="189"/>
    <s v="04/19/2016"/>
    <x v="297"/>
    <x v="273"/>
    <x v="124"/>
    <x v="125"/>
    <x v="0"/>
  </r>
  <r>
    <x v="827"/>
    <x v="132"/>
    <x v="134"/>
    <s v="PACKAGING METHOD FOR SEMICONDUCTOR DICE WITH MULTIPLE CONTACTS ON BOTH FRONT AND BACK SIDES"/>
    <x v="569"/>
    <s v="04/23/2013"/>
    <x v="0"/>
    <s v=""/>
    <x v="1"/>
    <x v="1"/>
    <x v="125"/>
    <x v="126"/>
    <x v="0"/>
  </r>
  <r>
    <x v="828"/>
    <x v="132"/>
    <x v="134"/>
    <s v="PACKAGING METHOD FOR SEMICONDUCTOR DICE WITH MULTIPLE CONTACTS ON BOTH FRONT AND BACK SIDES"/>
    <x v="570"/>
    <s v="04/01/2014"/>
    <x v="0"/>
    <s v=""/>
    <x v="1"/>
    <x v="1"/>
    <x v="125"/>
    <x v="126"/>
    <x v="0"/>
  </r>
  <r>
    <x v="829"/>
    <x v="133"/>
    <x v="68"/>
    <s v="BALANCING, FILTERING AND/OR CONTROLLING SERIES-CONNECTED CELLS"/>
    <x v="571"/>
    <s v="03/15/2013"/>
    <x v="0"/>
    <s v=""/>
    <x v="1"/>
    <x v="1"/>
    <x v="126"/>
    <x v="127"/>
    <x v="0"/>
  </r>
  <r>
    <x v="830"/>
    <x v="134"/>
    <x v="131"/>
    <s v="PHOTOVOLTAIC STRING PROTECTION METHOD AND APPARATUS"/>
    <x v="572"/>
    <s v="09/03/2014"/>
    <x v="0"/>
    <s v=""/>
    <x v="298"/>
    <x v="274"/>
    <x v="127"/>
    <x v="128"/>
    <x v="0"/>
  </r>
  <r>
    <x v="831"/>
    <x v="134"/>
    <x v="33"/>
    <s v="SYSTEM AND METHOD FOR POWER POINT TRACKING FOR PHOTOVOLTAIC CELLS "/>
    <x v="573"/>
    <s v="09/11/2015"/>
    <x v="0"/>
    <s v=""/>
    <x v="1"/>
    <x v="1"/>
    <x v="127"/>
    <x v="128"/>
    <x v="0"/>
  </r>
  <r>
    <x v="832"/>
    <x v="134"/>
    <x v="131"/>
    <s v="POWER PROCESSING"/>
    <x v="574"/>
    <s v="08/27/2015"/>
    <x v="0"/>
    <s v=""/>
    <x v="1"/>
    <x v="1"/>
    <x v="127"/>
    <x v="128"/>
    <x v="0"/>
  </r>
  <r>
    <x v="833"/>
    <x v="134"/>
    <x v="131"/>
    <s v="MULTI-VARIABLE POWER POINT TRACKING"/>
    <x v="575"/>
    <s v="06/26/2015"/>
    <x v="0"/>
    <s v=""/>
    <x v="1"/>
    <x v="1"/>
    <x v="127"/>
    <x v="128"/>
    <x v="0"/>
  </r>
  <r>
    <x v="834"/>
    <x v="135"/>
    <x v="135"/>
    <s v="TUNABLE ANISOTROPY OF CO-BASED NANOCOMPOSITES FOR MAGNETIC FIELD SENSING AND INDUCTOR APPLICATIONS"/>
    <x v="576"/>
    <s v="05/14/2014"/>
    <x v="0"/>
    <s v=""/>
    <x v="1"/>
    <x v="1"/>
    <x v="128"/>
    <x v="129"/>
    <x v="0"/>
  </r>
  <r>
    <x v="835"/>
    <x v="135"/>
    <x v="135"/>
    <s v="TUNABLE ANISOTROPY OF CO-BASED NANOCOMPOSITES FOR MAGNETIC FIELD SENSING AND INDUCTOR APPLICATIONS_x000d__x000d_NO WHITE FILE"/>
    <x v="577"/>
    <s v="07/08/2016"/>
    <x v="0"/>
    <s v=""/>
    <x v="1"/>
    <x v="1"/>
    <x v="128"/>
    <x v="129"/>
    <x v="0"/>
  </r>
  <r>
    <x v="836"/>
    <x v="135"/>
    <x v="136"/>
    <s v="TUNABLE ANISOTROPY OF CO-BASED NANOCOMPOSITES FOR MAGNETIC FIELD SENSING AND INDUCTOR APPLICATIONS"/>
    <x v="1"/>
    <s v=""/>
    <x v="0"/>
    <s v=""/>
    <x v="1"/>
    <x v="1"/>
    <x v="128"/>
    <x v="129"/>
    <x v="0"/>
  </r>
  <r>
    <x v="837"/>
    <x v="135"/>
    <x v="135"/>
    <s v="TUNABLE ANISOTROPY OF CO-BASED NANOCOMPOSITIES FOR MAGNETIC FIELD SENSING AND INDUCTOR APPLICATIONS"/>
    <x v="1"/>
    <s v=""/>
    <x v="0"/>
    <s v=""/>
    <x v="1"/>
    <x v="1"/>
    <x v="128"/>
    <x v="129"/>
    <x v="0"/>
  </r>
  <r>
    <x v="838"/>
    <x v="135"/>
    <x v="135"/>
    <s v="CO-BASED AMORPHOUS AND NANOCOMPOSITE MATERIALS, AND THE PROCESSING THEREOF, FOR ELECTRIC MOTOR DEVICE APPLICATIONS"/>
    <x v="1"/>
    <s v=""/>
    <x v="0"/>
    <s v=""/>
    <x v="1"/>
    <x v="1"/>
    <x v="128"/>
    <x v="129"/>
    <x v="0"/>
  </r>
  <r>
    <x v="839"/>
    <x v="136"/>
    <x v="0"/>
    <s v="SYSTEM AND METHOD FOR OPTIMIZING FUNDAMENTAL FREQUENCY MODULATION FOR A CASCADED MULTILEVEL INVERTER"/>
    <x v="578"/>
    <s v="06/21/2016"/>
    <x v="0"/>
    <s v=""/>
    <x v="299"/>
    <x v="275"/>
    <x v="129"/>
    <x v="130"/>
    <x v="0"/>
  </r>
  <r>
    <x v="840"/>
    <x v="136"/>
    <x v="0"/>
    <s v="INCOMPLETE- INDEPENDENT REAL AND REACTIVE POWER FLOW CONTROL WITHOUT SENSING RECEIVING END VOLTAGE IN TRANSFORMER-LESS UNTIFIED POWER FLOW CONTROLLER"/>
    <x v="579"/>
    <s v="08/04/2016"/>
    <x v="0"/>
    <s v=""/>
    <x v="101"/>
    <x v="85"/>
    <x v="129"/>
    <x v="130"/>
    <x v="0"/>
  </r>
  <r>
    <x v="841"/>
    <x v="136"/>
    <x v="0"/>
    <s v="A GENERALIZED LINEAR OPTIMAL FLOW METHOD"/>
    <x v="580"/>
    <s v=""/>
    <x v="0"/>
    <s v=""/>
    <x v="1"/>
    <x v="1"/>
    <x v="129"/>
    <x v="130"/>
    <x v="0"/>
  </r>
  <r>
    <x v="842"/>
    <x v="136"/>
    <x v="0"/>
    <s v="METHOD FOR INDEPENDENT REAL AND REACTIVE POWER FLOW CONTROL USING LOCALLY AVAILABLE PARAMETERS"/>
    <x v="581"/>
    <s v="02/13/2018"/>
    <x v="0"/>
    <s v=""/>
    <x v="1"/>
    <x v="1"/>
    <x v="129"/>
    <x v="130"/>
    <x v="0"/>
  </r>
  <r>
    <x v="840"/>
    <x v="136"/>
    <x v="0"/>
    <s v="METHOD FOR INDEPENDENT REAL AND REACTIVE POWER FLOW CONTROL USING LOCALLY AVAILABLE PARAMETERS"/>
    <x v="579"/>
    <s v="08/04/2016"/>
    <x v="0"/>
    <s v=""/>
    <x v="101"/>
    <x v="85"/>
    <x v="129"/>
    <x v="130"/>
    <x v="0"/>
  </r>
  <r>
    <x v="408"/>
    <x v="136"/>
    <x v="137"/>
    <s v="CORE STRUCTED COMPONENTS, CONTAINERS, AND METHODS OF CASTING"/>
    <x v="582"/>
    <s v="02/08/2014"/>
    <x v="0"/>
    <s v=""/>
    <x v="1"/>
    <x v="1"/>
    <x v="129"/>
    <x v="130"/>
    <x v="0"/>
  </r>
  <r>
    <x v="843"/>
    <x v="137"/>
    <x v="53"/>
    <s v="HYBRID HIGH VOLTAGE DC CONVERTER SYSTEM AND CONTROL METHODS"/>
    <x v="583"/>
    <s v="11/29/2012"/>
    <x v="0"/>
    <s v=""/>
    <x v="1"/>
    <x v="1"/>
    <x v="130"/>
    <x v="131"/>
    <x v="0"/>
  </r>
  <r>
    <x v="844"/>
    <x v="137"/>
    <x v="53"/>
    <s v="ELECTRIC POWER CONVERSION SYSTEM AND METHOD OF OPERATING THE SAME"/>
    <x v="584"/>
    <s v="09/06/2013"/>
    <x v="0"/>
    <s v=""/>
    <x v="1"/>
    <x v="1"/>
    <x v="130"/>
    <x v="131"/>
    <x v="0"/>
  </r>
  <r>
    <x v="845"/>
    <x v="137"/>
    <x v="53"/>
    <s v="HIGH VOLTAGE DC POWER CONVERSION SYSTEM AND METHOD OF OPERATING THE SAME"/>
    <x v="585"/>
    <s v="11/20/2013"/>
    <x v="190"/>
    <s v="08/02/2016"/>
    <x v="300"/>
    <x v="276"/>
    <x v="130"/>
    <x v="131"/>
    <x v="0"/>
  </r>
  <r>
    <x v="846"/>
    <x v="137"/>
    <x v="11"/>
    <s v="METHOD AND APPARATUS FOR Y CONNECTED THREE-PHASE MODULAR CONVERTER FOR POWER CONVERSION AND POWER TRANSMISSION"/>
    <x v="1"/>
    <s v=""/>
    <x v="0"/>
    <s v=""/>
    <x v="1"/>
    <x v="1"/>
    <x v="130"/>
    <x v="131"/>
    <x v="0"/>
  </r>
  <r>
    <x v="847"/>
    <x v="137"/>
    <x v="53"/>
    <s v="METHOD AND CONNECT ELECTERICAL EQUIPMENT/SYSTEM TO A DC GRID"/>
    <x v="1"/>
    <s v=""/>
    <x v="0"/>
    <s v=""/>
    <x v="1"/>
    <x v="1"/>
    <x v="130"/>
    <x v="131"/>
    <x v="0"/>
  </r>
  <r>
    <x v="848"/>
    <x v="137"/>
    <x v="53"/>
    <s v="WIND POWER COLLECTION SYSTEM, POWER CONVERTER AND CONTROL METHODS"/>
    <x v="1"/>
    <s v=""/>
    <x v="0"/>
    <s v=""/>
    <x v="1"/>
    <x v="1"/>
    <x v="130"/>
    <x v="131"/>
    <x v="0"/>
  </r>
  <r>
    <x v="849"/>
    <x v="137"/>
    <x v="53"/>
    <s v="METHOD AND CONTROL FOR DIRECT HVDC CONNECTION OF DISTRIBUTED SOURCES AND LOADS"/>
    <x v="1"/>
    <s v=""/>
    <x v="0"/>
    <s v=""/>
    <x v="1"/>
    <x v="1"/>
    <x v="130"/>
    <x v="131"/>
    <x v="0"/>
  </r>
  <r>
    <x v="850"/>
    <x v="137"/>
    <x v="53"/>
    <s v="DIRECT CURRENT TRANSMISSION AND DISTRIBUTION SYSTEM AND METHOD OF OPERATING THE SAME"/>
    <x v="586"/>
    <s v="03/15/2013"/>
    <x v="191"/>
    <s v="04/05/2016"/>
    <x v="301"/>
    <x v="277"/>
    <x v="130"/>
    <x v="131"/>
    <x v="0"/>
  </r>
  <r>
    <x v="851"/>
    <x v="137"/>
    <x v="138"/>
    <s v="METHODS TO FORM AND OPERATE MULTI-TERMINAL POWER SYSTEMS"/>
    <x v="587"/>
    <s v="11/18/2013"/>
    <x v="0"/>
    <s v=""/>
    <x v="1"/>
    <x v="1"/>
    <x v="130"/>
    <x v="131"/>
    <x v="0"/>
  </r>
  <r>
    <x v="852"/>
    <x v="137"/>
    <x v="138"/>
    <s v="MULTI-TERMINAL DC POWER SYSTEMS EMPLOYING AUTONOMOUS LOCAL CONTROL METHODS"/>
    <x v="588"/>
    <s v="08/27/2015"/>
    <x v="0"/>
    <s v=""/>
    <x v="1"/>
    <x v="1"/>
    <x v="130"/>
    <x v="131"/>
    <x v="0"/>
  </r>
  <r>
    <x v="853"/>
    <x v="138"/>
    <x v="20"/>
    <s v="DISTRIBUTED FREQUENCY REGULATION FRAMEWORK"/>
    <x v="1"/>
    <s v=""/>
    <x v="0"/>
    <s v=""/>
    <x v="1"/>
    <x v="1"/>
    <x v="131"/>
    <x v="132"/>
    <x v="0"/>
  </r>
  <r>
    <x v="854"/>
    <x v="139"/>
    <x v="24"/>
    <s v="DISTRIBUTED ADMM-BASED OPTIMAL POWER FLOW ALGORITHM FOR UNBALANCED RADIAL NETWORK"/>
    <x v="589"/>
    <s v="04/21/2016"/>
    <x v="0"/>
    <s v=""/>
    <x v="1"/>
    <x v="1"/>
    <x v="132"/>
    <x v="133"/>
    <x v="0"/>
  </r>
  <r>
    <x v="855"/>
    <x v="139"/>
    <x v="24"/>
    <s v="DISTRIBUTED GRADIENT DESCENT FOR SOLVING OPTIMAL POWER FLOW IN RADIAL NETWORKS"/>
    <x v="590"/>
    <s v="08/04/2015"/>
    <x v="0"/>
    <s v=""/>
    <x v="69"/>
    <x v="56"/>
    <x v="132"/>
    <x v="133"/>
    <x v="0"/>
  </r>
  <r>
    <x v="856"/>
    <x v="139"/>
    <x v="24"/>
    <s v="DISTRIBUTED OPTIMAL POWER FLOW PROCESSES FOR UNBALANCED RADIAL"/>
    <x v="591"/>
    <s v="06/10/2019"/>
    <x v="0"/>
    <s v=""/>
    <x v="1"/>
    <x v="1"/>
    <x v="132"/>
    <x v="133"/>
    <x v="0"/>
  </r>
  <r>
    <x v="857"/>
    <x v="139"/>
    <x v="24"/>
    <s v="DISTRIBUTED ALGORITHM OF OPTIMAL POWER FLOW PROBLEM ON A RADIAL NETWORK"/>
    <x v="1"/>
    <s v=""/>
    <x v="0"/>
    <s v=""/>
    <x v="1"/>
    <x v="1"/>
    <x v="132"/>
    <x v="133"/>
    <x v="0"/>
  </r>
  <r>
    <x v="858"/>
    <x v="139"/>
    <x v="24"/>
    <s v="OPTIMAL POWER FLOW IN MULTIPHASE RADIAL NETWORKS"/>
    <x v="1"/>
    <s v=""/>
    <x v="0"/>
    <s v=""/>
    <x v="1"/>
    <x v="1"/>
    <x v="132"/>
    <x v="133"/>
    <x v="0"/>
  </r>
  <r>
    <x v="859"/>
    <x v="139"/>
    <x v="24"/>
    <s v="ENERGY TECHNOLOGY UPTAKE ANALYSIS TOOL"/>
    <x v="1"/>
    <s v=""/>
    <x v="0"/>
    <s v=""/>
    <x v="1"/>
    <x v="1"/>
    <x v="132"/>
    <x v="133"/>
    <x v="0"/>
  </r>
  <r>
    <x v="860"/>
    <x v="139"/>
    <x v="24"/>
    <s v="OPTIMAL FEEDER RECONFIGURATION IN DISTRIBUTION NETWORK"/>
    <x v="1"/>
    <s v=""/>
    <x v="0"/>
    <s v=""/>
    <x v="1"/>
    <x v="1"/>
    <x v="132"/>
    <x v="133"/>
    <x v="0"/>
  </r>
  <r>
    <x v="861"/>
    <x v="139"/>
    <x v="24"/>
    <s v="DISTRIBUTEDGRADIENT DECENT FOR SOLVING OPTIMAL POWER FLOW IN MULTIPHASE RADIAL NETWORKS"/>
    <x v="1"/>
    <s v=""/>
    <x v="0"/>
    <s v=""/>
    <x v="1"/>
    <x v="1"/>
    <x v="132"/>
    <x v="133"/>
    <x v="0"/>
  </r>
  <r>
    <x v="861"/>
    <x v="139"/>
    <x v="24"/>
    <s v="DISTRIBUTEDGRADIENT DECENT FOR SOLVING OPTIMAL POWER FLOW IN MULTIPHASE RADIAL NETWORKS"/>
    <x v="1"/>
    <s v=""/>
    <x v="0"/>
    <s v=""/>
    <x v="1"/>
    <x v="1"/>
    <x v="132"/>
    <x v="133"/>
    <x v="0"/>
  </r>
  <r>
    <x v="862"/>
    <x v="139"/>
    <x v="24"/>
    <s v="DISTRIBUTED GRADIENT DESCENT FOR SOLVING OPTIMAL POWER FLOW IN RADIAL NETWORKS"/>
    <x v="592"/>
    <s v="08/04/2015"/>
    <x v="192"/>
    <s v="12/18/2018"/>
    <x v="302"/>
    <x v="278"/>
    <x v="132"/>
    <x v="133"/>
    <x v="0"/>
  </r>
  <r>
    <x v="863"/>
    <x v="139"/>
    <x v="24"/>
    <s v="DISTRIBUTED GRADIENT DECENT FOR SOLVING OPTIMAL POWER FLOW IN MULTIPHASE RADIAL NETWORKS"/>
    <x v="1"/>
    <s v=""/>
    <x v="0"/>
    <s v=""/>
    <x v="1"/>
    <x v="1"/>
    <x v="132"/>
    <x v="133"/>
    <x v="0"/>
  </r>
  <r>
    <x v="860"/>
    <x v="139"/>
    <x v="24"/>
    <s v="DISTRIBUTED GRADIENT DECENT FOR SOLVING OPTIMAL POWER FLOW IN MULTIPHASE RADIAL NETWORKS"/>
    <x v="1"/>
    <s v=""/>
    <x v="0"/>
    <s v=""/>
    <x v="1"/>
    <x v="1"/>
    <x v="132"/>
    <x v="133"/>
    <x v="0"/>
  </r>
  <r>
    <x v="864"/>
    <x v="139"/>
    <x v="24"/>
    <s v="LOAD-SIDE FREQUENCY CONTROL IN POWER SYSTEMS"/>
    <x v="1"/>
    <s v=""/>
    <x v="0"/>
    <s v=""/>
    <x v="1"/>
    <x v="1"/>
    <x v="132"/>
    <x v="133"/>
    <x v="0"/>
  </r>
  <r>
    <x v="865"/>
    <x v="140"/>
    <x v="139"/>
    <s v="COMPACT DYNAMIC PHASE ANGLE REGULATORS"/>
    <x v="593"/>
    <s v="12/06/2012"/>
    <x v="193"/>
    <s v="11/24/2015"/>
    <x v="303"/>
    <x v="279"/>
    <x v="133"/>
    <x v="134"/>
    <x v="0"/>
  </r>
  <r>
    <x v="866"/>
    <x v="140"/>
    <x v="139"/>
    <s v="POWER FLOW CONTROLLER WITH A FRACTIONALLY RATED BACK-TO-BACK CONVERTER"/>
    <x v="348"/>
    <s v="11/19/2012"/>
    <x v="0"/>
    <s v=""/>
    <x v="225"/>
    <x v="204"/>
    <x v="133"/>
    <x v="134"/>
    <x v="0"/>
  </r>
  <r>
    <x v="867"/>
    <x v="140"/>
    <x v="139"/>
    <s v="DYNAMIC POWER FLOW CONTROLLERS"/>
    <x v="594"/>
    <s v="04/23/2014"/>
    <x v="194"/>
    <s v="03/07/2017"/>
    <x v="304"/>
    <x v="280"/>
    <x v="133"/>
    <x v="134"/>
    <x v="0"/>
  </r>
  <r>
    <x v="868"/>
    <x v="140"/>
    <x v="139"/>
    <s v="METHODS AND SYSTEMS OF FIELD UPGRADEABLE TRANSFORMERS"/>
    <x v="595"/>
    <s v="02/21/2014"/>
    <x v="0"/>
    <s v=""/>
    <x v="1"/>
    <x v="1"/>
    <x v="133"/>
    <x v="134"/>
    <x v="0"/>
  </r>
  <r>
    <x v="869"/>
    <x v="141"/>
    <x v="140"/>
    <s v="NANOFILLED ETHYLENE PROPYLENE RUBBER COMPOSITION FOR SPACE CHARGE SURPRESSION IN HIGH VOLTAGE DC CABLE INSULATION"/>
    <x v="596"/>
    <s v="10/10/2014"/>
    <x v="0"/>
    <s v=""/>
    <x v="1"/>
    <x v="1"/>
    <x v="134"/>
    <x v="135"/>
    <x v="0"/>
  </r>
  <r>
    <x v="870"/>
    <x v="142"/>
    <x v="136"/>
    <s v="DISTRIBUTED METHOD FOR BALANCING SUPPLY AND DEMAND IN AN ELECTRIC POWER NETWORK"/>
    <x v="530"/>
    <s v="06/27/2013"/>
    <x v="0"/>
    <s v=""/>
    <x v="1"/>
    <x v="1"/>
    <x v="135"/>
    <x v="136"/>
    <x v="0"/>
  </r>
  <r>
    <x v="871"/>
    <x v="142"/>
    <x v="136"/>
    <s v="COMPUTATIONAL METHODS FOR DISTRIBUTED SECURITY CONSTRAINED POWER FLOW CONTROL"/>
    <x v="1"/>
    <s v=""/>
    <x v="0"/>
    <s v=""/>
    <x v="1"/>
    <x v="1"/>
    <x v="135"/>
    <x v="136"/>
    <x v="0"/>
  </r>
  <r>
    <x v="872"/>
    <x v="143"/>
    <x v="141"/>
    <s v="PULSED INTERRUPTER AND METHOD OF OPERATION"/>
    <x v="597"/>
    <s v="04/25/2013"/>
    <x v="195"/>
    <s v="06/09/2015"/>
    <x v="305"/>
    <x v="281"/>
    <x v="136"/>
    <x v="137"/>
    <x v="0"/>
  </r>
  <r>
    <x v="873"/>
    <x v="144"/>
    <x v="142"/>
    <s v="BOTTOM-UP LOAD FORECASTING FROM INDIVIDUAL CUSTOMER TO SYSTEM LEVEL BASED ON PRICE"/>
    <x v="598"/>
    <s v="10/13/2014"/>
    <x v="0"/>
    <s v=""/>
    <x v="285"/>
    <x v="262"/>
    <x v="137"/>
    <x v="138"/>
    <x v="0"/>
  </r>
  <r>
    <x v="874"/>
    <x v="144"/>
    <x v="142"/>
    <s v="A SYSTEM AND A METHOD FOR OPTIMIZATION AND MANAGEMENT OF DEMAND RESPONSE AND DISTRBIUTED ENERGY RESOURCES"/>
    <x v="599"/>
    <s v="03/16/2014"/>
    <x v="0"/>
    <s v=""/>
    <x v="306"/>
    <x v="282"/>
    <x v="137"/>
    <x v="138"/>
    <x v="0"/>
  </r>
  <r>
    <x v="875"/>
    <x v="144"/>
    <x v="142"/>
    <s v="A SCALABLE AND WEB-BASED DR PLATFORM FOR COMMUNICATION OF A DR SIGNAL USING A NETWORK SERVER"/>
    <x v="600"/>
    <s v="09/26/2014"/>
    <x v="0"/>
    <s v=""/>
    <x v="201"/>
    <x v="181"/>
    <x v="137"/>
    <x v="138"/>
    <x v="0"/>
  </r>
  <r>
    <x v="876"/>
    <x v="144"/>
    <x v="142"/>
    <s v="SYSTEM FOR IDENTIFYING OPERABILITY FAILURE IN DEMAND RESPONSE (DR) ASSETS"/>
    <x v="601"/>
    <s v="11/13/2013"/>
    <x v="0"/>
    <s v=""/>
    <x v="235"/>
    <x v="214"/>
    <x v="137"/>
    <x v="138"/>
    <x v="0"/>
  </r>
  <r>
    <x v="877"/>
    <x v="144"/>
    <x v="142"/>
    <s v="SINGLE PROCESSING FOR CHARACTERIZATION OF BASELINE NOISE, AND METHOD OF DETERMINING LOAD REDUCTION IN THE PRESENCE OF BASELINE NOISE"/>
    <x v="602"/>
    <s v="03/23/2015"/>
    <x v="0"/>
    <s v=""/>
    <x v="307"/>
    <x v="283"/>
    <x v="137"/>
    <x v="138"/>
    <x v="0"/>
  </r>
  <r>
    <x v="878"/>
    <x v="145"/>
    <x v="87"/>
    <s v="KITE GROUND STATION AND SYSTEM USING SAME"/>
    <x v="603"/>
    <s v="12/18/2012"/>
    <x v="196"/>
    <s v="11/18/2014"/>
    <x v="308"/>
    <x v="1"/>
    <x v="75"/>
    <x v="139"/>
    <x v="0"/>
  </r>
  <r>
    <x v="879"/>
    <x v="146"/>
    <x v="143"/>
    <s v="LOADING AND RELEASING NATURAL GAS IN NANO-VALVED SORBENTS"/>
    <x v="1"/>
    <s v=""/>
    <x v="0"/>
    <s v=""/>
    <x v="1"/>
    <x v="1"/>
    <x v="138"/>
    <x v="140"/>
    <x v="0"/>
  </r>
  <r>
    <x v="880"/>
    <x v="146"/>
    <x v="144"/>
    <s v="METHOD FOR LOADING AND STORING GAS IN NANO-VALVED SORBENTS"/>
    <x v="604"/>
    <s v="04/25/2014"/>
    <x v="197"/>
    <s v="02/02/2016"/>
    <x v="309"/>
    <x v="284"/>
    <x v="138"/>
    <x v="140"/>
    <x v="0"/>
  </r>
  <r>
    <x v="881"/>
    <x v="146"/>
    <x v="145"/>
    <s v="COMPOSITE ZEOLITE SORBENTS FOR SIZE-SELECTIVE ADSORPTION SEPARATION"/>
    <x v="1"/>
    <s v=""/>
    <x v="0"/>
    <s v=""/>
    <x v="1"/>
    <x v="1"/>
    <x v="138"/>
    <x v="140"/>
    <x v="0"/>
  </r>
  <r>
    <x v="882"/>
    <x v="146"/>
    <x v="144"/>
    <s v="6A SYSTEM-LEVEL METHOD FOR LOADING AND RELEASING NATURAL GAS IN NANO VALUVED SORBENTS"/>
    <x v="1"/>
    <s v=""/>
    <x v="0"/>
    <s v=""/>
    <x v="1"/>
    <x v="1"/>
    <x v="138"/>
    <x v="140"/>
    <x v="0"/>
  </r>
  <r>
    <x v="883"/>
    <x v="146"/>
    <x v="144"/>
    <s v="A SYSTEM-LEVEL METHOD FOR LOADING AND RELEASING NATURAL GAS IN NANO VALUVED SORBENTS"/>
    <x v="1"/>
    <s v=""/>
    <x v="0"/>
    <s v=""/>
    <x v="1"/>
    <x v="1"/>
    <x v="138"/>
    <x v="140"/>
    <x v="0"/>
  </r>
  <r>
    <x v="884"/>
    <x v="146"/>
    <x v="144"/>
    <s v="A SYSTEM-LEVEL METHOD FOR LOADING AND RELEASING NATURAL GAS IN NANO VALUVED SORBENTS"/>
    <x v="1"/>
    <s v=""/>
    <x v="0"/>
    <s v=""/>
    <x v="1"/>
    <x v="1"/>
    <x v="138"/>
    <x v="140"/>
    <x v="0"/>
  </r>
  <r>
    <x v="885"/>
    <x v="147"/>
    <x v="146"/>
    <s v="A General Method to Build Up Chemically Stable MOFs Through the Combination of Inorganic Building Block Precursor and Modulating Strategy"/>
    <x v="605"/>
    <s v="11/26/2014"/>
    <x v="198"/>
    <s v="08/08/2017"/>
    <x v="310"/>
    <x v="1"/>
    <x v="43"/>
    <x v="141"/>
    <x v="0"/>
  </r>
  <r>
    <x v="886"/>
    <x v="147"/>
    <x v="49"/>
    <s v="A GENERAL METHOD TO PREPARE CHEMICALLY STABLE MOFs THROUGH A STEPWISE STRATEGY INVOLVING POST-SYNTHETIC METAL EXCHANGE AND REDOX REACTIONS"/>
    <x v="606"/>
    <s v="05/11/2015"/>
    <x v="0"/>
    <s v=""/>
    <x v="311"/>
    <x v="285"/>
    <x v="43"/>
    <x v="141"/>
    <x v="0"/>
  </r>
  <r>
    <x v="887"/>
    <x v="147"/>
    <x v="146"/>
    <s v="A General Method to Build Up Chemically Stable MOFs Through the Combination of Inorganic Building Block Precursor and Modulating Strategy"/>
    <x v="241"/>
    <s v="11/26/2014"/>
    <x v="112"/>
    <s v="08/11/2015"/>
    <x v="182"/>
    <x v="163"/>
    <x v="43"/>
    <x v="141"/>
    <x v="0"/>
  </r>
  <r>
    <x v="888"/>
    <x v="147"/>
    <x v="146"/>
    <s v="A General Method to Build Up Chemically Stable MOFs Through the Combination of Inorganic Building Block Precursor and Modulating Strategy"/>
    <x v="607"/>
    <s v="05/11/2015"/>
    <x v="112"/>
    <s v="08/11/2015"/>
    <x v="312"/>
    <x v="163"/>
    <x v="43"/>
    <x v="141"/>
    <x v="0"/>
  </r>
  <r>
    <x v="889"/>
    <x v="147"/>
    <x v="146"/>
    <s v="A GENERAL METHOD TO PREPARE CHEMICALLY STABLE MOFS THROUGH A STEPWISE STRATEGY INVOLVING POST-SYNTHETIC METAL EXCHANGE AND REDOX REACTIONS"/>
    <x v="1"/>
    <s v=""/>
    <x v="0"/>
    <s v=""/>
    <x v="1"/>
    <x v="1"/>
    <x v="43"/>
    <x v="141"/>
    <x v="0"/>
  </r>
  <r>
    <x v="890"/>
    <x v="147"/>
    <x v="146"/>
    <s v="A General Method to Build Up Chemically Stable MOFs Through the Combination of Inorganic Building Block Precursor and Modulating Strategy"/>
    <x v="608"/>
    <s v="11/26/2014"/>
    <x v="0"/>
    <s v=""/>
    <x v="122"/>
    <x v="106"/>
    <x v="43"/>
    <x v="141"/>
    <x v="0"/>
  </r>
  <r>
    <x v="891"/>
    <x v="147"/>
    <x v="49"/>
    <s v="A GENERAL METHOD TO PREPARE CHEMICALLY STABLE MOFs THROUGH A STEPWISE STRATEGY INVOLVING POST-SYNTHETIC METAL EXCHANGE AND REDOX REACTIONS"/>
    <x v="609"/>
    <s v="05/11/2015"/>
    <x v="0"/>
    <s v=""/>
    <x v="161"/>
    <x v="286"/>
    <x v="43"/>
    <x v="141"/>
    <x v="0"/>
  </r>
  <r>
    <x v="892"/>
    <x v="148"/>
    <x v="147"/>
    <s v="MONOLITHIC NATURAL GAS STORAGE DELIVERY SYSTEM BASED ON SORBENTS"/>
    <x v="610"/>
    <s v="04/25/2015"/>
    <x v="199"/>
    <s v="09/27/2016"/>
    <x v="313"/>
    <x v="287"/>
    <x v="139"/>
    <x v="142"/>
    <x v="0"/>
  </r>
  <r>
    <x v="893"/>
    <x v="149"/>
    <x v="148"/>
    <s v="HEATING AND COOLING SYSTEM FOR AN ON-BOARD GAS ABSORBENT STORAGE VESSEL"/>
    <x v="611"/>
    <s v="11/18/2014"/>
    <x v="0"/>
    <s v=""/>
    <x v="1"/>
    <x v="1"/>
    <x v="140"/>
    <x v="143"/>
    <x v="0"/>
  </r>
  <r>
    <x v="894"/>
    <x v="149"/>
    <x v="55"/>
    <s v="METAL-ORGANIC FRAMEWORKS MATERIALS WITH A HIGH DENSITY OF HIGHLY CHARGED EXPOSED METAL CATION SITES"/>
    <x v="612"/>
    <s v="05/02/2016"/>
    <x v="200"/>
    <s v="07/31/2018"/>
    <x v="314"/>
    <x v="288"/>
    <x v="140"/>
    <x v="143"/>
    <x v="0"/>
  </r>
  <r>
    <x v="895"/>
    <x v="149"/>
    <x v="55"/>
    <s v="ADSORBENTS WITH STEPPED ISOTHERMS FOR GAS STORAGE APPLICATIONS"/>
    <x v="1"/>
    <s v=""/>
    <x v="0"/>
    <s v=""/>
    <x v="1"/>
    <x v="1"/>
    <x v="140"/>
    <x v="143"/>
    <x v="0"/>
  </r>
  <r>
    <x v="896"/>
    <x v="149"/>
    <x v="55"/>
    <s v="A FLEXIBLE IRON-BASED METAL-ORGANIC FRAMEWORK"/>
    <x v="1"/>
    <s v=""/>
    <x v="0"/>
    <s v=""/>
    <x v="1"/>
    <x v="1"/>
    <x v="140"/>
    <x v="143"/>
    <x v="0"/>
  </r>
  <r>
    <x v="897"/>
    <x v="149"/>
    <x v="55"/>
    <s v="METAL-ORGANIC FRAMEWORKS MATERIALS WITH A HIGH DENSITY OF HIGHLY CHARGED EXPOSED METAL CATION SITES"/>
    <x v="613"/>
    <s v="07/24/2018"/>
    <x v="0"/>
    <s v=""/>
    <x v="1"/>
    <x v="1"/>
    <x v="140"/>
    <x v="143"/>
    <x v="0"/>
  </r>
  <r>
    <x v="898"/>
    <x v="149"/>
    <x v="55"/>
    <s v="METAL-ORGANIC FRAMEWORKS MATERIALS WITH A HIGH DENSITY OF HIGHLY CHARGED EXPOSED METAL CATION SITES"/>
    <x v="614"/>
    <s v="11/04/2014"/>
    <x v="0"/>
    <s v=""/>
    <x v="129"/>
    <x v="113"/>
    <x v="140"/>
    <x v="143"/>
    <x v="0"/>
  </r>
  <r>
    <x v="899"/>
    <x v="149"/>
    <x v="55"/>
    <s v="ADSORBENTS WITH STEPPED ISOTHERMS FOR GAS STORAGE APPLICATIONS"/>
    <x v="615"/>
    <s v="10/07/2016"/>
    <x v="0"/>
    <s v=""/>
    <x v="1"/>
    <x v="1"/>
    <x v="140"/>
    <x v="143"/>
    <x v="0"/>
  </r>
  <r>
    <x v="900"/>
    <x v="150"/>
    <x v="137"/>
    <s v="VARIABLE-DENSITY COMPOSITE ARTICLES PERFORMS AND METHODS"/>
    <x v="616"/>
    <s v="03/18/2014"/>
    <x v="201"/>
    <s v="09/18/2014"/>
    <x v="315"/>
    <x v="289"/>
    <x v="141"/>
    <x v="144"/>
    <x v="0"/>
  </r>
  <r>
    <x v="901"/>
    <x v="150"/>
    <x v="137"/>
    <s v="VARIABLE DENSITY PREFORMS"/>
    <x v="617"/>
    <s v="12/03/2007"/>
    <x v="202"/>
    <s v="12/13/2011"/>
    <x v="316"/>
    <x v="290"/>
    <x v="141"/>
    <x v="144"/>
    <x v="0"/>
  </r>
  <r>
    <x v="902"/>
    <x v="150"/>
    <x v="137"/>
    <s v="THERMAL ISOLATION SPRAY FOR CASTING ARTICLES"/>
    <x v="618"/>
    <s v="03/15/2013"/>
    <x v="0"/>
    <s v=""/>
    <x v="1"/>
    <x v="1"/>
    <x v="141"/>
    <x v="144"/>
    <x v="0"/>
  </r>
  <r>
    <x v="903"/>
    <x v="150"/>
    <x v="137"/>
    <s v="THERMAL ISOLATION FOR CASTING ARTICLES"/>
    <x v="619"/>
    <s v="03/15/2013"/>
    <x v="0"/>
    <s v=""/>
    <x v="1"/>
    <x v="1"/>
    <x v="141"/>
    <x v="144"/>
    <x v="0"/>
  </r>
  <r>
    <x v="904"/>
    <x v="151"/>
    <x v="102"/>
    <s v="A MOLD-LESS CURING METHOD OF MANUFACTURING A COMPOSITE VESSEL ASSEMBLY"/>
    <x v="1"/>
    <s v=""/>
    <x v="0"/>
    <s v=""/>
    <x v="1"/>
    <x v="1"/>
    <x v="142"/>
    <x v="145"/>
    <x v="0"/>
  </r>
  <r>
    <x v="905"/>
    <x v="151"/>
    <x v="102"/>
    <s v="PRESSURE VESSEL ASSEMBLY AND METHOD OF FORMING"/>
    <x v="1"/>
    <s v=""/>
    <x v="0"/>
    <s v=""/>
    <x v="1"/>
    <x v="1"/>
    <x v="142"/>
    <x v="145"/>
    <x v="0"/>
  </r>
  <r>
    <x v="906"/>
    <x v="151"/>
    <x v="102"/>
    <s v="METHOD FOR MANUFACTURING FOR TYPE IV NON CYLINDRICAL PRESSURE VESSEL"/>
    <x v="1"/>
    <s v=""/>
    <x v="0"/>
    <s v=""/>
    <x v="1"/>
    <x v="1"/>
    <x v="142"/>
    <x v="145"/>
    <x v="0"/>
  </r>
  <r>
    <x v="907"/>
    <x v="151"/>
    <x v="102"/>
    <s v="JOINING METHODS FOR CONFORMABLE CNG TANKS"/>
    <x v="1"/>
    <s v=""/>
    <x v="0"/>
    <s v=""/>
    <x v="1"/>
    <x v="1"/>
    <x v="142"/>
    <x v="145"/>
    <x v="0"/>
  </r>
  <r>
    <x v="908"/>
    <x v="151"/>
    <x v="102"/>
    <s v="INTERNAL AND EXTERNAL MANIFOLDING FOR A HIGH CONFORMAL PRESSURE VESSEL (ID-0033281-US)"/>
    <x v="1"/>
    <s v=""/>
    <x v="0"/>
    <s v=""/>
    <x v="1"/>
    <x v="1"/>
    <x v="142"/>
    <x v="145"/>
    <x v="0"/>
  </r>
  <r>
    <x v="909"/>
    <x v="151"/>
    <x v="102"/>
    <s v="PRESSURIZED DEVICES WITH MINIMUM SURFACE INTERNAL STURCTURE"/>
    <x v="1"/>
    <s v=""/>
    <x v="0"/>
    <s v=""/>
    <x v="1"/>
    <x v="1"/>
    <x v="142"/>
    <x v="145"/>
    <x v="0"/>
  </r>
  <r>
    <x v="910"/>
    <x v="151"/>
    <x v="102"/>
    <s v="CURVED HIGH CONFORMABLE HIGH PRESSURE VESSEL (ID-0033519-US)"/>
    <x v="620"/>
    <s v="03/27/2015"/>
    <x v="203"/>
    <s v="10/25/2016"/>
    <x v="317"/>
    <x v="291"/>
    <x v="142"/>
    <x v="145"/>
    <x v="0"/>
  </r>
  <r>
    <x v="911"/>
    <x v="151"/>
    <x v="102"/>
    <s v="ALL-COMPOSITES TANK AND ITS MANUFACTURING"/>
    <x v="1"/>
    <s v=""/>
    <x v="0"/>
    <s v=""/>
    <x v="1"/>
    <x v="1"/>
    <x v="142"/>
    <x v="145"/>
    <x v="0"/>
  </r>
  <r>
    <x v="912"/>
    <x v="151"/>
    <x v="102"/>
    <s v="STRUCTURAL INTEGRITY MONITORING AND RAPID PRESSURE RELIEF OF HIGH PRESSURE GASTANK"/>
    <x v="1"/>
    <s v=""/>
    <x v="0"/>
    <s v=""/>
    <x v="1"/>
    <x v="1"/>
    <x v="142"/>
    <x v="145"/>
    <x v="0"/>
  </r>
  <r>
    <x v="913"/>
    <x v="151"/>
    <x v="102"/>
    <s v="CONTAINER HAVING AN INTERNAL STRUCTURE WITH MINIMUM SURFACES"/>
    <x v="1"/>
    <s v="04/14/2014"/>
    <x v="0"/>
    <s v=""/>
    <x v="1"/>
    <x v="1"/>
    <x v="142"/>
    <x v="145"/>
    <x v="0"/>
  </r>
  <r>
    <x v="914"/>
    <x v="151"/>
    <x v="102"/>
    <s v="ALL-COMPOSITES TANK MANFACTURED WITH COMPRESSION MOLDING"/>
    <x v="621"/>
    <s v="04/07/2017"/>
    <x v="0"/>
    <s v=""/>
    <x v="1"/>
    <x v="1"/>
    <x v="142"/>
    <x v="145"/>
    <x v="0"/>
  </r>
  <r>
    <x v="915"/>
    <x v="151"/>
    <x v="102"/>
    <s v="A MOLD-LESS CURING METHOD OF MANUFACTURING A COMPOSITE VESSEL ASSEMBLY"/>
    <x v="622"/>
    <s v="02/23/2017"/>
    <x v="0"/>
    <s v=""/>
    <x v="1"/>
    <x v="1"/>
    <x v="142"/>
    <x v="145"/>
    <x v="0"/>
  </r>
  <r>
    <x v="916"/>
    <x v="151"/>
    <x v="102"/>
    <s v="METHOD FOR MANUFACTURING FOR TYPE IV NON CYLINDRICAL PRESSURE VESSEL"/>
    <x v="623"/>
    <s v="04/22/2016"/>
    <x v="0"/>
    <s v=""/>
    <x v="1"/>
    <x v="1"/>
    <x v="142"/>
    <x v="145"/>
    <x v="0"/>
  </r>
  <r>
    <x v="917"/>
    <x v="151"/>
    <x v="102"/>
    <s v="ALL-COMPOSITES TANK WITH REINFORCED FEATURES"/>
    <x v="624"/>
    <s v="04/22/2016"/>
    <x v="0"/>
    <s v=""/>
    <x v="1"/>
    <x v="1"/>
    <x v="142"/>
    <x v="145"/>
    <x v="0"/>
  </r>
  <r>
    <x v="918"/>
    <x v="151"/>
    <x v="102"/>
    <s v="CONTAINER HAVING AN INTERNAL STRUCTURE WITH MINIMUM SURFACES"/>
    <x v="625"/>
    <s v="04/14/2014"/>
    <x v="0"/>
    <s v=""/>
    <x v="1"/>
    <x v="1"/>
    <x v="142"/>
    <x v="145"/>
    <x v="0"/>
  </r>
  <r>
    <x v="919"/>
    <x v="151"/>
    <x v="102"/>
    <s v="PRESSURE VESSEL FLUID MAINFOLD ASSEMBLY"/>
    <x v="626"/>
    <s v="10/07/2014"/>
    <x v="0"/>
    <s v=""/>
    <x v="1"/>
    <x v="1"/>
    <x v="142"/>
    <x v="145"/>
    <x v="0"/>
  </r>
  <r>
    <x v="920"/>
    <x v="152"/>
    <x v="149"/>
    <s v="CONFORMABLE NATURAL GAS STORAGE"/>
    <x v="627"/>
    <s v="05/03/2013"/>
    <x v="204"/>
    <s v="12/22/2015"/>
    <x v="318"/>
    <x v="292"/>
    <x v="143"/>
    <x v="146"/>
    <x v="0"/>
  </r>
  <r>
    <x v="921"/>
    <x v="152"/>
    <x v="149"/>
    <s v="NATURAL GAS INTESTINE PACKED STORAGE TANK"/>
    <x v="628"/>
    <s v="02/04/2014"/>
    <x v="0"/>
    <s v=""/>
    <x v="319"/>
    <x v="293"/>
    <x v="143"/>
    <x v="146"/>
    <x v="0"/>
  </r>
  <r>
    <x v="922"/>
    <x v="152"/>
    <x v="149"/>
    <s v="COILED COMBUSTIBLE FUEL FLUID STORAGE SYSTEM AND METHOD"/>
    <x v="1"/>
    <s v=""/>
    <x v="0"/>
    <s v=""/>
    <x v="1"/>
    <x v="1"/>
    <x v="143"/>
    <x v="146"/>
    <x v="0"/>
  </r>
  <r>
    <x v="923"/>
    <x v="152"/>
    <x v="149"/>
    <s v="COILED COMBUSTIBLE FUEL FLUID STORAGE SYSTEM AND METHOD"/>
    <x v="629"/>
    <s v="08/09/2016"/>
    <x v="0"/>
    <s v=""/>
    <x v="320"/>
    <x v="294"/>
    <x v="143"/>
    <x v="146"/>
    <x v="0"/>
  </r>
  <r>
    <x v="924"/>
    <x v="152"/>
    <x v="149"/>
    <s v="SYSTEMS AND METHODS FOR A CONFORMABLE PRESSURE VESSEL"/>
    <x v="1"/>
    <s v=""/>
    <x v="0"/>
    <s v=""/>
    <x v="1"/>
    <x v="1"/>
    <x v="143"/>
    <x v="146"/>
    <x v="0"/>
  </r>
  <r>
    <x v="925"/>
    <x v="152"/>
    <x v="149"/>
    <s v="SYSTEMS AND METHODS FOR LINER BRAIDING AND RESIN APPLICATION"/>
    <x v="630"/>
    <s v="12/02/2016"/>
    <x v="0"/>
    <s v=""/>
    <x v="1"/>
    <x v="1"/>
    <x v="143"/>
    <x v="146"/>
    <x v="0"/>
  </r>
  <r>
    <x v="926"/>
    <x v="152"/>
    <x v="149"/>
    <s v="COILED NATURAL GAS STORAGE SYSTEM AND METHOD"/>
    <x v="631"/>
    <s v="02/17/2015"/>
    <x v="0"/>
    <s v=""/>
    <x v="1"/>
    <x v="1"/>
    <x v="143"/>
    <x v="146"/>
    <x v="0"/>
  </r>
  <r>
    <x v="927"/>
    <x v="152"/>
    <x v="149"/>
    <s v="SYSTEM AND METHOD FOR THERMALLY ADAPTIVE MATERIALS"/>
    <x v="632"/>
    <s v="05/20/2016"/>
    <x v="0"/>
    <s v=""/>
    <x v="1"/>
    <x v="1"/>
    <x v="143"/>
    <x v="146"/>
    <x v="0"/>
  </r>
  <r>
    <x v="928"/>
    <x v="152"/>
    <x v="149"/>
    <s v="SYSTEM AND METHOD FOR THERMALLY ADAPTIVE MATERIALS"/>
    <x v="633"/>
    <s v="05/20/2016"/>
    <x v="0"/>
    <s v=""/>
    <x v="104"/>
    <x v="88"/>
    <x v="143"/>
    <x v="146"/>
    <x v="0"/>
  </r>
  <r>
    <x v="929"/>
    <x v="152"/>
    <x v="149"/>
    <s v="SYSTEM AND METHOD FOR THERMALLY ADAPTIVE MATERIALS"/>
    <x v="634"/>
    <s v="11/18/2015"/>
    <x v="0"/>
    <s v=""/>
    <x v="1"/>
    <x v="1"/>
    <x v="143"/>
    <x v="146"/>
    <x v="0"/>
  </r>
  <r>
    <x v="930"/>
    <x v="152"/>
    <x v="149"/>
    <s v="SYSTEMS AND METHODS FOR LINER BRAIDING AND RESIN APPLICATION"/>
    <x v="635"/>
    <s v="12/02/2016"/>
    <x v="0"/>
    <s v=""/>
    <x v="271"/>
    <x v="249"/>
    <x v="143"/>
    <x v="146"/>
    <x v="0"/>
  </r>
  <r>
    <x v="931"/>
    <x v="153"/>
    <x v="150"/>
    <s v="CHILLED-ADSORPTION WITH PRE AND/OR POST COMPRESSION FOR COMPRESSED NATURAL GAS DISPENSING "/>
    <x v="1"/>
    <s v=""/>
    <x v="0"/>
    <s v=""/>
    <x v="1"/>
    <x v="1"/>
    <x v="144"/>
    <x v="147"/>
    <x v="0"/>
  </r>
  <r>
    <x v="932"/>
    <x v="153"/>
    <x v="150"/>
    <s v="CHILLED-ADSORPTION COMPRESSION FOR CNG DISPENSING "/>
    <x v="1"/>
    <s v=""/>
    <x v="0"/>
    <s v=""/>
    <x v="1"/>
    <x v="1"/>
    <x v="144"/>
    <x v="147"/>
    <x v="0"/>
  </r>
  <r>
    <x v="933"/>
    <x v="153"/>
    <x v="150"/>
    <s v="CHILLED-ADSORPTION ALTERNATIVE COMPRESSION FOR CNG DISPENSING "/>
    <x v="1"/>
    <s v=""/>
    <x v="0"/>
    <s v=""/>
    <x v="1"/>
    <x v="1"/>
    <x v="144"/>
    <x v="147"/>
    <x v="0"/>
  </r>
  <r>
    <x v="934"/>
    <x v="154"/>
    <x v="114"/>
    <s v="FREE PISTON LINEAR MOTOR COMPRESSOR AND ASSOCIATED SYSTEM OF OPERATION"/>
    <x v="1"/>
    <s v=""/>
    <x v="0"/>
    <s v=""/>
    <x v="1"/>
    <x v="1"/>
    <x v="145"/>
    <x v="148"/>
    <x v="0"/>
  </r>
  <r>
    <x v="935"/>
    <x v="154"/>
    <x v="114"/>
    <s v="FREE PISTON LINEAR MOTOR COMPRESSOR AND ASSOCIATED SYSTEM OF OPERATION"/>
    <x v="636"/>
    <s v="11/07/2014"/>
    <x v="0"/>
    <s v=""/>
    <x v="1"/>
    <x v="1"/>
    <x v="145"/>
    <x v="148"/>
    <x v="0"/>
  </r>
  <r>
    <x v="936"/>
    <x v="154"/>
    <x v="114"/>
    <s v="FREE PISTON LINEAR MOTOR COMPRESSOR AND ASSOCIATED SYSTEM OF OPERATION"/>
    <x v="637"/>
    <s v="10/16/2018"/>
    <x v="0"/>
    <s v=""/>
    <x v="321"/>
    <x v="295"/>
    <x v="145"/>
    <x v="148"/>
    <x v="0"/>
  </r>
  <r>
    <x v="937"/>
    <x v="154"/>
    <x v="114"/>
    <s v="FREE PISTON LINEAR MOTOR COMPRESSOR AND ASSOCIATED SYSTEM OF OPERATION"/>
    <x v="638"/>
    <s v="11/06/2015"/>
    <x v="0"/>
    <s v=""/>
    <x v="322"/>
    <x v="296"/>
    <x v="145"/>
    <x v="148"/>
    <x v="0"/>
  </r>
  <r>
    <x v="938"/>
    <x v="154"/>
    <x v="114"/>
    <s v="FREE PISTON LINEAR MOTOR COMPRESSOR AND ASSOCIATED SYSTEM OF OPERATION"/>
    <x v="639"/>
    <s v="10/17/2017"/>
    <x v="0"/>
    <s v=""/>
    <x v="1"/>
    <x v="1"/>
    <x v="145"/>
    <x v="148"/>
    <x v="0"/>
  </r>
  <r>
    <x v="939"/>
    <x v="155"/>
    <x v="151"/>
    <s v="FLUID EXCHANGE AND COOLING CIRCUIT FOR A SIMPLIFIED SCHEME FOR HYDRAULIC DRIVE BASED GAS COMPRESSION WITH A NON-HYDRAULIC FLUID"/>
    <x v="1"/>
    <s v=""/>
    <x v="0"/>
    <s v=""/>
    <x v="1"/>
    <x v="1"/>
    <x v="146"/>
    <x v="149"/>
    <x v="0"/>
  </r>
  <r>
    <x v="940"/>
    <x v="155"/>
    <x v="151"/>
    <s v="HIGHLY EFFICIENT, NEAR-ISOTHERMAL LIQUID-PISTON COMPRESSOR FOR LOW COST AT-HOME NATURAL GAS REFUELING"/>
    <x v="1"/>
    <s v=""/>
    <x v="0"/>
    <s v=""/>
    <x v="1"/>
    <x v="1"/>
    <x v="146"/>
    <x v="149"/>
    <x v="0"/>
  </r>
  <r>
    <x v="941"/>
    <x v="155"/>
    <x v="151"/>
    <s v="A FALUT TOLERANT AND SCALABLE ARCHITECTURE AND METHOD OF OPERATION OF A CNG COMPRESSION SYSTEM"/>
    <x v="1"/>
    <s v=""/>
    <x v="0"/>
    <s v=""/>
    <x v="1"/>
    <x v="1"/>
    <x v="146"/>
    <x v="149"/>
    <x v="0"/>
  </r>
  <r>
    <x v="942"/>
    <x v="155"/>
    <x v="151"/>
    <s v="ACCUMULATOR OPERATION WITH OPEN GAS/LIQUID INTERFACE"/>
    <x v="1"/>
    <s v=""/>
    <x v="0"/>
    <s v=""/>
    <x v="1"/>
    <x v="1"/>
    <x v="146"/>
    <x v="149"/>
    <x v="0"/>
  </r>
  <r>
    <x v="943"/>
    <x v="155"/>
    <x v="151"/>
    <s v="LIQUID PISTON COMPRESSION THERMAL MANAGEMENT THROUGH USE OF MONOLITHIC STRUCTURES"/>
    <x v="1"/>
    <s v=""/>
    <x v="0"/>
    <s v=""/>
    <x v="1"/>
    <x v="1"/>
    <x v="146"/>
    <x v="149"/>
    <x v="0"/>
  </r>
  <r>
    <x v="944"/>
    <x v="155"/>
    <x v="151"/>
    <s v="LIQUID PISTON COMPRESSION INTERNAL COALESCING THROUGH USE OF MONOLITHIC STRUCTURES"/>
    <x v="1"/>
    <s v=""/>
    <x v="0"/>
    <s v=""/>
    <x v="1"/>
    <x v="1"/>
    <x v="146"/>
    <x v="149"/>
    <x v="0"/>
  </r>
  <r>
    <x v="945"/>
    <x v="155"/>
    <x v="151"/>
    <s v="METHOD FOR GAS TEMPERATURE CONTROL IN A LIQUID GAS COMPRESSION SYSTEM "/>
    <x v="1"/>
    <s v=""/>
    <x v="0"/>
    <s v=""/>
    <x v="1"/>
    <x v="1"/>
    <x v="146"/>
    <x v="149"/>
    <x v="0"/>
  </r>
  <r>
    <x v="946"/>
    <x v="155"/>
    <x v="151"/>
    <s v="METHODS TO ACHIEVE HYDRAULIC DRIVE BASED GAS COMPRESSION WITH A NON-HYDRAULIC FLUID"/>
    <x v="1"/>
    <s v=""/>
    <x v="0"/>
    <s v=""/>
    <x v="1"/>
    <x v="1"/>
    <x v="146"/>
    <x v="149"/>
    <x v="0"/>
  </r>
  <r>
    <x v="947"/>
    <x v="155"/>
    <x v="151"/>
    <s v="ACCUMULATOR OPERATION WITH OPEN GAS/LIQUID INTERFACE"/>
    <x v="1"/>
    <s v=""/>
    <x v="0"/>
    <s v=""/>
    <x v="1"/>
    <x v="1"/>
    <x v="146"/>
    <x v="149"/>
    <x v="0"/>
  </r>
  <r>
    <x v="948"/>
    <x v="155"/>
    <x v="151"/>
    <s v="BARRIER FLUID FOR USE IN LIQUID PISTON COMPRESSORS "/>
    <x v="1"/>
    <s v=""/>
    <x v="0"/>
    <s v=""/>
    <x v="1"/>
    <x v="1"/>
    <x v="146"/>
    <x v="149"/>
    <x v="0"/>
  </r>
  <r>
    <x v="949"/>
    <x v="155"/>
    <x v="151"/>
    <s v="GRADED MEDIA FOR A LIQUID PISTON COMPRESSION CHAMBER"/>
    <x v="1"/>
    <s v=""/>
    <x v="0"/>
    <s v=""/>
    <x v="1"/>
    <x v="1"/>
    <x v="146"/>
    <x v="149"/>
    <x v="0"/>
  </r>
  <r>
    <x v="950"/>
    <x v="155"/>
    <x v="151"/>
    <s v="COMPRESSOR PRESSURE VESSEL WITH MULTIPLE PISTIONS"/>
    <x v="1"/>
    <s v=""/>
    <x v="0"/>
    <s v=""/>
    <x v="1"/>
    <x v="1"/>
    <x v="146"/>
    <x v="149"/>
    <x v="0"/>
  </r>
  <r>
    <x v="951"/>
    <x v="155"/>
    <x v="151"/>
    <s v="COMPRESSOR WITH CONSTANT FLOW PUMP AND DISTRIBUSTED POWER CONTROL"/>
    <x v="1"/>
    <s v=""/>
    <x v="0"/>
    <s v=""/>
    <x v="1"/>
    <x v="1"/>
    <x v="146"/>
    <x v="149"/>
    <x v="0"/>
  </r>
  <r>
    <x v="952"/>
    <x v="155"/>
    <x v="151"/>
    <s v="SYSTEM FOR NON-CONTACT BASED FLUID LEVEL SENSING A HIGH-PRESSURE FLUID TANK"/>
    <x v="1"/>
    <s v=""/>
    <x v="0"/>
    <s v=""/>
    <x v="1"/>
    <x v="1"/>
    <x v="146"/>
    <x v="149"/>
    <x v="0"/>
  </r>
  <r>
    <x v="953"/>
    <x v="155"/>
    <x v="151"/>
    <s v="METHODS TO ACHIEVE HYDRAULIC DRIVE BASED GAS COMPRESSION WITH A NON-HYDRAULIC FLUID 14-HSP-669(AT)"/>
    <x v="1"/>
    <s v=""/>
    <x v="0"/>
    <s v=""/>
    <x v="1"/>
    <x v="1"/>
    <x v="146"/>
    <x v="149"/>
    <x v="0"/>
  </r>
  <r>
    <x v="954"/>
    <x v="155"/>
    <x v="151"/>
    <s v="LIQUID PISTON CNG COMPRESSOR USING CNG FRIENDLY LIQUIDS"/>
    <x v="1"/>
    <s v=""/>
    <x v="0"/>
    <s v=""/>
    <x v="1"/>
    <x v="1"/>
    <x v="146"/>
    <x v="149"/>
    <x v="0"/>
  </r>
  <r>
    <x v="955"/>
    <x v="155"/>
    <x v="151"/>
    <s v="METHOD FOR PURGING AIR IN LIQUID PISTON COMPRESSOR SYSTEMS"/>
    <x v="1"/>
    <s v=""/>
    <x v="0"/>
    <s v=""/>
    <x v="1"/>
    <x v="1"/>
    <x v="146"/>
    <x v="149"/>
    <x v="0"/>
  </r>
  <r>
    <x v="956"/>
    <x v="155"/>
    <x v="151"/>
    <s v="VAPOR RECOVERY AND DE-GASSING CIRCUIT FOR LIQUID PISTON COMPRESSOR"/>
    <x v="1"/>
    <s v=""/>
    <x v="0"/>
    <s v=""/>
    <x v="1"/>
    <x v="1"/>
    <x v="146"/>
    <x v="149"/>
    <x v="0"/>
  </r>
  <r>
    <x v="957"/>
    <x v="155"/>
    <x v="151"/>
    <s v="A METHOD FOR LEVEL SENSING AND LIQUID PISTON COMPRESSION SYSTEMS"/>
    <x v="1"/>
    <s v=""/>
    <x v="0"/>
    <s v=""/>
    <x v="1"/>
    <x v="1"/>
    <x v="146"/>
    <x v="149"/>
    <x v="0"/>
  </r>
  <r>
    <x v="958"/>
    <x v="155"/>
    <x v="151"/>
    <s v="SPHERICAL MEDIA BED SUBSTRUCTURE FOR SUPPORT CONTAINMENT AND REMOVAL OF A SHERICAL MEDIA BED"/>
    <x v="1"/>
    <s v=""/>
    <x v="0"/>
    <s v=""/>
    <x v="1"/>
    <x v="1"/>
    <x v="146"/>
    <x v="149"/>
    <x v="0"/>
  </r>
  <r>
    <x v="959"/>
    <x v="155"/>
    <x v="151"/>
    <s v="A FAULT TOLERANT AND SCALABLE ARCHIETCTURE AND METHOD OF OPERATION OF A CNG COMPRESSION SYSTEM"/>
    <x v="1"/>
    <s v=""/>
    <x v="0"/>
    <s v=""/>
    <x v="1"/>
    <x v="1"/>
    <x v="146"/>
    <x v="149"/>
    <x v="0"/>
  </r>
  <r>
    <x v="960"/>
    <x v="155"/>
    <x v="151"/>
    <s v="GRADED MEDIA FOR A LIQUID PISTON COMPRESSION CHAMBER"/>
    <x v="1"/>
    <s v=""/>
    <x v="0"/>
    <s v=""/>
    <x v="1"/>
    <x v="1"/>
    <x v="146"/>
    <x v="149"/>
    <x v="0"/>
  </r>
  <r>
    <x v="961"/>
    <x v="156"/>
    <x v="152"/>
    <s v="GRAPHENE-DOPED SUCROSE-DERIVED HARD CARBON AS ANODES IN SODIUM-ION BATTERIES"/>
    <x v="1"/>
    <s v=""/>
    <x v="0"/>
    <s v=""/>
    <x v="1"/>
    <x v="1"/>
    <x v="147"/>
    <x v="150"/>
    <x v="0"/>
  </r>
  <r>
    <x v="962"/>
    <x v="156"/>
    <x v="152"/>
    <s v="INTERNAL COMBUSTION ENGINE MODIFICATION FOR NATURAL GAS COMPRESSOR OPERATION 4"/>
    <x v="1"/>
    <s v=""/>
    <x v="0"/>
    <s v=""/>
    <x v="1"/>
    <x v="1"/>
    <x v="147"/>
    <x v="150"/>
    <x v="0"/>
  </r>
  <r>
    <x v="963"/>
    <x v="156"/>
    <x v="152"/>
    <s v="USE OF  INTENSIFIERS WITH MULTIPLE INTENSIFICATION LEVELS FOR CNG COMPRESSION FOR ENGINE USING CYLINDER(S) OF ENGINE FOR COMPRESSION"/>
    <x v="1"/>
    <s v=""/>
    <x v="0"/>
    <s v=""/>
    <x v="1"/>
    <x v="1"/>
    <x v="147"/>
    <x v="150"/>
    <x v="0"/>
  </r>
  <r>
    <x v="964"/>
    <x v="156"/>
    <x v="152"/>
    <s v="USE OF  VALVING THAT AUTOMATICALLY CYCLES AN INTENSIFIER FOR CNG COMPRESSION FOR ENGINE USING CYLINDER(S) OF ENGINE FOR COMPRESSION"/>
    <x v="1"/>
    <s v=""/>
    <x v="0"/>
    <s v=""/>
    <x v="1"/>
    <x v="1"/>
    <x v="147"/>
    <x v="150"/>
    <x v="0"/>
  </r>
  <r>
    <x v="965"/>
    <x v="156"/>
    <x v="152"/>
    <s v="USE OF  3 WAY VALVES AND CHECK VALVES WITH INTENSIFIER FOR CNG COMPRESSION FOR ENGINE USING CYLINDER(s) OF ENGINE FOR COMPRESION"/>
    <x v="1"/>
    <s v=""/>
    <x v="0"/>
    <s v=""/>
    <x v="1"/>
    <x v="1"/>
    <x v="147"/>
    <x v="150"/>
    <x v="0"/>
  </r>
  <r>
    <x v="966"/>
    <x v="156"/>
    <x v="152"/>
    <s v="USE OF ONE INTENSIFIED USED MULTIPLE TIMES TO GET HIGHER PRESSURE RATIOS FOR CNG COMPRESSION FOR ENGINE USING CYLINDER(S) OF ENGINE FOR COMPRESSION"/>
    <x v="1"/>
    <s v=""/>
    <x v="0"/>
    <s v=""/>
    <x v="1"/>
    <x v="1"/>
    <x v="147"/>
    <x v="150"/>
    <x v="0"/>
  </r>
  <r>
    <x v="967"/>
    <x v="156"/>
    <x v="152"/>
    <s v="USE OF ONE ELECTRIC POWERED COMPRESSOR FOR USE IN PLUG IN HYBRID THAT USES A CNG BASED RANGE EXTENDER "/>
    <x v="1"/>
    <s v=""/>
    <x v="0"/>
    <s v=""/>
    <x v="1"/>
    <x v="1"/>
    <x v="147"/>
    <x v="150"/>
    <x v="0"/>
  </r>
  <r>
    <x v="968"/>
    <x v="156"/>
    <x v="152"/>
    <s v="USE OF HYDRAULIC TRANSORMER FOR INTENSIFIER FOR CNG COMPRESSION WITH USING 1 CYLINDER(S) OF ENGINE FOR COMPRESSION"/>
    <x v="1"/>
    <s v=""/>
    <x v="0"/>
    <s v=""/>
    <x v="1"/>
    <x v="1"/>
    <x v="147"/>
    <x v="150"/>
    <x v="0"/>
  </r>
  <r>
    <x v="969"/>
    <x v="156"/>
    <x v="152"/>
    <s v="INTERNAL COMBUSTION ENGINE MODIFICATIONS FOR NATURAL GAS COMPRESSOR OPERATION 2"/>
    <x v="1"/>
    <s v=""/>
    <x v="0"/>
    <s v=""/>
    <x v="1"/>
    <x v="1"/>
    <x v="147"/>
    <x v="150"/>
    <x v="0"/>
  </r>
  <r>
    <x v="970"/>
    <x v="156"/>
    <x v="152"/>
    <s v="INTERNAL COMBUSTION ENGINE MODIFICATIONS FOR NATURAL GAS COMPRESSOR OPERATION 3"/>
    <x v="1"/>
    <s v=""/>
    <x v="0"/>
    <s v=""/>
    <x v="1"/>
    <x v="1"/>
    <x v="147"/>
    <x v="150"/>
    <x v="0"/>
  </r>
  <r>
    <x v="971"/>
    <x v="156"/>
    <x v="152"/>
    <s v="INTERNAL COMBUSTION ENGINE MODIFICATIONS FOR NATURAL GAS COMPRESSOR OPERATION"/>
    <x v="640"/>
    <s v="04/03/2014"/>
    <x v="205"/>
    <s v="04/19/2016"/>
    <x v="323"/>
    <x v="297"/>
    <x v="147"/>
    <x v="150"/>
    <x v="0"/>
  </r>
  <r>
    <x v="972"/>
    <x v="156"/>
    <x v="152"/>
    <s v="INTERNAL COMBUSTION ENGINE MODIFICATIONS FOR NATURAL GAS COMPRESSOR OPERATION 5."/>
    <x v="641"/>
    <s v="04/01/2015"/>
    <x v="206"/>
    <s v=""/>
    <x v="324"/>
    <x v="298"/>
    <x v="147"/>
    <x v="150"/>
    <x v="0"/>
  </r>
  <r>
    <x v="973"/>
    <x v="157"/>
    <x v="153"/>
    <s v="METHODS FOR MITIGATING DELETERIOUS CROSSOVER IN ASYMMETRIC REDOX FLOW BATTERIES"/>
    <x v="642"/>
    <s v="03/13/2015"/>
    <x v="0"/>
    <s v=""/>
    <x v="1"/>
    <x v="1"/>
    <x v="148"/>
    <x v="151"/>
    <x v="0"/>
  </r>
  <r>
    <x v="974"/>
    <x v="157"/>
    <x v="16"/>
    <m/>
    <x v="1"/>
    <s v=""/>
    <x v="0"/>
    <s v=""/>
    <x v="1"/>
    <x v="1"/>
    <x v="148"/>
    <x v="151"/>
    <x v="0"/>
  </r>
  <r>
    <x v="975"/>
    <x v="157"/>
    <x v="16"/>
    <m/>
    <x v="1"/>
    <s v=""/>
    <x v="0"/>
    <s v=""/>
    <x v="1"/>
    <x v="1"/>
    <x v="148"/>
    <x v="151"/>
    <x v="0"/>
  </r>
  <r>
    <x v="976"/>
    <x v="157"/>
    <x v="16"/>
    <s v="PROTON CONDUCTING COMPOSITE MEMBRANE DERIVED FROM REINFORCED CROSS-LINKED CHITOSAN"/>
    <x v="1"/>
    <s v=""/>
    <x v="0"/>
    <s v=""/>
    <x v="1"/>
    <x v="1"/>
    <x v="148"/>
    <x v="151"/>
    <x v="0"/>
  </r>
  <r>
    <x v="977"/>
    <x v="157"/>
    <x v="153"/>
    <s v="THIN-FILM COMPOSITE ION EXCHANGE MEMBRANES"/>
    <x v="1"/>
    <s v=""/>
    <x v="0"/>
    <s v=""/>
    <x v="1"/>
    <x v="1"/>
    <x v="148"/>
    <x v="151"/>
    <x v="0"/>
  </r>
  <r>
    <x v="978"/>
    <x v="157"/>
    <x v="153"/>
    <s v="CARBON EDGE SITES TO ENABLE LOW-COST FLOW BATTERY ELECTROLYTES"/>
    <x v="1"/>
    <s v=""/>
    <x v="0"/>
    <s v=""/>
    <x v="1"/>
    <x v="1"/>
    <x v="148"/>
    <x v="151"/>
    <x v="0"/>
  </r>
  <r>
    <x v="979"/>
    <x v="157"/>
    <x v="153"/>
    <s v="METHODS FOR ENABLING USE OF Mn ELECTROLYTE FOR FLOW BATTERIES"/>
    <x v="1"/>
    <s v=""/>
    <x v="0"/>
    <s v=""/>
    <x v="1"/>
    <x v="1"/>
    <x v="148"/>
    <x v="151"/>
    <x v="0"/>
  </r>
  <r>
    <x v="980"/>
    <x v="158"/>
    <x v="154"/>
    <s v="PLATING AND REDOX ELECTRODE SYSTEM AND DESIGN FOR AN ALL IRON REDOX FLOW BATTERY"/>
    <x v="643"/>
    <s v="03/12/2013"/>
    <x v="0"/>
    <s v=""/>
    <x v="1"/>
    <x v="1"/>
    <x v="149"/>
    <x v="152"/>
    <x v="0"/>
  </r>
  <r>
    <x v="981"/>
    <x v="158"/>
    <x v="154"/>
    <s v="METHODS TO PREPARE STABLE ELECTROLYTES FOR ALL IRON REDOX FLOW BATTERIES"/>
    <x v="644"/>
    <s v="02/17/2017"/>
    <x v="0"/>
    <s v=""/>
    <x v="1"/>
    <x v="1"/>
    <x v="149"/>
    <x v="152"/>
    <x v="0"/>
  </r>
  <r>
    <x v="982"/>
    <x v="158"/>
    <x v="154"/>
    <s v="REDOX AND PLATING ELECTRODES SYSTEMS FOR AN ALL-IRON HYBRID FLOW BATTERY"/>
    <x v="645"/>
    <s v="09/05/2013"/>
    <x v="0"/>
    <s v=""/>
    <x v="1"/>
    <x v="1"/>
    <x v="149"/>
    <x v="152"/>
    <x v="0"/>
  </r>
  <r>
    <x v="983"/>
    <x v="158"/>
    <x v="154"/>
    <s v="METHOD AND SYSTEM TO MAINTAIN ELECTROLYTE STABILITY FOR ALL-IRON REDOX FLOW BATTERIES"/>
    <x v="646"/>
    <s v="12/31/2014"/>
    <x v="0"/>
    <s v=""/>
    <x v="1"/>
    <x v="1"/>
    <x v="149"/>
    <x v="152"/>
    <x v="0"/>
  </r>
  <r>
    <x v="984"/>
    <x v="158"/>
    <x v="154"/>
    <s v="METHOD AND SYSTEM TO MAINTAIN ELECTROLYTE STABILITY FOR ALL-IRON REDOX FLOW BATTERIES"/>
    <x v="647"/>
    <s v="03/06/2014"/>
    <x v="0"/>
    <s v=""/>
    <x v="1"/>
    <x v="1"/>
    <x v="149"/>
    <x v="152"/>
    <x v="0"/>
  </r>
  <r>
    <x v="985"/>
    <x v="158"/>
    <x v="155"/>
    <s v="FLOW BATTERY CLEANSING CYCLE TO MAINTAIN ELECTROLYTE HEALTH AND SYSTEM PERFORMANCE"/>
    <x v="648"/>
    <s v="04/27/2018"/>
    <x v="0"/>
    <s v=""/>
    <x v="1"/>
    <x v="1"/>
    <x v="149"/>
    <x v="152"/>
    <x v="0"/>
  </r>
  <r>
    <x v="986"/>
    <x v="158"/>
    <x v="155"/>
    <s v="INTEGRATED HYDROGEN RECYCLE SYSTEM USING PRESSURIZED MULTICHAMBER TANK"/>
    <x v="649"/>
    <s v="04/27/2018"/>
    <x v="0"/>
    <s v=""/>
    <x v="1"/>
    <x v="1"/>
    <x v="149"/>
    <x v="152"/>
    <x v="0"/>
  </r>
  <r>
    <x v="987"/>
    <x v="158"/>
    <x v="155"/>
    <s v="METHODS AND SYSTEMS FOR REBALANCING ELECTROLYTES FOR A REDOX FLOW BATTERY SYSTEM"/>
    <x v="650"/>
    <s v="04/27/2018"/>
    <x v="0"/>
    <s v=""/>
    <x v="1"/>
    <x v="1"/>
    <x v="149"/>
    <x v="152"/>
    <x v="0"/>
  </r>
  <r>
    <x v="988"/>
    <x v="158"/>
    <x v="155"/>
    <s v="METHODS AND SYSTEMS FOR A BATTERY "/>
    <x v="651"/>
    <s v="04/27/2018"/>
    <x v="0"/>
    <s v=""/>
    <x v="1"/>
    <x v="1"/>
    <x v="149"/>
    <x v="152"/>
    <x v="0"/>
  </r>
  <r>
    <x v="989"/>
    <x v="158"/>
    <x v="155"/>
    <s v="LOW-COST BATTERY COMPRESSION SYSTEM DISCLOSURE DIRECTED TO THE ADDITION OF A LEAF SPRING COMPRRESSION SYSTEMS"/>
    <x v="652"/>
    <s v="02/07/2018"/>
    <x v="0"/>
    <s v=""/>
    <x v="1"/>
    <x v="1"/>
    <x v="149"/>
    <x v="152"/>
    <x v="0"/>
  </r>
  <r>
    <x v="990"/>
    <x v="158"/>
    <x v="155"/>
    <s v="ALTERNATVE LOW COST ELECTRODES FOR HYBRID FLOW BATTERIES"/>
    <x v="653"/>
    <s v="05/22/2017"/>
    <x v="0"/>
    <s v=""/>
    <x v="1"/>
    <x v="1"/>
    <x v="149"/>
    <x v="152"/>
    <x v="0"/>
  </r>
  <r>
    <x v="991"/>
    <x v="158"/>
    <x v="155"/>
    <s v="CARBON COATED PLASTIC ELECTRODES FOR HYBRID BATTERIES"/>
    <x v="654"/>
    <s v="12/30/2015"/>
    <x v="0"/>
    <s v=""/>
    <x v="1"/>
    <x v="1"/>
    <x v="149"/>
    <x v="152"/>
    <x v="0"/>
  </r>
  <r>
    <x v="992"/>
    <x v="158"/>
    <x v="155"/>
    <s v="METHOD AND SYSTEM FOR REBALANCING ELECTROLYTES IN A REDOX FLOW BATTERY SYSTEM"/>
    <x v="655"/>
    <s v="06/14/2016"/>
    <x v="0"/>
    <s v=""/>
    <x v="1"/>
    <x v="1"/>
    <x v="149"/>
    <x v="152"/>
    <x v="0"/>
  </r>
  <r>
    <x v="993"/>
    <x v="158"/>
    <x v="155"/>
    <s v="METHOD AND SYSTEM FOR REBALANCING ELECTROLYTES IN A REDOX FLOW BATTERY SYSTEM"/>
    <x v="656"/>
    <s v="06/05/2018"/>
    <x v="0"/>
    <s v=""/>
    <x v="1"/>
    <x v="1"/>
    <x v="149"/>
    <x v="152"/>
    <x v="0"/>
  </r>
  <r>
    <x v="994"/>
    <x v="158"/>
    <x v="155"/>
    <s v="METHODS TO PREPARE STABLE ELECTROLYTES FOR ALL IRON REDOX FLOW BATTERIES"/>
    <x v="657"/>
    <s v="09/21/2017"/>
    <x v="0"/>
    <s v=""/>
    <x v="1"/>
    <x v="1"/>
    <x v="149"/>
    <x v="152"/>
    <x v="0"/>
  </r>
  <r>
    <x v="995"/>
    <x v="158"/>
    <x v="155"/>
    <s v="INTERNALLY MANIFOLDED FLOW CELL FOR AN ALL-IRON HYBRID FLOW BATTERY"/>
    <x v="658"/>
    <s v="03/31/2017"/>
    <x v="0"/>
    <s v=""/>
    <x v="1"/>
    <x v="1"/>
    <x v="149"/>
    <x v="152"/>
    <x v="0"/>
  </r>
  <r>
    <x v="996"/>
    <x v="158"/>
    <x v="154"/>
    <s v="METHOD AND SYSTEM FOR REBALANCING ELECTROLYTES IN A REDOX FLOW BATTERY SYSTEM"/>
    <x v="659"/>
    <s v="10/18/2016"/>
    <x v="207"/>
    <s v="10/31/2017"/>
    <x v="325"/>
    <x v="1"/>
    <x v="149"/>
    <x v="152"/>
    <x v="0"/>
  </r>
  <r>
    <x v="997"/>
    <x v="158"/>
    <x v="155"/>
    <s v="METHOD AND SYSTEM TO MAINTAIN ELECTROLYTES STABILITY FOR ALL IRON REDOCX FLOW BATTERIES"/>
    <x v="1"/>
    <s v=""/>
    <x v="0"/>
    <s v=""/>
    <x v="1"/>
    <x v="1"/>
    <x v="149"/>
    <x v="152"/>
    <x v="0"/>
  </r>
  <r>
    <x v="998"/>
    <x v="158"/>
    <x v="155"/>
    <s v="ELECTROLYTE ADDITIVES TO  IMPROVE PLATING QUALITY OF HIGH BATTERY CHARGE RATE"/>
    <x v="1"/>
    <s v=""/>
    <x v="0"/>
    <s v=""/>
    <x v="1"/>
    <x v="1"/>
    <x v="149"/>
    <x v="152"/>
    <x v="0"/>
  </r>
  <r>
    <x v="999"/>
    <x v="158"/>
    <x v="154"/>
    <s v="INTERNALLY MAINFOLDED FLOW CELL FOR AN ALL-IRON HYBRID FLOW BATTERY"/>
    <x v="660"/>
    <s v="09/05/2013"/>
    <x v="208"/>
    <s v="06/20/2017"/>
    <x v="326"/>
    <x v="299"/>
    <x v="149"/>
    <x v="152"/>
    <x v="0"/>
  </r>
  <r>
    <x v="1000"/>
    <x v="158"/>
    <x v="154"/>
    <s v="METHOD AND SYSTEM FOR REBALANCING ELECTROLYTES IN A REDOX FLOW BATTERY SYSTEM"/>
    <x v="661"/>
    <s v="03/06/2014"/>
    <x v="209"/>
    <s v="11/29/2016"/>
    <x v="327"/>
    <x v="300"/>
    <x v="149"/>
    <x v="152"/>
    <x v="0"/>
  </r>
  <r>
    <x v="1001"/>
    <x v="158"/>
    <x v="154"/>
    <s v="METHODS TO PREPARE STABLE ELECTROLYTES FOR ALL IRON REDOX FLOW BATTERIES"/>
    <x v="662"/>
    <s v="03/07/2014"/>
    <x v="210"/>
    <s v="01/09/2018"/>
    <x v="1"/>
    <x v="1"/>
    <x v="149"/>
    <x v="152"/>
    <x v="0"/>
  </r>
  <r>
    <x v="1002"/>
    <x v="158"/>
    <x v="154"/>
    <s v="REDOX AND PLATING ELECTRODE SYSTEM FOR AN ALL-IRON HYBRID FLOW BATTERY"/>
    <x v="663"/>
    <s v="09/05/2013"/>
    <x v="211"/>
    <s v="04/04/2017"/>
    <x v="1"/>
    <x v="1"/>
    <x v="149"/>
    <x v="152"/>
    <x v="0"/>
  </r>
  <r>
    <x v="1003"/>
    <x v="158"/>
    <x v="154"/>
    <s v="METHOD AND SYSTEM TO MAINTAIN ELECTROLYTE STABILITY FOR ALL-IRON REDOX FLOW BATTERIES"/>
    <x v="1"/>
    <s v=""/>
    <x v="0"/>
    <s v=""/>
    <x v="1"/>
    <x v="1"/>
    <x v="149"/>
    <x v="152"/>
    <x v="0"/>
  </r>
  <r>
    <x v="1004"/>
    <x v="159"/>
    <x v="156"/>
    <s v="CARBON NANOTUBE BASED HIGH  SURFACE AREA CARBON ELECTRODES"/>
    <x v="1"/>
    <s v=""/>
    <x v="0"/>
    <s v=""/>
    <x v="1"/>
    <x v="1"/>
    <x v="150"/>
    <x v="153"/>
    <x v="0"/>
  </r>
  <r>
    <x v="1005"/>
    <x v="159"/>
    <x v="156"/>
    <s v="NITROGEN-FUNCTIONALIZED PLATINUM-IRIDIUM ELECTROCATALYST"/>
    <x v="664"/>
    <s v="05/12/2016"/>
    <x v="0"/>
    <s v=""/>
    <x v="328"/>
    <x v="301"/>
    <x v="150"/>
    <x v="153"/>
    <x v="0"/>
  </r>
  <r>
    <x v="1006"/>
    <x v="159"/>
    <x v="156"/>
    <s v="NITROGEN-FUNCTIONALIZED PLATINUM-IRIDIUM ELECTROCATALYST"/>
    <x v="665"/>
    <s v="11/08/2017"/>
    <x v="0"/>
    <s v=""/>
    <x v="1"/>
    <x v="1"/>
    <x v="150"/>
    <x v="153"/>
    <x v="0"/>
  </r>
  <r>
    <x v="1007"/>
    <x v="160"/>
    <x v="157"/>
    <s v="MANUFACTURE OF METAL-SUPPORTED SOLID ELECTROLYTE SODIUM GATTERY CELLS"/>
    <x v="666"/>
    <s v=""/>
    <x v="0"/>
    <s v=""/>
    <x v="1"/>
    <x v="1"/>
    <x v="151"/>
    <x v="154"/>
    <x v="0"/>
  </r>
  <r>
    <x v="1008"/>
    <x v="160"/>
    <x v="157"/>
    <s v="METAL SUPPORTED THIN FILM SODIUM ION CONDUCTING SOLID STATE ELECTROLYTE"/>
    <x v="667"/>
    <s v="03/05/2013"/>
    <x v="0"/>
    <s v=""/>
    <x v="1"/>
    <x v="1"/>
    <x v="151"/>
    <x v="154"/>
    <x v="0"/>
  </r>
  <r>
    <x v="1009"/>
    <x v="160"/>
    <x v="157"/>
    <s v="POROUS METAL SUPPORTED THIN FILM SODIUM ION CONDUCTING SOLID STATE ELECTROLYTE"/>
    <x v="668"/>
    <s v="05/20/2013"/>
    <x v="0"/>
    <s v=""/>
    <x v="1"/>
    <x v="1"/>
    <x v="151"/>
    <x v="154"/>
    <x v="0"/>
  </r>
  <r>
    <x v="1010"/>
    <x v="160"/>
    <x v="157"/>
    <s v="METAL SUPPORTED SOLID ELECTROLYTE SODIUM BATTERY CELLS"/>
    <x v="669"/>
    <s v="08/15/2014"/>
    <x v="0"/>
    <s v=""/>
    <x v="1"/>
    <x v="1"/>
    <x v="151"/>
    <x v="154"/>
    <x v="0"/>
  </r>
  <r>
    <x v="1011"/>
    <x v="160"/>
    <x v="157"/>
    <s v="POROUS METAL SUPPORTED THIN FILM SODIUM ION CONDUCTING SOLID STATE ELECTROLYTE"/>
    <x v="670"/>
    <s v="05/20/2013"/>
    <x v="0"/>
    <s v=""/>
    <x v="1"/>
    <x v="1"/>
    <x v="151"/>
    <x v="154"/>
    <x v="0"/>
  </r>
  <r>
    <x v="1012"/>
    <x v="161"/>
    <x v="148"/>
    <s v="BATTERY TESTING SYSTEM AND METHOD"/>
    <x v="671"/>
    <s v="11/07/2014"/>
    <x v="0"/>
    <s v=""/>
    <x v="1"/>
    <x v="1"/>
    <x v="152"/>
    <x v="155"/>
    <x v="0"/>
  </r>
  <r>
    <x v="1013"/>
    <x v="161"/>
    <x v="158"/>
    <s v="HIGH PRECISION BATTERY TESTER FOR AUTOMOTIVE AND STATIONARY APPLICATION"/>
    <x v="1"/>
    <s v=""/>
    <x v="0"/>
    <s v=""/>
    <x v="1"/>
    <x v="1"/>
    <x v="152"/>
    <x v="155"/>
    <x v="0"/>
  </r>
  <r>
    <x v="1014"/>
    <x v="161"/>
    <x v="158"/>
    <s v="BATTERY THERMAL CONTROLLER"/>
    <x v="1"/>
    <s v=""/>
    <x v="0"/>
    <s v=""/>
    <x v="1"/>
    <x v="1"/>
    <x v="152"/>
    <x v="155"/>
    <x v="0"/>
  </r>
  <r>
    <x v="1015"/>
    <x v="161"/>
    <x v="158"/>
    <s v="DISTRIBUTED CURRENT SHUNT"/>
    <x v="1"/>
    <s v=""/>
    <x v="0"/>
    <s v=""/>
    <x v="1"/>
    <x v="1"/>
    <x v="152"/>
    <x v="155"/>
    <x v="0"/>
  </r>
  <r>
    <x v="1016"/>
    <x v="162"/>
    <x v="53"/>
    <s v="BULK FORCE IN A BATTERY PACK AND ITS APPLICATION TO STATE OF CHARGE ESTIMATION"/>
    <x v="672"/>
    <s v="08/29/2014"/>
    <x v="0"/>
    <s v=""/>
    <x v="1"/>
    <x v="1"/>
    <x v="153"/>
    <x v="156"/>
    <x v="0"/>
  </r>
  <r>
    <x v="1017"/>
    <x v="162"/>
    <x v="53"/>
    <s v="LOW COST FLEX SENSOR MODULAR ARRAY"/>
    <x v="673"/>
    <s v="06/18/2015"/>
    <x v="0"/>
    <s v=""/>
    <x v="1"/>
    <x v="1"/>
    <x v="153"/>
    <x v="156"/>
    <x v="0"/>
  </r>
  <r>
    <x v="1018"/>
    <x v="162"/>
    <x v="53"/>
    <s v="BATTERY CELL HEALTH MONITORING USING DISPLACEMENT SENSORS"/>
    <x v="674"/>
    <s v="03/24/2013"/>
    <x v="0"/>
    <s v=""/>
    <x v="1"/>
    <x v="1"/>
    <x v="153"/>
    <x v="156"/>
    <x v="0"/>
  </r>
  <r>
    <x v="1019"/>
    <x v="162"/>
    <x v="53"/>
    <s v="BATTERY CELL HEALTH MONITORING USING DISPLACEMENT SENSORS"/>
    <x v="1"/>
    <s v=""/>
    <x v="0"/>
    <s v=""/>
    <x v="1"/>
    <x v="1"/>
    <x v="153"/>
    <x v="156"/>
    <x v="0"/>
  </r>
  <r>
    <x v="1020"/>
    <x v="162"/>
    <x v="53"/>
    <s v="BULK FORCE IN A BATTERY PACK AND ITS APPLICATION TO STATE OF CHARGE ESTIMATION"/>
    <x v="1"/>
    <s v=""/>
    <x v="0"/>
    <s v=""/>
    <x v="1"/>
    <x v="1"/>
    <x v="153"/>
    <x v="156"/>
    <x v="0"/>
  </r>
  <r>
    <x v="1021"/>
    <x v="162"/>
    <x v="159"/>
    <s v="BATTERY STATE OF CHARGE ESTIMATION USING BULK FORCE MEASUREMENTS"/>
    <x v="1"/>
    <s v=""/>
    <x v="0"/>
    <s v=""/>
    <x v="1"/>
    <x v="1"/>
    <x v="153"/>
    <x v="156"/>
    <x v="0"/>
  </r>
  <r>
    <x v="1022"/>
    <x v="162"/>
    <x v="53"/>
    <s v="METHOD AND SYSTEM FOR MONITORING BATTERY CELL HEALTH"/>
    <x v="1"/>
    <s v=""/>
    <x v="0"/>
    <s v=""/>
    <x v="1"/>
    <x v="1"/>
    <x v="153"/>
    <x v="156"/>
    <x v="0"/>
  </r>
  <r>
    <x v="1023"/>
    <x v="162"/>
    <x v="159"/>
    <s v="METAL INFILTRATED ELECTRODES FOR SOLID-STATE BATTERIES"/>
    <x v="675"/>
    <s v="10/25/2017"/>
    <x v="0"/>
    <s v=""/>
    <x v="1"/>
    <x v="1"/>
    <x v="153"/>
    <x v="156"/>
    <x v="0"/>
  </r>
  <r>
    <x v="1024"/>
    <x v="162"/>
    <x v="159"/>
    <s v="METAL INFILTRATED ELECTRODES FOR SOLID-STATE BATTERIES"/>
    <x v="676"/>
    <s v="10/25/2017"/>
    <x v="0"/>
    <s v=""/>
    <x v="245"/>
    <x v="222"/>
    <x v="153"/>
    <x v="156"/>
    <x v="0"/>
  </r>
  <r>
    <x v="1025"/>
    <x v="163"/>
    <x v="160"/>
    <s v="LITHIUM ION POUCH CELL AND A CELL MODULE"/>
    <x v="677"/>
    <s v="01/24/2014"/>
    <x v="0"/>
    <s v=""/>
    <x v="329"/>
    <x v="302"/>
    <x v="154"/>
    <x v="157"/>
    <x v="0"/>
  </r>
  <r>
    <x v="1026"/>
    <x v="164"/>
    <x v="111"/>
    <s v="ELECTRIFIED VEHICLE DC POWER CONVERSION WITH DISTRIBUTED CONTROL"/>
    <x v="678"/>
    <s v="08/16/2016"/>
    <x v="212"/>
    <s v="11/20/2018"/>
    <x v="1"/>
    <x v="1"/>
    <x v="155"/>
    <x v="158"/>
    <x v="0"/>
  </r>
  <r>
    <x v="1027"/>
    <x v="164"/>
    <x v="111"/>
    <s v="ACTIVE BALANCING SYSTEM FOR ELECTRIC VEHICLES WITH INCORPORATED LOW VOLTAGE BUS"/>
    <x v="679"/>
    <s v="01/07/2015"/>
    <x v="213"/>
    <s v="08/28/2018"/>
    <x v="1"/>
    <x v="1"/>
    <x v="155"/>
    <x v="158"/>
    <x v="0"/>
  </r>
  <r>
    <x v="1028"/>
    <x v="164"/>
    <x v="111"/>
    <s v="ELECTRIFIED VEHICLE POWER CONVERSION FOR LOW VOLTAGE BUS"/>
    <x v="680"/>
    <s v="08/16/2016"/>
    <x v="0"/>
    <s v=""/>
    <x v="1"/>
    <x v="1"/>
    <x v="155"/>
    <x v="158"/>
    <x v="0"/>
  </r>
  <r>
    <x v="1029"/>
    <x v="164"/>
    <x v="111"/>
    <s v="ACTIVE BALANCING SYSTEM FOR ELECTRIC VEHICLES WITH INCORPORATED LOW VOLTAGE BUS"/>
    <x v="681"/>
    <s v="07/29/2016"/>
    <x v="0"/>
    <s v=""/>
    <x v="1"/>
    <x v="1"/>
    <x v="155"/>
    <x v="158"/>
    <x v="0"/>
  </r>
  <r>
    <x v="1030"/>
    <x v="164"/>
    <x v="111"/>
    <s v="ACTIVE BALANCING SYSTEM FOR ELECTRIC VEHICLES WITH INCORPORATED LOW VOLTAGE BUS"/>
    <x v="682"/>
    <s v="07/29/2016"/>
    <x v="0"/>
    <s v=""/>
    <x v="1"/>
    <x v="1"/>
    <x v="155"/>
    <x v="158"/>
    <x v="0"/>
  </r>
  <r>
    <x v="1031"/>
    <x v="164"/>
    <x v="111"/>
    <s v="ACTIVE BALANCING SYSTEM FOR ELECTRIC VEHICLES WITH INCORPORATED LOW VOLTAGE BUS"/>
    <x v="683"/>
    <s v="01/07/2015"/>
    <x v="0"/>
    <s v=""/>
    <x v="1"/>
    <x v="1"/>
    <x v="155"/>
    <x v="158"/>
    <x v="0"/>
  </r>
  <r>
    <x v="1032"/>
    <x v="165"/>
    <x v="66"/>
    <s v="BATTERY CELL STRUCTURE WITH LIMITED CELL PENETRATIONS"/>
    <x v="684"/>
    <s v="02/12/2015"/>
    <x v="0"/>
    <s v=""/>
    <x v="1"/>
    <x v="1"/>
    <x v="156"/>
    <x v="159"/>
    <x v="0"/>
  </r>
  <r>
    <x v="1033"/>
    <x v="165"/>
    <x v="66"/>
    <s v="INTEGRAL LIGHT SOURCES AND DETECTORS FOR AN OPTICAL SENSOR TO DETECT BATTERY FAULTS"/>
    <x v="685"/>
    <s v="02/12/2015"/>
    <x v="0"/>
    <s v=""/>
    <x v="1"/>
    <x v="1"/>
    <x v="156"/>
    <x v="159"/>
    <x v="0"/>
  </r>
  <r>
    <x v="1034"/>
    <x v="165"/>
    <x v="66"/>
    <s v="OPTICAL METHODS OF MONITORING BATTERY HEALTH"/>
    <x v="686"/>
    <s v="08/09/2013"/>
    <x v="0"/>
    <s v=""/>
    <x v="1"/>
    <x v="1"/>
    <x v="156"/>
    <x v="159"/>
    <x v="0"/>
  </r>
  <r>
    <x v="1035"/>
    <x v="165"/>
    <x v="66"/>
    <s v="OPTICAL WAVEGUIDE METHODS FOR DETECTING INTERNAL FAULTS IN OPERATING BATTERIES"/>
    <x v="687"/>
    <s v="02/15/2015"/>
    <x v="214"/>
    <s v="02/14/2017"/>
    <x v="1"/>
    <x v="1"/>
    <x v="156"/>
    <x v="159"/>
    <x v="0"/>
  </r>
  <r>
    <x v="1036"/>
    <x v="165"/>
    <x v="66"/>
    <s v="BATTERY ELECTROLYTE SENSOR AS A DEGRADATION MONITOR"/>
    <x v="1"/>
    <s v=""/>
    <x v="0"/>
    <s v=""/>
    <x v="1"/>
    <x v="1"/>
    <x v="156"/>
    <x v="159"/>
    <x v="0"/>
  </r>
  <r>
    <x v="1037"/>
    <x v="165"/>
    <x v="66"/>
    <s v="DETECTION OF THREAD HOT SPOTS ON OPERATING BATTERIES"/>
    <x v="1"/>
    <s v=""/>
    <x v="0"/>
    <s v=""/>
    <x v="1"/>
    <x v="1"/>
    <x v="156"/>
    <x v="159"/>
    <x v="0"/>
  </r>
  <r>
    <x v="1038"/>
    <x v="165"/>
    <x v="66"/>
    <s v="OPTICAL METHODS OF MONITORING BATTERY HEALTH"/>
    <x v="684"/>
    <s v="02/12/2015"/>
    <x v="215"/>
    <s v="01/08/2019"/>
    <x v="1"/>
    <x v="1"/>
    <x v="156"/>
    <x v="159"/>
    <x v="0"/>
  </r>
  <r>
    <x v="1039"/>
    <x v="165"/>
    <x v="66"/>
    <s v="MODEL-BASED DENDRITE GROWTH ESTIMATOR FOR A LITHIUM ION BATTERY WITH AN OPTICAL SEPERATOR"/>
    <x v="1"/>
    <s v=""/>
    <x v="0"/>
    <s v=""/>
    <x v="1"/>
    <x v="1"/>
    <x v="156"/>
    <x v="159"/>
    <x v="0"/>
  </r>
  <r>
    <x v="1040"/>
    <x v="166"/>
    <x v="92"/>
    <s v="METHOD THAT IMPROVES DETECTION OF STATE OF CHARGE (SOC) OF BATTERY CELLS CONNECTED IN SERIES"/>
    <x v="1"/>
    <s v=""/>
    <x v="0"/>
    <s v=""/>
    <x v="1"/>
    <x v="1"/>
    <x v="157"/>
    <x v="160"/>
    <x v="0"/>
  </r>
  <r>
    <x v="1041"/>
    <x v="167"/>
    <x v="161"/>
    <s v="METHOD TO EMBED FIBER OPTIC CABLES IN BATTERY CELLS TO AID BATTERY MANAGEMENT SYSTEM"/>
    <x v="1"/>
    <s v=""/>
    <x v="0"/>
    <s v=""/>
    <x v="1"/>
    <x v="1"/>
    <x v="158"/>
    <x v="161"/>
    <x v="0"/>
  </r>
  <r>
    <x v="1042"/>
    <x v="167"/>
    <x v="161"/>
    <s v="CHEMICAL SENSING USING FIBER OPTIC SENSORS FOR ENHANCED PERFORMANCE OF ENERGY STORAGE DEVICES"/>
    <x v="1"/>
    <s v=""/>
    <x v="0"/>
    <s v=""/>
    <x v="1"/>
    <x v="1"/>
    <x v="158"/>
    <x v="161"/>
    <x v="0"/>
  </r>
  <r>
    <x v="1043"/>
    <x v="167"/>
    <x v="161"/>
    <s v="BATTERY MANAGEMENT BASED ON INTERNAL OPTICAL SENSING "/>
    <x v="688"/>
    <s v="04/21/2014"/>
    <x v="216"/>
    <s v="01/24/2017"/>
    <x v="1"/>
    <x v="1"/>
    <x v="158"/>
    <x v="161"/>
    <x v="0"/>
  </r>
  <r>
    <x v="1044"/>
    <x v="167"/>
    <x v="161"/>
    <s v="METHOD FOR MONITORING/MANAGING ELECTROCHEMICAL ENERGY DEVICE BY DETECTING INTERCALATION STAGE CHANGES"/>
    <x v="689"/>
    <s v="04/01/2014"/>
    <x v="217"/>
    <s v="02/28/2017"/>
    <x v="1"/>
    <x v="1"/>
    <x v="158"/>
    <x v="161"/>
    <x v="0"/>
  </r>
  <r>
    <x v="1045"/>
    <x v="167"/>
    <x v="161"/>
    <s v="ENERGY SYSTEM MONITORING"/>
    <x v="690"/>
    <s v="07/15/2014"/>
    <x v="218"/>
    <s v="06/13/2017"/>
    <x v="1"/>
    <x v="1"/>
    <x v="158"/>
    <x v="161"/>
    <x v="0"/>
  </r>
  <r>
    <x v="1046"/>
    <x v="167"/>
    <x v="161"/>
    <s v="MONITORING/MANAGING ELECTROCHEMICAL ENERGY DEVICE USING DETECTED INTERCALATION STAGE CHANGES"/>
    <x v="691"/>
    <s v="04/01/2014"/>
    <x v="219"/>
    <s v="12/08/2015"/>
    <x v="1"/>
    <x v="1"/>
    <x v="158"/>
    <x v="161"/>
    <x v="0"/>
  </r>
  <r>
    <x v="1047"/>
    <x v="167"/>
    <x v="161"/>
    <s v="SENSOR APPARATUS AND METHOD BASED ON WAVELENGTH CENTROID DETECTION"/>
    <x v="692"/>
    <s v="12/27/2013"/>
    <x v="220"/>
    <s v="12/01/2015"/>
    <x v="1"/>
    <x v="1"/>
    <x v="158"/>
    <x v="161"/>
    <x v="0"/>
  </r>
  <r>
    <x v="1048"/>
    <x v="167"/>
    <x v="161"/>
    <s v="SYSTEM AND METHOD FOR USING FO SENSORS TO EXTRACT STATE RELEVANT INFORMATION FROM ELECTROCHEMICALENERGY STORAGE DEVICES "/>
    <x v="691"/>
    <s v="04/01/2014"/>
    <x v="221"/>
    <s v="12/08/2015"/>
    <x v="1"/>
    <x v="1"/>
    <x v="158"/>
    <x v="161"/>
    <x v="0"/>
  </r>
  <r>
    <x v="1049"/>
    <x v="167"/>
    <x v="161"/>
    <s v="INTERNALLY IMPLANTED FIBER OPTIC CABLES INTO BATTERY CATHODE AND ANODE ELECTODES TO PROVIDE MORE ACCURATE SIGNALS TO BATTERY MANAGEMENT SYSTEM"/>
    <x v="1"/>
    <s v=""/>
    <x v="0"/>
    <s v=""/>
    <x v="1"/>
    <x v="1"/>
    <x v="158"/>
    <x v="161"/>
    <x v="0"/>
  </r>
  <r>
    <x v="1050"/>
    <x v="167"/>
    <x v="161"/>
    <s v="FIBER-OPTIC INTERROGATION SYSTEM FOR BATTERY MANAGEMENT SYSTEMS UTILIZING ARRAYED WAVEGUIDE GRATINGS"/>
    <x v="1"/>
    <s v=""/>
    <x v="0"/>
    <s v=""/>
    <x v="1"/>
    <x v="1"/>
    <x v="158"/>
    <x v="161"/>
    <x v="0"/>
  </r>
  <r>
    <x v="1051"/>
    <x v="167"/>
    <x v="161"/>
    <s v="READOUT SCHEME FOR INTENSITY-ENCODED SENSORS"/>
    <x v="691"/>
    <s v="01/23/2014"/>
    <x v="0"/>
    <s v=""/>
    <x v="1"/>
    <x v="1"/>
    <x v="158"/>
    <x v="161"/>
    <x v="0"/>
  </r>
  <r>
    <x v="1052"/>
    <x v="167"/>
    <x v="161"/>
    <s v=" METHOD TO PRODUCE TRANSPARENT POLYMER AEROGELS USING CHAIN TRANSFER AGENTS"/>
    <x v="693"/>
    <s v="10/09/2017"/>
    <x v="0"/>
    <s v=""/>
    <x v="1"/>
    <x v="1"/>
    <x v="158"/>
    <x v="161"/>
    <x v="0"/>
  </r>
  <r>
    <x v="1053"/>
    <x v="167"/>
    <x v="161"/>
    <s v="DETECTION OF LITHIUM PLATING USING FIBER-OPTIC SENSORS"/>
    <x v="694"/>
    <s v="07/18/2017"/>
    <x v="0"/>
    <s v=""/>
    <x v="1"/>
    <x v="1"/>
    <x v="158"/>
    <x v="161"/>
    <x v="0"/>
  </r>
  <r>
    <x v="1054"/>
    <x v="167"/>
    <x v="161"/>
    <s v="BATTERY WITH EMBEDDED FIBER OPTIC CABLE"/>
    <x v="695"/>
    <s v="07/23/2014"/>
    <x v="0"/>
    <s v=""/>
    <x v="1"/>
    <x v="1"/>
    <x v="158"/>
    <x v="161"/>
    <x v="0"/>
  </r>
  <r>
    <x v="1055"/>
    <x v="167"/>
    <x v="161"/>
    <s v="EMBEDDED FIBER OPTIC CABLES FOR BATTERY MANAGEMENT"/>
    <x v="696"/>
    <s v="07/23/2014"/>
    <x v="0"/>
    <s v=""/>
    <x v="1"/>
    <x v="1"/>
    <x v="158"/>
    <x v="161"/>
    <x v="0"/>
  </r>
  <r>
    <x v="1056"/>
    <x v="167"/>
    <x v="161"/>
    <s v="METHOD AND SYSTEM TO SEPARATE OPTICALLY MEASURED COUPLED PARAMETERS"/>
    <x v="697"/>
    <s v="07/28/2015"/>
    <x v="0"/>
    <s v=""/>
    <x v="1"/>
    <x v="1"/>
    <x v="158"/>
    <x v="161"/>
    <x v="0"/>
  </r>
  <r>
    <x v="1057"/>
    <x v="168"/>
    <x v="162"/>
    <s v="SYSTEMS AND METHODS FOR IMPROVING BATTERY PERFORMANCE "/>
    <x v="1"/>
    <s v=""/>
    <x v="0"/>
    <s v=""/>
    <x v="1"/>
    <x v="1"/>
    <x v="159"/>
    <x v="162"/>
    <x v="0"/>
  </r>
  <r>
    <x v="1058"/>
    <x v="168"/>
    <x v="162"/>
    <s v="UNIVERSALLY OPTIMAL CHARGING STRATEGY FOR LITHIUM-ION BATTERIES"/>
    <x v="1"/>
    <s v=""/>
    <x v="0"/>
    <s v=""/>
    <x v="1"/>
    <x v="1"/>
    <x v="159"/>
    <x v="162"/>
    <x v="0"/>
  </r>
  <r>
    <x v="1059"/>
    <x v="168"/>
    <x v="162"/>
    <s v="SYSTEMS AND METHODS FOR IMPROVING BATTERY PERFORMANCE "/>
    <x v="698"/>
    <s v="11/13/2013"/>
    <x v="0"/>
    <s v=""/>
    <x v="1"/>
    <x v="1"/>
    <x v="159"/>
    <x v="162"/>
    <x v="0"/>
  </r>
  <r>
    <x v="1060"/>
    <x v="168"/>
    <x v="162"/>
    <s v="ROBUST FAIL-SAFE ITERATION FREE APPROACH FOR SOLVING INDEX-1 DAES ARISING FROM BATTERY MODELS"/>
    <x v="699"/>
    <s v="01/18/2018"/>
    <x v="0"/>
    <s v=""/>
    <x v="1"/>
    <x v="1"/>
    <x v="159"/>
    <x v="162"/>
    <x v="0"/>
  </r>
  <r>
    <x v="1061"/>
    <x v="168"/>
    <x v="162"/>
    <s v="SYSTEMS AND METHODS FOR DIRECT ESTIMATION OF ALL PARAMETERS FOR BATTERIES USING ONLY CHARGE/DISCHARGE CURVES"/>
    <x v="700"/>
    <s v="10/04/2017"/>
    <x v="0"/>
    <s v=""/>
    <x v="1"/>
    <x v="1"/>
    <x v="159"/>
    <x v="162"/>
    <x v="0"/>
  </r>
  <r>
    <x v="1062"/>
    <x v="168"/>
    <x v="162"/>
    <s v="ROBUST FAIL-SAFE ITERATION FREE APPROACH FOR SOLVING INDEX-1 DAES ARISING FROM BATTERY MODELS"/>
    <x v="701"/>
    <s v="07/20/2016"/>
    <x v="0"/>
    <s v=""/>
    <x v="146"/>
    <x v="131"/>
    <x v="159"/>
    <x v="162"/>
    <x v="0"/>
  </r>
  <r>
    <x v="1063"/>
    <x v="168"/>
    <x v="162"/>
    <s v="REFORMULATED MODEL BASED PREDICTION, MONITORING AND CONTROL OF RECHARGEABLE ELECTROCHEMICAL BATTERIES"/>
    <x v="702"/>
    <s v="11/13/2012"/>
    <x v="0"/>
    <s v=""/>
    <x v="1"/>
    <x v="1"/>
    <x v="159"/>
    <x v="162"/>
    <x v="0"/>
  </r>
  <r>
    <x v="1064"/>
    <x v="168"/>
    <x v="162"/>
    <s v="REAL-TIME CONTROL AND MANAGEMENT OF BATTERIES USING CLOUD-BASED SELF LEARN"/>
    <x v="703"/>
    <s v="10/16/2017"/>
    <x v="0"/>
    <s v=""/>
    <x v="1"/>
    <x v="1"/>
    <x v="159"/>
    <x v="162"/>
    <x v="0"/>
  </r>
  <r>
    <x v="1065"/>
    <x v="169"/>
    <x v="163"/>
    <s v="ENERGY STORAGE SYSTEM FOR SOC/SOH MEASUREMENT AND LIFE IMPROVEMENT USING STRAIN-BASED SENSOR"/>
    <x v="1"/>
    <s v=""/>
    <x v="0"/>
    <s v=""/>
    <x v="1"/>
    <x v="1"/>
    <x v="160"/>
    <x v="163"/>
    <x v="0"/>
  </r>
  <r>
    <x v="1066"/>
    <x v="169"/>
    <x v="163"/>
    <s v="MONITORING AND CONTROL OF ELECTROCHEMICAL CELL DEGRADATION VIA STRAIN BASED BATTERY TESTING"/>
    <x v="704"/>
    <s v="12/01/2015"/>
    <x v="0"/>
    <s v=""/>
    <x v="330"/>
    <x v="303"/>
    <x v="160"/>
    <x v="163"/>
    <x v="0"/>
  </r>
  <r>
    <x v="1067"/>
    <x v="169"/>
    <x v="163"/>
    <s v="STRAIN-BASED STATE OF CHARGE/DISCHARGE AND STATE OF HEALTH ESTIMATION OF BATTERY SYSTEM"/>
    <x v="705"/>
    <s v="12/10/2013"/>
    <x v="0"/>
    <s v=""/>
    <x v="331"/>
    <x v="304"/>
    <x v="160"/>
    <x v="163"/>
    <x v="0"/>
  </r>
  <r>
    <x v="1068"/>
    <x v="170"/>
    <x v="95"/>
    <s v="SECONDARY BATTERY MANAGEMENT SYSTEM"/>
    <x v="706"/>
    <s v="01/29/2016"/>
    <x v="222"/>
    <s v="03/26/2019"/>
    <x v="1"/>
    <x v="1"/>
    <x v="161"/>
    <x v="164"/>
    <x v="0"/>
  </r>
  <r>
    <x v="1069"/>
    <x v="170"/>
    <x v="95"/>
    <s v="EVALUATING CAPACITY FADE IN DUAL INSERTION BATTERIES USING POTENTIAL AND TEMPERATURE MEASUREMENTS"/>
    <x v="707"/>
    <s v="03/17/2016"/>
    <x v="223"/>
    <s v="02/13/2019"/>
    <x v="332"/>
    <x v="305"/>
    <x v="161"/>
    <x v="164"/>
    <x v="0"/>
  </r>
  <r>
    <x v="1070"/>
    <x v="170"/>
    <x v="95"/>
    <s v="SECONDARY BATTERY MANAGEMENT SYSTEM"/>
    <x v="708"/>
    <s v="01/29/2016"/>
    <x v="224"/>
    <s v="04/16/2019"/>
    <x v="1"/>
    <x v="1"/>
    <x v="161"/>
    <x v="164"/>
    <x v="0"/>
  </r>
  <r>
    <x v="1071"/>
    <x v="170"/>
    <x v="95"/>
    <s v="METHOD FOR ELECTROCHEMICAL MODEL-BASED ESTIMATION OF STATE OF HEALTH AND STATE OF CHARGE OF A LITHIUM-ION BATTERY"/>
    <x v="1"/>
    <s v=""/>
    <x v="0"/>
    <s v=""/>
    <x v="1"/>
    <x v="1"/>
    <x v="161"/>
    <x v="164"/>
    <x v="0"/>
  </r>
  <r>
    <x v="1072"/>
    <x v="170"/>
    <x v="95"/>
    <s v="SYSTEM FOR CLOUD-BASED ESTIMATION AND VERIFICATION OF LI-ION BATTERY PARAMETERS"/>
    <x v="1"/>
    <s v=""/>
    <x v="0"/>
    <s v=""/>
    <x v="1"/>
    <x v="1"/>
    <x v="161"/>
    <x v="164"/>
    <x v="0"/>
  </r>
  <r>
    <x v="1073"/>
    <x v="170"/>
    <x v="95"/>
    <s v="FAST CHARGING USING ADAPTABLE CURRENT AND VOLTAGE LIMITS WITH FEEDBACK CONTROL"/>
    <x v="1"/>
    <s v=""/>
    <x v="0"/>
    <s v=""/>
    <x v="1"/>
    <x v="1"/>
    <x v="161"/>
    <x v="164"/>
    <x v="0"/>
  </r>
  <r>
    <x v="1074"/>
    <x v="170"/>
    <x v="95"/>
    <s v="NOVEL METHODS FOR ESTIMATION OF SOC AND SOH IN LITHIUM-ION BATTERY SYSTEMS VIA EMPOLYING ADVANCED RESCURSIVE LINEAR SQUARES METHOD TO EL-CHEM MODELS"/>
    <x v="1"/>
    <s v=""/>
    <x v="0"/>
    <s v=""/>
    <x v="1"/>
    <x v="1"/>
    <x v="161"/>
    <x v="164"/>
    <x v="0"/>
  </r>
  <r>
    <x v="1075"/>
    <x v="170"/>
    <x v="95"/>
    <s v="NOVEL METHODS FOR ESTIMATION OF SOC AND SOH IN LITHIUM-ION BATTERY SYSTEMS VIA EMPLOYING MODIFIED MOVING HORIZON ESTIMATION METHOD TO EL-CHEM MODELS "/>
    <x v="1"/>
    <s v=""/>
    <x v="0"/>
    <s v=""/>
    <x v="1"/>
    <x v="1"/>
    <x v="161"/>
    <x v="164"/>
    <x v="0"/>
  </r>
  <r>
    <x v="1076"/>
    <x v="170"/>
    <x v="95"/>
    <s v="SECONDARY BATTERY MANAGEMENT SYSTEM WITH REMOTE  ESTIMATION"/>
    <x v="709"/>
    <s v="09/22/2016"/>
    <x v="0"/>
    <s v=""/>
    <x v="1"/>
    <x v="1"/>
    <x v="161"/>
    <x v="164"/>
    <x v="0"/>
  </r>
  <r>
    <x v="1077"/>
    <x v="170"/>
    <x v="95"/>
    <s v="STAIRCASE CHARGING"/>
    <x v="710"/>
    <s v="05/20/2016"/>
    <x v="0"/>
    <s v=""/>
    <x v="1"/>
    <x v="1"/>
    <x v="161"/>
    <x v="164"/>
    <x v="0"/>
  </r>
  <r>
    <x v="1078"/>
    <x v="170"/>
    <x v="95"/>
    <s v="SECONDARY BATTERY MANAGEMENT"/>
    <x v="711"/>
    <s v="01/29/2016"/>
    <x v="0"/>
    <s v=""/>
    <x v="1"/>
    <x v="1"/>
    <x v="161"/>
    <x v="164"/>
    <x v="0"/>
  </r>
  <r>
    <x v="1079"/>
    <x v="170"/>
    <x v="95"/>
    <s v="SECONDARY BATTERY MANAGEMENT SYSTEM"/>
    <x v="712"/>
    <s v="01/29/2016"/>
    <x v="0"/>
    <s v=""/>
    <x v="1"/>
    <x v="1"/>
    <x v="161"/>
    <x v="164"/>
    <x v="0"/>
  </r>
  <r>
    <x v="1080"/>
    <x v="170"/>
    <x v="95"/>
    <s v="SECONDARY BATTERY MANAGEMENT"/>
    <x v="713"/>
    <s v="01/23/2017"/>
    <x v="0"/>
    <s v=""/>
    <x v="159"/>
    <x v="142"/>
    <x v="161"/>
    <x v="164"/>
    <x v="0"/>
  </r>
  <r>
    <x v="1081"/>
    <x v="170"/>
    <x v="95"/>
    <s v="SECONDARY BATTERY MANAGEMENT SYSTEM"/>
    <x v="714"/>
    <s v="01/23/2017"/>
    <x v="0"/>
    <s v=""/>
    <x v="107"/>
    <x v="91"/>
    <x v="161"/>
    <x v="164"/>
    <x v="0"/>
  </r>
  <r>
    <x v="1082"/>
    <x v="170"/>
    <x v="95"/>
    <s v="SECONDARY BATTERY MANAGEMENT SYSTEM"/>
    <x v="715"/>
    <s v="01/29/2016"/>
    <x v="0"/>
    <s v=""/>
    <x v="1"/>
    <x v="1"/>
    <x v="161"/>
    <x v="164"/>
    <x v="0"/>
  </r>
  <r>
    <x v="1083"/>
    <x v="170"/>
    <x v="95"/>
    <s v="SECONDARY BATTERY MANAGEMENT SYSTEM"/>
    <x v="716"/>
    <s v="01/23/2017"/>
    <x v="0"/>
    <s v=""/>
    <x v="108"/>
    <x v="92"/>
    <x v="161"/>
    <x v="164"/>
    <x v="0"/>
  </r>
  <r>
    <x v="1084"/>
    <x v="170"/>
    <x v="95"/>
    <s v="SECONDARY BATTERY MANAGEMENT SYSTEM WITH REMOTE  ESTIMATION"/>
    <x v="717"/>
    <s v="09/22/2017"/>
    <x v="0"/>
    <s v=""/>
    <x v="160"/>
    <x v="143"/>
    <x v="161"/>
    <x v="164"/>
    <x v="0"/>
  </r>
  <r>
    <x v="1085"/>
    <x v="170"/>
    <x v="95"/>
    <s v="STAIRCASE CHARGING"/>
    <x v="718"/>
    <s v="05/18/2017"/>
    <x v="0"/>
    <s v=""/>
    <x v="1"/>
    <x v="1"/>
    <x v="161"/>
    <x v="164"/>
    <x v="0"/>
  </r>
  <r>
    <x v="1086"/>
    <x v="170"/>
    <x v="95"/>
    <s v="EVALUATING CAPACITY FADE IN DUAL INSERTION BATTERIES USING POTENTIAL AND TEMPERATURE MEASUREMENTS"/>
    <x v="719"/>
    <s v=""/>
    <x v="0"/>
    <s v=""/>
    <x v="1"/>
    <x v="1"/>
    <x v="161"/>
    <x v="164"/>
    <x v="0"/>
  </r>
  <r>
    <x v="1087"/>
    <x v="171"/>
    <x v="151"/>
    <s v="REMOTE BATTERY PROGNOSTICS USING BATTERY ON-BOARD PARAMETER ESTIMATION AND COLLECTIVE  LEARNING FROM INTERCONNECTED MACHINE NETWORKS"/>
    <x v="1"/>
    <s v=""/>
    <x v="0"/>
    <s v=""/>
    <x v="1"/>
    <x v="1"/>
    <x v="162"/>
    <x v="165"/>
    <x v="0"/>
  </r>
  <r>
    <x v="1088"/>
    <x v="171"/>
    <x v="151"/>
    <s v="ONLINE IMPEDANCE ESTIMATION FOR BATTERIES"/>
    <x v="1"/>
    <s v=""/>
    <x v="0"/>
    <s v=""/>
    <x v="1"/>
    <x v="1"/>
    <x v="162"/>
    <x v="165"/>
    <x v="0"/>
  </r>
  <r>
    <x v="1089"/>
    <x v="171"/>
    <x v="151"/>
    <s v="A TRANSFER FUNCTION TO DETERMINE BATTERY UTILIZATION COST FOR MAXIMIZING SYSTEM PERFORMANCE AND BATTERY LIFE"/>
    <x v="1"/>
    <s v=""/>
    <x v="0"/>
    <s v=""/>
    <x v="1"/>
    <x v="1"/>
    <x v="162"/>
    <x v="165"/>
    <x v="0"/>
  </r>
  <r>
    <x v="1090"/>
    <x v="171"/>
    <x v="151"/>
    <s v="REAL-TIME SYSTEM DUTY CYCLE PROFILING METHOD"/>
    <x v="1"/>
    <s v=""/>
    <x v="0"/>
    <s v=""/>
    <x v="1"/>
    <x v="1"/>
    <x v="162"/>
    <x v="165"/>
    <x v="0"/>
  </r>
  <r>
    <x v="1091"/>
    <x v="171"/>
    <x v="151"/>
    <s v="PREDICTIVE BATTERY MANAGEMENT FOR COMMERCIAL HYBRID"/>
    <x v="1"/>
    <s v=""/>
    <x v="0"/>
    <s v=""/>
    <x v="1"/>
    <x v="1"/>
    <x v="162"/>
    <x v="165"/>
    <x v="0"/>
  </r>
  <r>
    <x v="1092"/>
    <x v="172"/>
    <x v="164"/>
    <s v="INTERNALLY SERIES-COOLED STATOR STAGES TO MAXIMIZE CYCLE THERMAL EFFICIENCY"/>
    <x v="1"/>
    <s v=""/>
    <x v="0"/>
    <s v=""/>
    <x v="1"/>
    <x v="1"/>
    <x v="163"/>
    <x v="166"/>
    <x v="0"/>
  </r>
  <r>
    <x v="1093"/>
    <x v="172"/>
    <x v="164"/>
    <s v="CERAMIC MATRIX COMPOSITE (CMC) ROTOR BLADES FOR PARTIAL OXIDATION GAS TURBINES (POGTs)"/>
    <x v="1"/>
    <s v=""/>
    <x v="0"/>
    <s v=""/>
    <x v="1"/>
    <x v="1"/>
    <x v="163"/>
    <x v="166"/>
    <x v="0"/>
  </r>
  <r>
    <x v="1094"/>
    <x v="173"/>
    <x v="68"/>
    <s v="CATALYST SUPPORT STRUCTURE, CATALYST INCLUDING THE STRUCTURE, REACTOR INCLUDING A CATALYST, AND METHODS OF FORMING SAME "/>
    <x v="720"/>
    <s v="04/16/2015"/>
    <x v="225"/>
    <s v="05/09/2017"/>
    <x v="1"/>
    <x v="1"/>
    <x v="164"/>
    <x v="167"/>
    <x v="0"/>
  </r>
  <r>
    <x v="1095"/>
    <x v="173"/>
    <x v="68"/>
    <s v="CATALYST, STRUCTURES, REACTORS, AND METHODS OF FORMING SAME"/>
    <x v="721"/>
    <s v="05/17/2017"/>
    <x v="0"/>
    <s v=""/>
    <x v="1"/>
    <x v="1"/>
    <x v="164"/>
    <x v="167"/>
    <x v="0"/>
  </r>
  <r>
    <x v="1096"/>
    <x v="173"/>
    <x v="68"/>
    <s v="CATALYST, STRUCTURES, REACTORS, AND METHODS OF FORMING SAME"/>
    <x v="722"/>
    <s v="11/07/2015"/>
    <x v="0"/>
    <s v=""/>
    <x v="333"/>
    <x v="306"/>
    <x v="164"/>
    <x v="167"/>
    <x v="0"/>
  </r>
  <r>
    <x v="1097"/>
    <x v="174"/>
    <x v="165"/>
    <s v="THICKENING COMPOSITIONS, AND RELATED MATERIALS AND PROCESSES"/>
    <x v="723"/>
    <s v="04/10/2015"/>
    <x v="0"/>
    <s v=""/>
    <x v="334"/>
    <x v="307"/>
    <x v="165"/>
    <x v="168"/>
    <x v="0"/>
  </r>
  <r>
    <x v="1098"/>
    <x v="174"/>
    <x v="86"/>
    <s v="NOVEL SURFACTANTS FOR CO2 IN OIL FOAMS"/>
    <x v="1"/>
    <s v=""/>
    <x v="0"/>
    <s v=""/>
    <x v="1"/>
    <x v="1"/>
    <x v="165"/>
    <x v="168"/>
    <x v="0"/>
  </r>
  <r>
    <x v="1099"/>
    <x v="174"/>
    <x v="86"/>
    <s v="ACETYLATED  CYCLIC SMALL MOLECULE CO2 VISCOSIFIERS"/>
    <x v="1"/>
    <s v=""/>
    <x v="0"/>
    <s v=""/>
    <x v="1"/>
    <x v="1"/>
    <x v="165"/>
    <x v="168"/>
    <x v="0"/>
  </r>
  <r>
    <x v="1100"/>
    <x v="174"/>
    <x v="165"/>
    <s v="COMPOSITIONS FOR, SOLUTIONS FOR, AND METHODS OF USE OF SILOXANE BASED AROMATIC TRISUREAS AS VISCOSIFIERS"/>
    <x v="724"/>
    <s v="01/26/2016"/>
    <x v="0"/>
    <s v=""/>
    <x v="335"/>
    <x v="308"/>
    <x v="165"/>
    <x v="168"/>
    <x v="0"/>
  </r>
  <r>
    <x v="1101"/>
    <x v="175"/>
    <x v="166"/>
    <s v="WIND TURBINE ROTOR BLADES WITH SUPPORT FLANGES"/>
    <x v="725"/>
    <s v="12/18/2014"/>
    <x v="0"/>
    <s v=""/>
    <x v="1"/>
    <x v="1"/>
    <x v="166"/>
    <x v="169"/>
    <x v="0"/>
  </r>
  <r>
    <x v="1102"/>
    <x v="175"/>
    <x v="166"/>
    <s v="INFLATABLE AIRFOIL COMPONENETS FOR WIND BLADES"/>
    <x v="1"/>
    <s v=""/>
    <x v="0"/>
    <s v=""/>
    <x v="1"/>
    <x v="1"/>
    <x v="166"/>
    <x v="169"/>
    <x v="0"/>
  </r>
  <r>
    <x v="1103"/>
    <x v="175"/>
    <x v="166"/>
    <s v="USE OR UNIDIRECTIONAL FIBERS IN BOXBEAM TO PROVENT FF/IFF"/>
    <x v="1"/>
    <s v=""/>
    <x v="0"/>
    <s v=""/>
    <x v="1"/>
    <x v="1"/>
    <x v="166"/>
    <x v="169"/>
    <x v="0"/>
  </r>
  <r>
    <x v="1104"/>
    <x v="175"/>
    <x v="166"/>
    <s v="WIND TURBINE ROTOR BLADES WITH LOAD-TRANSFERRING EXTERIOR PANELS"/>
    <x v="726"/>
    <s v="12/18/2014"/>
    <x v="0"/>
    <s v=""/>
    <x v="336"/>
    <x v="309"/>
    <x v="166"/>
    <x v="169"/>
    <x v="0"/>
  </r>
  <r>
    <x v="1105"/>
    <x v="175"/>
    <x v="166"/>
    <s v="A METHOD OF MODULARIZING WIND BLADE"/>
    <x v="1"/>
    <s v=""/>
    <x v="0"/>
    <s v=""/>
    <x v="1"/>
    <x v="1"/>
    <x v="166"/>
    <x v="169"/>
    <x v="0"/>
  </r>
  <r>
    <x v="1106"/>
    <x v="175"/>
    <x v="167"/>
    <s v="CENTRIFUGAL RATCHETING MECHANISM IN A WIND TURBINE"/>
    <x v="727"/>
    <s v="04/14/2014"/>
    <x v="226"/>
    <s v="05/16/2017"/>
    <x v="1"/>
    <x v="1"/>
    <x v="166"/>
    <x v="169"/>
    <x v="0"/>
  </r>
  <r>
    <x v="1107"/>
    <x v="175"/>
    <x v="167"/>
    <s v="RAPID MANUFACTURE OF COMPOSITE AIRFOIL GEOMETRIES"/>
    <x v="728"/>
    <s v="03/03/2014"/>
    <x v="227"/>
    <s v="11/29/2016"/>
    <x v="1"/>
    <x v="1"/>
    <x v="166"/>
    <x v="169"/>
    <x v="0"/>
  </r>
  <r>
    <x v="1108"/>
    <x v="176"/>
    <x v="37"/>
    <s v="NEXT-GENERATION MICROFILTER; LARGE-SCALE, CONTINUOUS MAMMALIAN CELL RETENTION FOR PERFUSION BIOREACTORS"/>
    <x v="729"/>
    <s v="03/16/2017"/>
    <x v="0"/>
    <s v=""/>
    <x v="1"/>
    <x v="1"/>
    <x v="167"/>
    <x v="170"/>
    <x v="0"/>
  </r>
  <r>
    <x v="1109"/>
    <x v="176"/>
    <x v="37"/>
    <s v="ULTRATHIN, CONDUCTIVE AND FOULING-RESISTANT ZWITTERIONIC POLYMER FILMS"/>
    <x v="730"/>
    <s v="07/20/2018"/>
    <x v="0"/>
    <s v=""/>
    <x v="1"/>
    <x v="1"/>
    <x v="167"/>
    <x v="170"/>
    <x v="0"/>
  </r>
  <r>
    <x v="1110"/>
    <x v="176"/>
    <x v="37"/>
    <s v="ION CONCENTRATION POLARIZATION - ELECTROCOAGULATION HYBRID SYSTEM FOR WATER TREATMENT"/>
    <x v="731"/>
    <s v="09/17/2015"/>
    <x v="228"/>
    <s v="12/26/2017"/>
    <x v="1"/>
    <x v="1"/>
    <x v="167"/>
    <x v="170"/>
    <x v="0"/>
  </r>
  <r>
    <x v="1111"/>
    <x v="176"/>
    <x v="37"/>
    <s v="Purification of Ultra-High Saline and Contaminated Water by Multi-Stage Ion Concentration Polarization (ICP) Desalination "/>
    <x v="1"/>
    <s v=""/>
    <x v="0"/>
    <s v=""/>
    <x v="1"/>
    <x v="1"/>
    <x v="167"/>
    <x v="170"/>
    <x v="0"/>
  </r>
  <r>
    <x v="1112"/>
    <x v="176"/>
    <x v="37"/>
    <s v="ION CONCENTRATION POLARIZATION - ELECTROCOAGULATION HYBRID SYSTEM FOR WATER TREATMENT"/>
    <x v="732"/>
    <s v="11/17/2017"/>
    <x v="229"/>
    <s v="10/16/2018"/>
    <x v="1"/>
    <x v="1"/>
    <x v="167"/>
    <x v="170"/>
    <x v="0"/>
  </r>
  <r>
    <x v="1113"/>
    <x v="176"/>
    <x v="37"/>
    <s v="MULTISCALE-PORE ION EXCHANGE MEMBRANE FOR BETTER ENERGY EFFICIENCY"/>
    <x v="1"/>
    <s v=""/>
    <x v="0"/>
    <s v=""/>
    <x v="1"/>
    <x v="1"/>
    <x v="167"/>
    <x v="170"/>
    <x v="0"/>
  </r>
  <r>
    <x v="1114"/>
    <x v="177"/>
    <x v="168"/>
    <s v="MULTI-STAGED THERMAL-POWER HYDRIDE GENERATOR"/>
    <x v="733"/>
    <s v="05/19/2015"/>
    <x v="0"/>
    <s v=""/>
    <x v="1"/>
    <x v="1"/>
    <x v="168"/>
    <x v="171"/>
    <x v="0"/>
  </r>
  <r>
    <x v="1115"/>
    <x v="178"/>
    <x v="169"/>
    <s v="TRANSITION METAL HEXACYANOMETALLATE ELECTRODE WITH WATER-SOLUBLE BINDER"/>
    <x v="1"/>
    <s v=""/>
    <x v="0"/>
    <s v=""/>
    <x v="1"/>
    <x v="1"/>
    <x v="169"/>
    <x v="172"/>
    <x v="0"/>
  </r>
  <r>
    <x v="1116"/>
    <x v="178"/>
    <x v="169"/>
    <s v="HARD CARBON COMPOSITE MATEIALS FOR SODIUM-ION BATTERY APPLICATIONS"/>
    <x v="1"/>
    <s v=""/>
    <x v="0"/>
    <s v=""/>
    <x v="1"/>
    <x v="1"/>
    <x v="169"/>
    <x v="172"/>
    <x v="0"/>
  </r>
  <r>
    <x v="1117"/>
    <x v="178"/>
    <x v="169"/>
    <s v="SUPERCAPACITORS WITH METAL HEXACYANOMETALLATE ELECTRODE"/>
    <x v="1"/>
    <s v=""/>
    <x v="0"/>
    <s v=""/>
    <x v="1"/>
    <x v="1"/>
    <x v="169"/>
    <x v="172"/>
    <x v="0"/>
  </r>
  <r>
    <x v="1118"/>
    <x v="178"/>
    <x v="169"/>
    <s v="SODIUM AND POTASSIUM ION BATTERIES WITH HALOGEN SALTS"/>
    <x v="734"/>
    <s v="08/14/2015"/>
    <x v="230"/>
    <s v="09/27/2016"/>
    <x v="337"/>
    <x v="310"/>
    <x v="169"/>
    <x v="172"/>
    <x v="0"/>
  </r>
  <r>
    <x v="1119"/>
    <x v="178"/>
    <x v="169"/>
    <s v="ANTIMONY AND LAYERED CARBON NETWORK BATTERY ANODE"/>
    <x v="735"/>
    <s v="07/09/2015"/>
    <x v="231"/>
    <s v="08/30/2016"/>
    <x v="338"/>
    <x v="311"/>
    <x v="169"/>
    <x v="172"/>
    <x v="0"/>
  </r>
  <r>
    <x v="1120"/>
    <x v="178"/>
    <x v="169"/>
    <s v="SODIUM IRON(II)-HEXACYANOFERRATE(II) BATTERY ELECTRODE AND SYNTHESIS METHOD"/>
    <x v="736"/>
    <s v="10/30/2013"/>
    <x v="232"/>
    <s v="09/20/2016"/>
    <x v="339"/>
    <x v="312"/>
    <x v="169"/>
    <x v="172"/>
    <x v="0"/>
  </r>
  <r>
    <x v="1121"/>
    <x v="178"/>
    <x v="114"/>
    <s v="SYNTHESIS OF PRUSSIAN WHITE AS SUPERIOR ELECTRODE FOR METAL-ION BATTERIES"/>
    <x v="1"/>
    <s v=""/>
    <x v="0"/>
    <s v=""/>
    <x v="1"/>
    <x v="1"/>
    <x v="169"/>
    <x v="172"/>
    <x v="0"/>
  </r>
  <r>
    <x v="1122"/>
    <x v="178"/>
    <x v="152"/>
    <s v="Graphene-doped sucrose-derived hard carbon as anodes in sodium-ion batteries"/>
    <x v="1"/>
    <s v=""/>
    <x v="0"/>
    <s v=""/>
    <x v="1"/>
    <x v="1"/>
    <x v="169"/>
    <x v="172"/>
    <x v="0"/>
  </r>
  <r>
    <x v="1123"/>
    <x v="178"/>
    <x v="114"/>
    <s v="SYNTHESIS OF METAL CYANOMETALLATES FOR METAL-ION BATTERY"/>
    <x v="1"/>
    <s v=""/>
    <x v="0"/>
    <s v=""/>
    <x v="1"/>
    <x v="1"/>
    <x v="169"/>
    <x v="172"/>
    <x v="0"/>
  </r>
  <r>
    <x v="1124"/>
    <x v="178"/>
    <x v="114"/>
    <s v="SUPERCAPACITORS WITH METAL HEXACYANOMETALLATE ELECTRODE"/>
    <x v="1"/>
    <s v=""/>
    <x v="0"/>
    <s v=""/>
    <x v="1"/>
    <x v="1"/>
    <x v="169"/>
    <x v="172"/>
    <x v="0"/>
  </r>
  <r>
    <x v="1125"/>
    <x v="178"/>
    <x v="114"/>
    <s v="SYNTHESIS OF SODIUM IRON (II)-HEXACYANOFERRATE(II) (Na1+xFe2(CN)6,x=0 to 1) USING PRECIPITATION PROCESS"/>
    <x v="1"/>
    <s v=""/>
    <x v="0"/>
    <s v=""/>
    <x v="1"/>
    <x v="1"/>
    <x v="169"/>
    <x v="172"/>
    <x v="0"/>
  </r>
  <r>
    <x v="1126"/>
    <x v="178"/>
    <x v="114"/>
    <s v="A REACTIVE SEPARATOR FOR METAL-ION BATTERIES"/>
    <x v="1"/>
    <s v=""/>
    <x v="0"/>
    <s v=""/>
    <x v="1"/>
    <x v="1"/>
    <x v="169"/>
    <x v="172"/>
    <x v="0"/>
  </r>
  <r>
    <x v="1127"/>
    <x v="178"/>
    <x v="114"/>
    <s v="METAL-ION BATTERIES WITH BERLIN GREEN OF ITS ANALOGUE CATHODE AND METAL-LOADED MATERIAL"/>
    <x v="1"/>
    <s v=""/>
    <x v="0"/>
    <s v=""/>
    <x v="1"/>
    <x v="1"/>
    <x v="169"/>
    <x v="172"/>
    <x v="0"/>
  </r>
  <r>
    <x v="1128"/>
    <x v="178"/>
    <x v="114"/>
    <s v="NASICON-POLYMER COMPOSITE FOR SODIUM BATTERY"/>
    <x v="1"/>
    <s v=""/>
    <x v="0"/>
    <s v=""/>
    <x v="1"/>
    <x v="1"/>
    <x v="169"/>
    <x v="172"/>
    <x v="0"/>
  </r>
  <r>
    <x v="1129"/>
    <x v="178"/>
    <x v="114"/>
    <s v="A NOVEL STRUCTURE OF METL HEXACYANOMETALLATE (MHCM) ELECTRODE"/>
    <x v="1"/>
    <s v=""/>
    <x v="0"/>
    <s v=""/>
    <x v="1"/>
    <x v="1"/>
    <x v="169"/>
    <x v="172"/>
    <x v="0"/>
  </r>
  <r>
    <x v="1130"/>
    <x v="178"/>
    <x v="114"/>
    <s v="PROCESSING METAL-ION BATTERIES WITH METAL HEXAVYANOMETAILATE (MHCM) CATHODE AND NON-ION LOADED MATERIAL ANODE"/>
    <x v="1"/>
    <s v=""/>
    <x v="0"/>
    <s v=""/>
    <x v="1"/>
    <x v="1"/>
    <x v="169"/>
    <x v="172"/>
    <x v="0"/>
  </r>
  <r>
    <x v="1131"/>
    <x v="178"/>
    <x v="114"/>
    <s v="ANODE DEVELOPMENT FOR SODIUM/POTASSIUM BATTERIES FROM TIN/LEAD/ANTIMONY-ORGANIC COMPOUNDS"/>
    <x v="1"/>
    <s v=""/>
    <x v="0"/>
    <s v=""/>
    <x v="1"/>
    <x v="1"/>
    <x v="169"/>
    <x v="172"/>
    <x v="0"/>
  </r>
  <r>
    <x v="1132"/>
    <x v="178"/>
    <x v="114"/>
    <s v="ANODE MATERIALS WITH PRELOADED METALS FOR METAL-ION-BATTERIES"/>
    <x v="1"/>
    <s v=""/>
    <x v="0"/>
    <s v=""/>
    <x v="1"/>
    <x v="1"/>
    <x v="169"/>
    <x v="172"/>
    <x v="0"/>
  </r>
  <r>
    <x v="1133"/>
    <x v="178"/>
    <x v="114"/>
    <s v="A CATHODE CONSISTS OF TRANSITION METAL HEXACYANOFERRATE AND WATER- SOLUBLE BINDERS"/>
    <x v="1"/>
    <s v=""/>
    <x v="0"/>
    <s v=""/>
    <x v="1"/>
    <x v="1"/>
    <x v="169"/>
    <x v="172"/>
    <x v="0"/>
  </r>
  <r>
    <x v="1134"/>
    <x v="178"/>
    <x v="169"/>
    <s v="RECHARGEABLE METAL-ION BATTERIES WITH NON-AQUEOUS HYBRID ION ELECTROLYTES"/>
    <x v="1"/>
    <s v=""/>
    <x v="0"/>
    <s v=""/>
    <x v="1"/>
    <x v="1"/>
    <x v="169"/>
    <x v="172"/>
    <x v="0"/>
  </r>
  <r>
    <x v="1135"/>
    <x v="178"/>
    <x v="114"/>
    <s v="SYNTHESIS OF SODIUM IRON(II)-HEXACYANOFERRATE(II) (Na1+Fe2(C)6,X=0-1)WITH AN IMPROVED HYDROTHERMAL REACTION"/>
    <x v="1"/>
    <s v=""/>
    <x v="0"/>
    <s v=""/>
    <x v="1"/>
    <x v="1"/>
    <x v="169"/>
    <x v="172"/>
    <x v="0"/>
  </r>
  <r>
    <x v="1136"/>
    <x v="178"/>
    <x v="114"/>
    <s v="METAL HEXACYANOMETALATTATE- CONDUCTIVE POLYMER COMPOSTIE CATHODE"/>
    <x v="1"/>
    <s v=""/>
    <x v="0"/>
    <s v=""/>
    <x v="1"/>
    <x v="1"/>
    <x v="169"/>
    <x v="172"/>
    <x v="0"/>
  </r>
  <r>
    <x v="1137"/>
    <x v="178"/>
    <x v="114"/>
    <s v="ANODE PREPARATION FOR SODIUM/POTASSIUM BATTERIES"/>
    <x v="1"/>
    <s v=""/>
    <x v="0"/>
    <s v=""/>
    <x v="1"/>
    <x v="1"/>
    <x v="169"/>
    <x v="172"/>
    <x v="0"/>
  </r>
  <r>
    <x v="1138"/>
    <x v="178"/>
    <x v="114"/>
    <s v="HARD CARBON COMPOSITE MATERIALS FOR SODIUM-ION BATTERY APPLICATIONS"/>
    <x v="1"/>
    <s v=""/>
    <x v="0"/>
    <s v=""/>
    <x v="1"/>
    <x v="1"/>
    <x v="169"/>
    <x v="172"/>
    <x v="0"/>
  </r>
  <r>
    <x v="1139"/>
    <x v="178"/>
    <x v="114"/>
    <s v="VACUUM PRESSURE-ADJUSTING APPARATUS"/>
    <x v="737"/>
    <s v="03/20/2000"/>
    <x v="233"/>
    <s v="11/27/2001"/>
    <x v="1"/>
    <x v="1"/>
    <x v="169"/>
    <x v="172"/>
    <x v="0"/>
  </r>
  <r>
    <x v="1140"/>
    <x v="178"/>
    <x v="169"/>
    <s v="SODIUM IRON(II)-HEXACYANOFERRATE(II)BATTERY ELECTRODE"/>
    <x v="738"/>
    <s v="07/25/2016"/>
    <x v="234"/>
    <s v="12/27/2016"/>
    <x v="1"/>
    <x v="1"/>
    <x v="169"/>
    <x v="172"/>
    <x v="0"/>
  </r>
  <r>
    <x v="1141"/>
    <x v="178"/>
    <x v="169"/>
    <s v="TRANSITION METAL HEXACYANOFERATE BATTERY WITH CARBONACEOUS ANODE"/>
    <x v="739"/>
    <s v="06/06/2016"/>
    <x v="235"/>
    <s v="06/13/2017"/>
    <x v="1"/>
    <x v="1"/>
    <x v="169"/>
    <x v="172"/>
    <x v="0"/>
  </r>
  <r>
    <x v="1142"/>
    <x v="178"/>
    <x v="169"/>
    <s v="ANTIMONY-BASED ANODE ON ALUMINUM CURRENT COLLECTOR"/>
    <x v="740"/>
    <s v="08/11/2015"/>
    <x v="0"/>
    <s v=""/>
    <x v="340"/>
    <x v="313"/>
    <x v="169"/>
    <x v="172"/>
    <x v="0"/>
  </r>
  <r>
    <x v="1143"/>
    <x v="178"/>
    <x v="169"/>
    <s v="PRUSSIAN BLUE ANALOGUE ELECTRODES WITHOUT ZEOLITHIC WATER CONTENT"/>
    <x v="741"/>
    <s v="08/20/2015"/>
    <x v="236"/>
    <s v="10/25/2016"/>
    <x v="1"/>
    <x v="1"/>
    <x v="169"/>
    <x v="172"/>
    <x v="0"/>
  </r>
  <r>
    <x v="1144"/>
    <x v="178"/>
    <x v="169"/>
    <s v="ALKALI-ION BATTERY WITH ENHANCED TRANSITION METAL CYANOMETALLATE ELECTRODE STRUCTURE"/>
    <x v="742"/>
    <s v="10/30/2015"/>
    <x v="0"/>
    <s v=""/>
    <x v="341"/>
    <x v="314"/>
    <x v="169"/>
    <x v="172"/>
    <x v="0"/>
  </r>
  <r>
    <x v="1145"/>
    <x v="178"/>
    <x v="169"/>
    <s v="METHOD FOR THE SYNTHESIS OF IRON HEXACYANOFERRATE"/>
    <x v="743"/>
    <s v="08/28/2014"/>
    <x v="237"/>
    <s v=""/>
    <x v="1"/>
    <x v="1"/>
    <x v="169"/>
    <x v="172"/>
    <x v="0"/>
  </r>
  <r>
    <x v="1146"/>
    <x v="178"/>
    <x v="169"/>
    <s v="ANODE FOR SODIUM-ION AND POTASSIUM-ION BATTERIES"/>
    <x v="744"/>
    <s v="03/13/2015"/>
    <x v="0"/>
    <s v=""/>
    <x v="342"/>
    <x v="315"/>
    <x v="169"/>
    <x v="172"/>
    <x v="0"/>
  </r>
  <r>
    <x v="1147"/>
    <x v="178"/>
    <x v="170"/>
    <s v="BATTERY ANODE WITH PRELOADED METALS"/>
    <x v="745"/>
    <s v="03/06/2014"/>
    <x v="238"/>
    <s v="01/03/2017"/>
    <x v="1"/>
    <x v="1"/>
    <x v="169"/>
    <x v="172"/>
    <x v="0"/>
  </r>
  <r>
    <x v="1148"/>
    <x v="178"/>
    <x v="114"/>
    <s v="HARD CARBON COMPOSITE FOR ALKALI METAL-ION BATTERIES"/>
    <x v="746"/>
    <s v="06/05/2015"/>
    <x v="239"/>
    <s v="08/15/2017"/>
    <x v="1"/>
    <x v="1"/>
    <x v="169"/>
    <x v="172"/>
    <x v="0"/>
  </r>
  <r>
    <x v="1149"/>
    <x v="178"/>
    <x v="114"/>
    <s v="RECHARGEABLE METAL-ION BATTERY WITH NON-AQUEOUS HYBRID ION ELECTROLYTE"/>
    <x v="747"/>
    <s v="05/07/2014"/>
    <x v="240"/>
    <s v="08/16/2016"/>
    <x v="1"/>
    <x v="1"/>
    <x v="169"/>
    <x v="172"/>
    <x v="0"/>
  </r>
  <r>
    <x v="1150"/>
    <x v="178"/>
    <x v="169"/>
    <s v="ELECTROLYTE ADDITIVES FOR TRANSITION METAL CYANOMETALLATE ELECTRODE STABILIZATION "/>
    <x v="748"/>
    <s v="06/30/2014"/>
    <x v="241"/>
    <s v="04/11/2017"/>
    <x v="1"/>
    <x v="1"/>
    <x v="169"/>
    <x v="172"/>
    <x v="0"/>
  </r>
  <r>
    <x v="1151"/>
    <x v="178"/>
    <x v="169"/>
    <s v="METAL CYANOMETALLATE ELECTRODE WITH SHIELD STRUCTURE "/>
    <x v="749"/>
    <s v="02/28/2014"/>
    <x v="242"/>
    <s v="08/02/2016"/>
    <x v="1"/>
    <x v="1"/>
    <x v="169"/>
    <x v="172"/>
    <x v="0"/>
  </r>
  <r>
    <x v="1152"/>
    <x v="178"/>
    <x v="114"/>
    <s v="Hexacyanoferrate Battery Electrode Modified with Ferrocyanides or Ferricyanides "/>
    <x v="750"/>
    <s v="05/20/2013"/>
    <x v="243"/>
    <s v="08/04/2015"/>
    <x v="1"/>
    <x v="1"/>
    <x v="169"/>
    <x v="172"/>
    <x v="0"/>
  </r>
  <r>
    <x v="1153"/>
    <x v="178"/>
    <x v="169"/>
    <s v="METAL CYANOMETALLATE SYNTHESIS METHOD"/>
    <x v="751"/>
    <s v="06/05/2015"/>
    <x v="244"/>
    <s v="08/29/2017"/>
    <x v="1"/>
    <x v="1"/>
    <x v="169"/>
    <x v="172"/>
    <x v="0"/>
  </r>
  <r>
    <x v="1154"/>
    <x v="178"/>
    <x v="114"/>
    <s v="Metal-Doped Transition Metal Hexacyanoferrate (TMHCF) Battery Electrode "/>
    <x v="752"/>
    <s v="06/01/2013"/>
    <x v="245"/>
    <s v="03/03/2015"/>
    <x v="1"/>
    <x v="1"/>
    <x v="169"/>
    <x v="172"/>
    <x v="0"/>
  </r>
  <r>
    <x v="1155"/>
    <x v="178"/>
    <x v="169"/>
    <s v="CYANOMETALLATE CATHODE BATTERY AND METHOD FOR FABRICATION"/>
    <x v="753"/>
    <s v="02/06/2014"/>
    <x v="246"/>
    <s v="09/27/2016"/>
    <x v="1"/>
    <x v="1"/>
    <x v="169"/>
    <x v="172"/>
    <x v="0"/>
  </r>
  <r>
    <x v="1156"/>
    <x v="178"/>
    <x v="169"/>
    <s v="NASICON-Polymer Electrolyte Structure "/>
    <x v="754"/>
    <s v="03/06/2014"/>
    <x v="0"/>
    <s v=""/>
    <x v="343"/>
    <x v="1"/>
    <x v="169"/>
    <x v="172"/>
    <x v="0"/>
  </r>
  <r>
    <x v="1157"/>
    <x v="178"/>
    <x v="169"/>
    <s v="REACTIVE SEPARATOR FOR A METAL-ION BATTERY "/>
    <x v="755"/>
    <s v="03/31/2014"/>
    <x v="0"/>
    <s v=""/>
    <x v="344"/>
    <x v="316"/>
    <x v="169"/>
    <x v="172"/>
    <x v="0"/>
  </r>
  <r>
    <x v="1158"/>
    <x v="178"/>
    <x v="169"/>
    <s v="TRANSITION METAL CYANOMETALLATE CATHODE BATTERY WITH METAL PLATING ANODE"/>
    <x v="756"/>
    <s v="09/29/2017"/>
    <x v="247"/>
    <s v="12/27/2016"/>
    <x v="1"/>
    <x v="1"/>
    <x v="169"/>
    <x v="172"/>
    <x v="0"/>
  </r>
  <r>
    <x v="1159"/>
    <x v="178"/>
    <x v="169"/>
    <s v="METHOD FOR THE SYNTHESIS OF METAL CYANOMETALLATES"/>
    <x v="757"/>
    <s v="05/29/2014"/>
    <x v="248"/>
    <s v="11/01/2016"/>
    <x v="1"/>
    <x v="1"/>
    <x v="169"/>
    <x v="172"/>
    <x v="0"/>
  </r>
  <r>
    <x v="1160"/>
    <x v="178"/>
    <x v="169"/>
    <s v="FABRICATION METHOD FOR METAL BATTERY ELECTRODE WITH PYROLYZED COATING "/>
    <x v="758"/>
    <s v="02/28/2014"/>
    <x v="249"/>
    <s v="04/18/2017"/>
    <x v="1"/>
    <x v="1"/>
    <x v="169"/>
    <x v="172"/>
    <x v="0"/>
  </r>
  <r>
    <x v="1161"/>
    <x v="178"/>
    <x v="169"/>
    <s v="BATTERY WITH AN ANODE PRELOADED WITH CONSUMABLE METALS"/>
    <x v="759"/>
    <s v="03/06/2014"/>
    <x v="250"/>
    <s v=""/>
    <x v="1"/>
    <x v="1"/>
    <x v="169"/>
    <x v="172"/>
    <x v="0"/>
  </r>
  <r>
    <x v="1162"/>
    <x v="178"/>
    <x v="114"/>
    <s v="SUPERCAPACITOR WITH METAL CYANOMETALLATE ANODE AND CARBONACEOUS CATHODE "/>
    <x v="760"/>
    <s v="05/10/2014"/>
    <x v="251"/>
    <s v="09/13/2016"/>
    <x v="1"/>
    <x v="1"/>
    <x v="169"/>
    <x v="172"/>
    <x v="0"/>
  </r>
  <r>
    <x v="1163"/>
    <x v="178"/>
    <x v="169"/>
    <s v="TRANSITION METAL HEXACYANOMETALLATE-CONDUCTIVE POLYMER COMPOSITE BATTERY "/>
    <x v="761"/>
    <s v="10/22/2013"/>
    <x v="0"/>
    <s v=""/>
    <x v="1"/>
    <x v="1"/>
    <x v="169"/>
    <x v="172"/>
    <x v="0"/>
  </r>
  <r>
    <x v="1164"/>
    <x v="178"/>
    <x v="169"/>
    <s v="ALKALI AND ALKALINE-EARTH -ION BATTERIES  WITH NON- METAL ANODE AND HEXACYANOMETALLATE CATHODE"/>
    <x v="762"/>
    <s v="04/29/2015"/>
    <x v="0"/>
    <s v=""/>
    <x v="1"/>
    <x v="1"/>
    <x v="169"/>
    <x v="172"/>
    <x v="0"/>
  </r>
  <r>
    <x v="1165"/>
    <x v="178"/>
    <x v="169"/>
    <s v="METAL-ION BATTERY WITH HEXACYANOMETALLATE ELECTRODE"/>
    <x v="763"/>
    <s v="01/06/2016"/>
    <x v="0"/>
    <s v=""/>
    <x v="1"/>
    <x v="1"/>
    <x v="169"/>
    <x v="172"/>
    <x v="0"/>
  </r>
  <r>
    <x v="1166"/>
    <x v="178"/>
    <x v="169"/>
    <s v="NON-METAL ANODE AIKAKI AND ALKALINE-EARTH ION BATTERIES WITH HEXACYANOMETALLATE CATHODE"/>
    <x v="764"/>
    <s v="04/29/2015"/>
    <x v="0"/>
    <s v=""/>
    <x v="1"/>
    <x v="1"/>
    <x v="169"/>
    <x v="172"/>
    <x v="0"/>
  </r>
  <r>
    <x v="1167"/>
    <x v="178"/>
    <x v="114"/>
    <s v="PLATING ALKALI METALS FROM A LIQUID ELECTROLYTE WITH A POROUS MEMBRANE"/>
    <x v="765"/>
    <s v="03/07/2017"/>
    <x v="0"/>
    <s v=""/>
    <x v="291"/>
    <x v="268"/>
    <x v="169"/>
    <x v="172"/>
    <x v="0"/>
  </r>
  <r>
    <x v="1168"/>
    <x v="178"/>
    <x v="114"/>
    <s v="PLATING ALKALI METALS FROM A LIQUID ELECTROLYTE WITH A POROUS MEMBRANE"/>
    <x v="766"/>
    <s v=""/>
    <x v="0"/>
    <s v=""/>
    <x v="1"/>
    <x v="1"/>
    <x v="169"/>
    <x v="172"/>
    <x v="0"/>
  </r>
  <r>
    <x v="1169"/>
    <x v="178"/>
    <x v="114"/>
    <s v="Protected Transition Metal Hexacyanoferrate Battery Electrode "/>
    <x v="767"/>
    <s v="04/29/2013"/>
    <x v="0"/>
    <s v=""/>
    <x v="1"/>
    <x v="1"/>
    <x v="169"/>
    <x v="172"/>
    <x v="0"/>
  </r>
  <r>
    <x v="1170"/>
    <x v="179"/>
    <x v="86"/>
    <s v="LOW VOLTAGE DROP, CROSS-FIELD, GAS SWITCH AND METHOD OF OPERATION"/>
    <x v="768"/>
    <s v="01/02/2018"/>
    <x v="0"/>
    <s v=""/>
    <x v="1"/>
    <x v="1"/>
    <x v="170"/>
    <x v="173"/>
    <x v="0"/>
  </r>
  <r>
    <x v="1171"/>
    <x v="179"/>
    <x v="86"/>
    <s v="COLD CATHODE SWITCHING DEVICE AND CONVERTER"/>
    <x v="769"/>
    <s v="09/15/2015"/>
    <x v="0"/>
    <s v=""/>
    <x v="1"/>
    <x v="1"/>
    <x v="170"/>
    <x v="173"/>
    <x v="0"/>
  </r>
  <r>
    <x v="1172"/>
    <x v="179"/>
    <x v="86"/>
    <s v="LOW SPUTTERING, CROSS-FIELD, GAS SWITCH METHOD OF OPERATION "/>
    <x v="770"/>
    <s v="03/23/2018"/>
    <x v="0"/>
    <s v=""/>
    <x v="1"/>
    <x v="1"/>
    <x v="170"/>
    <x v="173"/>
    <x v="0"/>
  </r>
  <r>
    <x v="1173"/>
    <x v="179"/>
    <x v="86"/>
    <s v="RELIABLE HIGH-POWER GAS SWITCH WITH LIQUID CATHODE "/>
    <x v="771"/>
    <s v="05/21/2013"/>
    <x v="0"/>
    <s v=""/>
    <x v="79"/>
    <x v="66"/>
    <x v="170"/>
    <x v="173"/>
    <x v="0"/>
  </r>
  <r>
    <x v="1174"/>
    <x v="179"/>
    <x v="86"/>
    <s v="VOLTAGE SOURCE HIGH VOLTAGE DIRECT CURRENT TRANSMISSION SYSTEMS WITH GAS TUBE SWITCH"/>
    <x v="772"/>
    <s v="02/08/2018"/>
    <x v="0"/>
    <s v=""/>
    <x v="1"/>
    <x v="1"/>
    <x v="170"/>
    <x v="173"/>
    <x v="0"/>
  </r>
  <r>
    <x v="1175"/>
    <x v="179"/>
    <x v="86"/>
    <s v="A GAS RESERVOIR AND A METHOD TO SUPPLY GAS TO PLASMA TUBES"/>
    <x v="773"/>
    <s v="11/06/2013"/>
    <x v="252"/>
    <s v=""/>
    <x v="1"/>
    <x v="1"/>
    <x v="170"/>
    <x v="173"/>
    <x v="0"/>
  </r>
  <r>
    <x v="1176"/>
    <x v="179"/>
    <x v="86"/>
    <s v="SYSTEMS AND METHODS FOR REGULATING PRESSURE OF A FILLED-IN GAS "/>
    <x v="774"/>
    <s v="11/06/2013"/>
    <x v="253"/>
    <s v="05/03/2016"/>
    <x v="1"/>
    <x v="1"/>
    <x v="170"/>
    <x v="173"/>
    <x v="0"/>
  </r>
  <r>
    <x v="1177"/>
    <x v="179"/>
    <x v="86"/>
    <s v="GAS TUBE-SWITCHED FLEXIBLE ALTERNATING CURRENT TRANSMISSION SYSTEM"/>
    <x v="775"/>
    <s v="06/30/2016"/>
    <x v="0"/>
    <s v=""/>
    <x v="345"/>
    <x v="317"/>
    <x v="170"/>
    <x v="173"/>
    <x v="0"/>
  </r>
  <r>
    <x v="1178"/>
    <x v="179"/>
    <x v="86"/>
    <s v="GAS TUBE SWITCH HIGH VOLTAGE DC POWER CONVERTER"/>
    <x v="776"/>
    <s v="04/22/2016"/>
    <x v="0"/>
    <s v=""/>
    <x v="346"/>
    <x v="318"/>
    <x v="170"/>
    <x v="173"/>
    <x v="0"/>
  </r>
  <r>
    <x v="1179"/>
    <x v="179"/>
    <x v="86"/>
    <s v="VOLTAGE SOURCE HIGH VOLTAGE DIRECT CURRENT TRANSMISSION SYSTEMS WITH GAS TUBE SWITCH_x000d_"/>
    <x v="777"/>
    <s v="08/12/2015"/>
    <x v="254"/>
    <s v="12/13/2016"/>
    <x v="1"/>
    <x v="1"/>
    <x v="170"/>
    <x v="173"/>
    <x v="0"/>
  </r>
  <r>
    <x v="1180"/>
    <x v="179"/>
    <x v="86"/>
    <s v="GAS TUBE BASED CURRENT SOURCE HIGH VOLTAGE DC TRANSMISSION SYSTEM"/>
    <x v="778"/>
    <s v="08/12/2015"/>
    <x v="255"/>
    <s v="08/29/2017"/>
    <x v="1"/>
    <x v="1"/>
    <x v="170"/>
    <x v="173"/>
    <x v="0"/>
  </r>
  <r>
    <x v="1181"/>
    <x v="179"/>
    <x v="86"/>
    <s v="HIGH VOLTAGE PLASMA TUBE GRID CONTROL ELECTRONICS"/>
    <x v="1"/>
    <s v=""/>
    <x v="0"/>
    <s v=""/>
    <x v="1"/>
    <x v="1"/>
    <x v="170"/>
    <x v="173"/>
    <x v="0"/>
  </r>
  <r>
    <x v="1182"/>
    <x v="179"/>
    <x v="86"/>
    <s v="TRIPLE POINT PLUS GA RECYCLING SYSTEM FOR A GRID SWITCH WITH A LIQUID METAL (e.g. GA)"/>
    <x v="1"/>
    <s v=""/>
    <x v="0"/>
    <s v=""/>
    <x v="1"/>
    <x v="1"/>
    <x v="170"/>
    <x v="173"/>
    <x v="0"/>
  </r>
  <r>
    <x v="1183"/>
    <x v="180"/>
    <x v="171"/>
    <s v="PRUSSIAN BLUE ANALOGUE ANODES FOR AQUEOUS ELECROLYTE BATTERIES "/>
    <x v="779"/>
    <s v="05/29/2013"/>
    <x v="0"/>
    <s v=""/>
    <x v="71"/>
    <x v="58"/>
    <x v="171"/>
    <x v="174"/>
    <x v="0"/>
  </r>
  <r>
    <x v="1184"/>
    <x v="180"/>
    <x v="171"/>
    <s v="SYNTHETIC METHODS FOR TRANSITION METAL COORDINATION COMPOUNDS"/>
    <x v="780"/>
    <s v="03/30/2016"/>
    <x v="0"/>
    <s v=""/>
    <x v="347"/>
    <x v="319"/>
    <x v="171"/>
    <x v="174"/>
    <x v="0"/>
  </r>
  <r>
    <x v="1185"/>
    <x v="180"/>
    <x v="171"/>
    <s v="SURFACE-MODIFIED CYANIDE-BASED TRANSITION METAL COMPOUNDS"/>
    <x v="781"/>
    <s v="10/09/2015"/>
    <x v="256"/>
    <s v="06/07/2016"/>
    <x v="1"/>
    <x v="1"/>
    <x v="171"/>
    <x v="174"/>
    <x v="0"/>
  </r>
  <r>
    <x v="1186"/>
    <x v="180"/>
    <x v="171"/>
    <s v="HOMOMETALLIC CYANIDE-CONTAINING INORGANIC POLYMERS AND RELATED COMPOUNDS"/>
    <x v="782"/>
    <s v="10/24/2014"/>
    <x v="257"/>
    <s v="08/04/2015"/>
    <x v="1"/>
    <x v="1"/>
    <x v="171"/>
    <x v="174"/>
    <x v="0"/>
  </r>
  <r>
    <x v="1187"/>
    <x v="180"/>
    <x v="171"/>
    <s v="STABILIZATION OF BATTERY ELECTRODES"/>
    <x v="783"/>
    <s v="05/13/2013"/>
    <x v="258"/>
    <s v="09/08/2015"/>
    <x v="1"/>
    <x v="1"/>
    <x v="171"/>
    <x v="174"/>
    <x v="0"/>
  </r>
  <r>
    <x v="1188"/>
    <x v="180"/>
    <x v="171"/>
    <s v="STABILIZAZTION OF BATTERY ELECTRODES USING POLYMER COATINGS "/>
    <x v="784"/>
    <s v="05/13/2013"/>
    <x v="0"/>
    <s v=""/>
    <x v="348"/>
    <x v="320"/>
    <x v="171"/>
    <x v="174"/>
    <x v="0"/>
  </r>
  <r>
    <x v="1189"/>
    <x v="180"/>
    <x v="171"/>
    <s v="STABILIZATION OF BATTERY ELECTRODES USING PRUSSIAN BLUE ANALOGUE COATINGS "/>
    <x v="785"/>
    <s v="05/13/2013"/>
    <x v="259"/>
    <s v="09/01/2015"/>
    <x v="1"/>
    <x v="1"/>
    <x v="171"/>
    <x v="174"/>
    <x v="0"/>
  </r>
  <r>
    <x v="1190"/>
    <x v="180"/>
    <x v="171"/>
    <s v="COSOLVENT ELECTROLYTES FOR ELECTROCHEMICAL DEVICES"/>
    <x v="786"/>
    <s v="03/31/2014"/>
    <x v="260"/>
    <s v="03/15/2016"/>
    <x v="1"/>
    <x v="1"/>
    <x v="171"/>
    <x v="174"/>
    <x v="0"/>
  </r>
  <r>
    <x v="1191"/>
    <x v="180"/>
    <x v="171"/>
    <s v="SURFACE-MODIFIED CYANIDE-BASED TRANSITION METAL COMPOUNDS"/>
    <x v="787"/>
    <s v="06/30/2015"/>
    <x v="261"/>
    <s v="03/29/2016"/>
    <x v="1"/>
    <x v="1"/>
    <x v="171"/>
    <x v="174"/>
    <x v="0"/>
  </r>
  <r>
    <x v="1192"/>
    <x v="180"/>
    <x v="171"/>
    <s v="OPEN FRAMEWORK ELECTRODE BATTERIES"/>
    <x v="1"/>
    <s v=""/>
    <x v="0"/>
    <s v=""/>
    <x v="1"/>
    <x v="1"/>
    <x v="171"/>
    <x v="174"/>
    <x v="0"/>
  </r>
  <r>
    <x v="1193"/>
    <x v="181"/>
    <x v="20"/>
    <s v="EXTERNAL FIELD ALIGNED GRAPHENE SHEETS PARTICULATE DEPOSIT FILMS/ELECTRODES"/>
    <x v="1"/>
    <s v=""/>
    <x v="0"/>
    <s v=""/>
    <x v="1"/>
    <x v="1"/>
    <x v="172"/>
    <x v="175"/>
    <x v="0"/>
  </r>
  <r>
    <x v="1194"/>
    <x v="181"/>
    <x v="20"/>
    <s v="MOLECULAR ENGINEERING OF AROMATIC AMINE SPACERS FOR HIGH-PERFORMANCE GRAPHENE-BASED SUPERCAPACITORS"/>
    <x v="1"/>
    <s v=""/>
    <x v="0"/>
    <s v=""/>
    <x v="1"/>
    <x v="1"/>
    <x v="172"/>
    <x v="175"/>
    <x v="0"/>
  </r>
  <r>
    <x v="1195"/>
    <x v="182"/>
    <x v="172"/>
    <s v="METHOD OF SELECTIVE ETCHING OF HEAVILY DOPED WIDE-BANDGAP SEMINCONDUCTOR SUBSTRATES USING ELECTRO CHEMICAL ETCHING PROCESS FOR DIFFERENT DEVICE APPLICATIONS"/>
    <x v="788"/>
    <s v="11/07/2013"/>
    <x v="0"/>
    <s v=""/>
    <x v="1"/>
    <x v="1"/>
    <x v="173"/>
    <x v="176"/>
    <x v="0"/>
  </r>
  <r>
    <x v="1196"/>
    <x v="183"/>
    <x v="173"/>
    <s v="COST EFFECTIVE REAL TIME WAVE ASSESSMENT TOOL"/>
    <x v="789"/>
    <s v="07/22/2014"/>
    <x v="0"/>
    <s v=""/>
    <x v="1"/>
    <x v="1"/>
    <x v="62"/>
    <x v="62"/>
    <x v="0"/>
  </r>
  <r>
    <x v="1197"/>
    <x v="184"/>
    <x v="144"/>
    <s v="NON-FARADAIC ELECTROCHEMICAL PROMOTION OF CATALYTIC METHANE REFORMING FOR METHANOL PRODUCTION AND OTHERS"/>
    <x v="790"/>
    <s v="11/11/2013"/>
    <x v="262"/>
    <s v="11/22/2016"/>
    <x v="1"/>
    <x v="1"/>
    <x v="174"/>
    <x v="177"/>
    <x v="0"/>
  </r>
  <r>
    <x v="1198"/>
    <x v="184"/>
    <x v="145"/>
    <s v="METHOD AND SYSTEM FOR LOW VOLTAGE ELECTROCHEMICAL GAS TO LIQUIDS PRODUCTION"/>
    <x v="791"/>
    <s v="11/18/2015"/>
    <x v="0"/>
    <s v=""/>
    <x v="1"/>
    <x v="1"/>
    <x v="174"/>
    <x v="177"/>
    <x v="0"/>
  </r>
  <r>
    <x v="1199"/>
    <x v="185"/>
    <x v="174"/>
    <s v="METHOD FOR MANUFACTURING FOR TYPE IV NON CYLINDRICAL PRESSURE VESSEL"/>
    <x v="792"/>
    <s v="11/09/2015"/>
    <x v="0"/>
    <s v=""/>
    <x v="1"/>
    <x v="1"/>
    <x v="175"/>
    <x v="178"/>
    <x v="0"/>
  </r>
  <r>
    <x v="1200"/>
    <x v="185"/>
    <x v="102"/>
    <s v="END WINDING DESIGN FOR HIGH EFFICIENCY, HIGH POWER DENSITY ELECTRIC  MACHINES"/>
    <x v="1"/>
    <s v=""/>
    <x v="0"/>
    <s v=""/>
    <x v="1"/>
    <x v="1"/>
    <x v="175"/>
    <x v="178"/>
    <x v="0"/>
  </r>
  <r>
    <x v="1201"/>
    <x v="185"/>
    <x v="102"/>
    <s v="METHOD ENABLING INFILTRATION OF CONDUCTOR MATERIAL INTO A DIELECTRIC  INSULATOR PRE-FORM"/>
    <x v="1"/>
    <s v=""/>
    <x v="0"/>
    <s v=""/>
    <x v="1"/>
    <x v="1"/>
    <x v="175"/>
    <x v="178"/>
    <x v="0"/>
  </r>
  <r>
    <x v="1202"/>
    <x v="185"/>
    <x v="102"/>
    <s v="METHOD OF PROVIDING A CONDUCTOR BUNDLE CORE FOR AN INDUCTION MOTOR STATOR USING A TEMPLATE PROCESSING TECHNIQUE"/>
    <x v="1"/>
    <s v=""/>
    <x v="0"/>
    <s v=""/>
    <x v="1"/>
    <x v="1"/>
    <x v="175"/>
    <x v="178"/>
    <x v="0"/>
  </r>
  <r>
    <x v="1203"/>
    <x v="185"/>
    <x v="102"/>
    <s v="ELECTRIC MACHINE COMPRISED OF JOINED COMPONENTS WITH INTEGRAL CONDUCTORS"/>
    <x v="1"/>
    <s v=""/>
    <x v="0"/>
    <s v=""/>
    <x v="1"/>
    <x v="1"/>
    <x v="175"/>
    <x v="178"/>
    <x v="0"/>
  </r>
  <r>
    <x v="1204"/>
    <x v="185"/>
    <x v="102"/>
    <s v="ELECTRIC MACHINE END TURNS USING CO-FIRED LAMINATED LAYERS"/>
    <x v="1"/>
    <s v=""/>
    <x v="0"/>
    <s v=""/>
    <x v="1"/>
    <x v="1"/>
    <x v="175"/>
    <x v="178"/>
    <x v="0"/>
  </r>
  <r>
    <x v="1205"/>
    <x v="185"/>
    <x v="102"/>
    <s v="TREATMENT AND COATING OF COPPER POWDER FOR ADDITIVE MANUFACTURING"/>
    <x v="793"/>
    <s v="08/10/2015"/>
    <x v="0"/>
    <s v=""/>
    <x v="349"/>
    <x v="321"/>
    <x v="175"/>
    <x v="178"/>
    <x v="0"/>
  </r>
  <r>
    <x v="1206"/>
    <x v="185"/>
    <x v="102"/>
    <s v="ELECTRIC MACHINE COMPONENTS MADE BY MODIFIED INVESTMENT CASTING"/>
    <x v="1"/>
    <s v=""/>
    <x v="0"/>
    <s v=""/>
    <x v="1"/>
    <x v="1"/>
    <x v="175"/>
    <x v="178"/>
    <x v="0"/>
  </r>
  <r>
    <x v="1207"/>
    <x v="185"/>
    <x v="102"/>
    <s v="STRATEGIES FOR REDUCTION OF PROXIMITY EFFECT IN MOTOR WINDING"/>
    <x v="794"/>
    <s v="12/17/2014"/>
    <x v="0"/>
    <s v=""/>
    <x v="1"/>
    <x v="1"/>
    <x v="175"/>
    <x v="178"/>
    <x v="0"/>
  </r>
  <r>
    <x v="1208"/>
    <x v="185"/>
    <x v="102"/>
    <s v="MANIFOLD STRAND CROSS SECTIONS FOR HIGH FILL-FACTOR ELECTRIC MACHINE WINDINGS"/>
    <x v="795"/>
    <s v="08/04/2014"/>
    <x v="0"/>
    <s v=""/>
    <x v="1"/>
    <x v="1"/>
    <x v="175"/>
    <x v="178"/>
    <x v="0"/>
  </r>
  <r>
    <x v="1209"/>
    <x v="185"/>
    <x v="102"/>
    <s v="INTEGRATED HEAT DISSIPATIVE STRUCTURE FOR ADDITIVELY MANUFACTURED ELECTRIC MACHINES"/>
    <x v="796"/>
    <s v="05/27/2015"/>
    <x v="0"/>
    <s v=""/>
    <x v="1"/>
    <x v="1"/>
    <x v="175"/>
    <x v="178"/>
    <x v="0"/>
  </r>
  <r>
    <x v="1210"/>
    <x v="185"/>
    <x v="102"/>
    <s v="WINDING DESIGN FOR LOW AC RESISTANCE"/>
    <x v="797"/>
    <s v="07/08/2014"/>
    <x v="0"/>
    <s v=""/>
    <x v="1"/>
    <x v="1"/>
    <x v="175"/>
    <x v="178"/>
    <x v="0"/>
  </r>
  <r>
    <x v="1211"/>
    <x v="185"/>
    <x v="102"/>
    <s v="SLOT TOPOLOGY CONFORMING RADIALLY STACKED CONDUCTING COILS FOR  HIGH FILL-FACTOR ELECGTRIC MACHINE WINDINGS"/>
    <x v="795"/>
    <s v="08/04/2014"/>
    <x v="0"/>
    <s v=""/>
    <x v="1"/>
    <x v="1"/>
    <x v="175"/>
    <x v="178"/>
    <x v="0"/>
  </r>
  <r>
    <x v="1212"/>
    <x v="185"/>
    <x v="102"/>
    <s v="POWDER SPHEROIDIZING VIA FLUIDIZED BED"/>
    <x v="798"/>
    <s v="07/30/2014"/>
    <x v="0"/>
    <s v=""/>
    <x v="1"/>
    <x v="1"/>
    <x v="175"/>
    <x v="178"/>
    <x v="0"/>
  </r>
  <r>
    <x v="1213"/>
    <x v="185"/>
    <x v="102"/>
    <s v="CARBONACEOUS COATING OF FEEDSTOCK POWDER FOR ADDITIVELY MANUFACTURED PARTS"/>
    <x v="799"/>
    <s v="08/10/2015"/>
    <x v="0"/>
    <s v=""/>
    <x v="1"/>
    <x v="1"/>
    <x v="175"/>
    <x v="178"/>
    <x v="0"/>
  </r>
  <r>
    <x v="1214"/>
    <x v="185"/>
    <x v="102"/>
    <s v="CUSTOM ELECTRIC STEEL COMPONENTS VIA ADDITIVE MANUFACTURING"/>
    <x v="800"/>
    <s v="11/11/2016"/>
    <x v="0"/>
    <s v=""/>
    <x v="1"/>
    <x v="1"/>
    <x v="175"/>
    <x v="178"/>
    <x v="0"/>
  </r>
  <r>
    <x v="1215"/>
    <x v="186"/>
    <x v="175"/>
    <s v="POLYMER FILM HEAT EXCHANGER WITH INTEGRAL FLUID DISTRIBUTION MANIFOLDS"/>
    <x v="801"/>
    <s v="01/20/2015"/>
    <x v="0"/>
    <s v=""/>
    <x v="1"/>
    <x v="1"/>
    <x v="176"/>
    <x v="179"/>
    <x v="0"/>
  </r>
  <r>
    <x v="1216"/>
    <x v="187"/>
    <x v="176"/>
    <s v="ULTRACOMPACT OPTOFLUIDIC PHOTOBIOREACTOR SYSTEM INCORPORATING WAVEGUIDES AND POROUS FIBERS"/>
    <x v="802"/>
    <s v="08/25/2015"/>
    <x v="0"/>
    <s v=""/>
    <x v="1"/>
    <x v="1"/>
    <x v="177"/>
    <x v="180"/>
    <x v="0"/>
  </r>
  <r>
    <x v="1217"/>
    <x v="187"/>
    <x v="176"/>
    <s v="PROTOBIOREACTOR APPARATUS, METHOD AND APPLICATION"/>
    <x v="803"/>
    <s v="03/11/2013"/>
    <x v="0"/>
    <s v=""/>
    <x v="1"/>
    <x v="1"/>
    <x v="177"/>
    <x v="180"/>
    <x v="0"/>
  </r>
  <r>
    <x v="1218"/>
    <x v="188"/>
    <x v="177"/>
    <s v="SYNTHETIC REPRESSION OF GENE EXPRESSION IN PLANTS"/>
    <x v="804"/>
    <s v="10/18/2017"/>
    <x v="0"/>
    <s v=""/>
    <x v="1"/>
    <x v="1"/>
    <x v="178"/>
    <x v="181"/>
    <x v="0"/>
  </r>
  <r>
    <x v="1219"/>
    <x v="188"/>
    <x v="178"/>
    <s v="PROMOTER SCREEING VECTOR"/>
    <x v="1"/>
    <s v=""/>
    <x v="0"/>
    <s v=""/>
    <x v="1"/>
    <x v="1"/>
    <x v="178"/>
    <x v="181"/>
    <x v="0"/>
  </r>
  <r>
    <x v="1220"/>
    <x v="188"/>
    <x v="178"/>
    <s v="ARPA-E REBOTIC PLATFORM FOR PROTOPLASTS"/>
    <x v="1"/>
    <s v=""/>
    <x v="0"/>
    <s v=""/>
    <x v="1"/>
    <x v="1"/>
    <x v="178"/>
    <x v="181"/>
    <x v="0"/>
  </r>
  <r>
    <x v="1221"/>
    <x v="188"/>
    <x v="178"/>
    <s v="TRANSFORMATION AND REGENERATION OF IMPROVED SWITCHGRASS VARIETIES IN A LIQUID CULTURE SYSTEM FOR EFFICIENT PRODUCTION, RAPID PHENOTYPING, AND ENABLEMENT OF APPLICATION OF SYNTHETICBIOLOGY TOOLS AND SCREENING"/>
    <x v="1"/>
    <s v=""/>
    <x v="0"/>
    <s v=""/>
    <x v="1"/>
    <x v="1"/>
    <x v="178"/>
    <x v="181"/>
    <x v="0"/>
  </r>
  <r>
    <x v="1222"/>
    <x v="189"/>
    <x v="179"/>
    <s v="PASSIVELY COOLING WATER BELOW THE AMBIENT TEMPERATURE DURING THE DAY VIA RADIATIVE SKY COOLING"/>
    <x v="1"/>
    <s v=""/>
    <x v="0"/>
    <s v=""/>
    <x v="1"/>
    <x v="1"/>
    <x v="179"/>
    <x v="182"/>
    <x v="0"/>
  </r>
  <r>
    <x v="1223"/>
    <x v="189"/>
    <x v="15"/>
    <s v="RADIATIVE COLING OF SOLAR CELLS"/>
    <x v="1"/>
    <s v=""/>
    <x v="0"/>
    <s v=""/>
    <x v="1"/>
    <x v="1"/>
    <x v="179"/>
    <x v="182"/>
    <x v="0"/>
  </r>
  <r>
    <x v="1224"/>
    <x v="189"/>
    <x v="15"/>
    <s v="COLOR PRESERVING DAYTIME RADIATIVE COOLING"/>
    <x v="805"/>
    <s v="11/13/2014"/>
    <x v="263"/>
    <s v="03/20/2018"/>
    <x v="1"/>
    <x v="1"/>
    <x v="179"/>
    <x v="182"/>
    <x v="0"/>
  </r>
  <r>
    <x v="1225"/>
    <x v="190"/>
    <x v="180"/>
    <s v="KINETIC ENERGY HARVESTING USING CYBER-PHYSICAL SYSTEMS"/>
    <x v="806"/>
    <s v="02/17/2014"/>
    <x v="0"/>
    <s v=""/>
    <x v="1"/>
    <x v="1"/>
    <x v="180"/>
    <x v="183"/>
    <x v="0"/>
  </r>
  <r>
    <x v="1226"/>
    <x v="190"/>
    <x v="180"/>
    <s v="FRAMEWORK AND LIMITS ON POWER DENSITY IN WIND AND HYDROKINETIC DEVICE ARRAYS USING SYSTEMATIC FLOW MANIPULATION"/>
    <x v="1"/>
    <s v=""/>
    <x v="0"/>
    <s v=""/>
    <x v="1"/>
    <x v="1"/>
    <x v="180"/>
    <x v="183"/>
    <x v="0"/>
  </r>
  <r>
    <x v="1227"/>
    <x v="190"/>
    <x v="180"/>
    <s v="OPTIMAL PLACEMENT OF HYDROFOILS TO CAPTURE CONSTRUCTIVE INTERFACE"/>
    <x v="1"/>
    <s v=""/>
    <x v="0"/>
    <s v=""/>
    <x v="1"/>
    <x v="1"/>
    <x v="180"/>
    <x v="183"/>
    <x v="0"/>
  </r>
  <r>
    <x v="1228"/>
    <x v="191"/>
    <x v="181"/>
    <s v="ELECTROHYDRODYNAMIC DEPOSITION (EHD) OF GRAPHENE, GRAPHENE OXIDE, REDUCED GRAPHENE OXIDE, AND FUNCTIONALIZED GRAPHENE SHEETS"/>
    <x v="807"/>
    <s v="09/20/2018"/>
    <x v="0"/>
    <s v=""/>
    <x v="1"/>
    <x v="1"/>
    <x v="181"/>
    <x v="184"/>
    <x v="0"/>
  </r>
  <r>
    <x v="1229"/>
    <x v="191"/>
    <x v="181"/>
    <s v="ELECTRODES INCORPORATING COMPOSITIES OF GRAPHENE AND SELENIUM-SULFUR COMPOUNDS FOR IMPROVED RECHARGEABLE LITHIUM BATTERIES"/>
    <x v="808"/>
    <s v="02/26/2016"/>
    <x v="0"/>
    <s v=""/>
    <x v="1"/>
    <x v="1"/>
    <x v="181"/>
    <x v="184"/>
    <x v="0"/>
  </r>
  <r>
    <x v="1230"/>
    <x v="191"/>
    <x v="182"/>
    <s v="BATTERIES INCORPORATING GRAPHENE MEMBRANES FOR EXTENDING THE CYCLE-LIFE OF LITHIUM-ION BATTERIES"/>
    <x v="809"/>
    <s v="06/15/2015"/>
    <x v="0"/>
    <s v=""/>
    <x v="1"/>
    <x v="1"/>
    <x v="181"/>
    <x v="184"/>
    <x v="0"/>
  </r>
  <r>
    <x v="1231"/>
    <x v="192"/>
    <x v="37"/>
    <s v="ENGINE REFORMER SYSTEMS FOR LOWER COST, SMALLER SCALE MANUFACTURING OF LIQUID FUELS"/>
    <x v="1"/>
    <s v=""/>
    <x v="0"/>
    <s v=""/>
    <x v="1"/>
    <x v="1"/>
    <x v="62"/>
    <x v="62"/>
    <x v="0"/>
  </r>
  <r>
    <x v="1232"/>
    <x v="193"/>
    <x v="183"/>
    <s v="MEDICAL ISOTOPE PRODUCTION USING A URANIUM SALT REACTOR"/>
    <x v="1"/>
    <s v=""/>
    <x v="0"/>
    <s v=""/>
    <x v="1"/>
    <x v="1"/>
    <x v="62"/>
    <x v="62"/>
    <x v="0"/>
  </r>
  <r>
    <x v="1233"/>
    <x v="194"/>
    <x v="161"/>
    <s v="CO-EXTRUDED CONFORMAL BATTERY SEPARATOR AND ELECTRODE"/>
    <x v="1"/>
    <s v=""/>
    <x v="0"/>
    <s v=""/>
    <x v="1"/>
    <x v="1"/>
    <x v="182"/>
    <x v="185"/>
    <x v="0"/>
  </r>
  <r>
    <x v="1234"/>
    <x v="194"/>
    <x v="161"/>
    <s v="HIGH PERFORMANCE, TEMPERATURE RESISTANT, PRINTABLE SEPARATOR"/>
    <x v="1"/>
    <s v=""/>
    <x v="0"/>
    <s v=""/>
    <x v="1"/>
    <x v="1"/>
    <x v="182"/>
    <x v="185"/>
    <x v="0"/>
  </r>
  <r>
    <x v="1235"/>
    <x v="194"/>
    <x v="161"/>
    <s v="CO-EXTRUDED CONFORMAL BATTERY SEPARATOR AND ELECTRODE"/>
    <x v="1"/>
    <s v=""/>
    <x v="0"/>
    <s v=""/>
    <x v="1"/>
    <x v="1"/>
    <x v="182"/>
    <x v="185"/>
    <x v="0"/>
  </r>
  <r>
    <x v="1236"/>
    <x v="194"/>
    <x v="161"/>
    <s v="HIGH PERFORMANCE, TEMPERATURE RESISTANT, PRINTABLE SEPARATOR"/>
    <x v="1"/>
    <s v=""/>
    <x v="0"/>
    <s v=""/>
    <x v="1"/>
    <x v="1"/>
    <x v="182"/>
    <x v="185"/>
    <x v="0"/>
  </r>
  <r>
    <x v="1237"/>
    <x v="195"/>
    <x v="184"/>
    <s v="MANUFACTURING PERMANENT MAGNET USING FRICTION CONSOLIDATION METHOD"/>
    <x v="1"/>
    <s v=""/>
    <x v="0"/>
    <s v=""/>
    <x v="1"/>
    <x v="1"/>
    <x v="183"/>
    <x v="186"/>
    <x v="0"/>
  </r>
  <r>
    <x v="1238"/>
    <x v="196"/>
    <x v="29"/>
    <s v="BOEHMITE-BASED COATING FOR CONTROLLING WETTING PROPERTIES"/>
    <x v="810"/>
    <s v="01/12/2015"/>
    <x v="0"/>
    <s v=""/>
    <x v="1"/>
    <x v="1"/>
    <x v="184"/>
    <x v="187"/>
    <x v="0"/>
  </r>
  <r>
    <x v="1239"/>
    <x v="196"/>
    <x v="29"/>
    <s v="COLLOIDAL TEMPLATING METHODS"/>
    <x v="811"/>
    <s v="01/13/2015"/>
    <x v="0"/>
    <s v=""/>
    <x v="1"/>
    <x v="1"/>
    <x v="184"/>
    <x v="187"/>
    <x v="0"/>
  </r>
  <r>
    <x v="1240"/>
    <x v="196"/>
    <x v="29"/>
    <s v="DESIGNS AND METHODS TO PRODUCE SLIPPERY SURFACES WITH HIERARCHICAL ASYMMETRIC STRUCTURES FOR ENHANCED PHASE "/>
    <x v="812"/>
    <s v="04/27/2017"/>
    <x v="0"/>
    <s v=""/>
    <x v="1"/>
    <x v="1"/>
    <x v="184"/>
    <x v="187"/>
    <x v="0"/>
  </r>
  <r>
    <x v="1241"/>
    <x v="196"/>
    <x v="29"/>
    <s v="SELF-CLEANING AND SELF-REPLENISHING SLIPPERY LIQUID INFUSED OPTICAL COATINGS"/>
    <x v="813"/>
    <s v="01/13/2015"/>
    <x v="0"/>
    <s v=""/>
    <x v="1"/>
    <x v="1"/>
    <x v="184"/>
    <x v="187"/>
    <x v="0"/>
  </r>
  <r>
    <x v="1242"/>
    <x v="196"/>
    <x v="29"/>
    <s v="SWELLING SELF-LUBRICATED POLYMER SLIPS"/>
    <x v="814"/>
    <s v="01/12/2015"/>
    <x v="0"/>
    <s v=""/>
    <x v="1"/>
    <x v="1"/>
    <x v="184"/>
    <x v="187"/>
    <x v="0"/>
  </r>
  <r>
    <x v="1243"/>
    <x v="196"/>
    <x v="29"/>
    <s v="NEW APPROACH FOR LOW ENERGY, ANTIFOULING AND DEGASSING MEMBRANE AND MICROFLUIDIC APPLICATIONS"/>
    <x v="815"/>
    <s v="08/09/2017"/>
    <x v="0"/>
    <s v=""/>
    <x v="1"/>
    <x v="1"/>
    <x v="184"/>
    <x v="187"/>
    <x v="0"/>
  </r>
  <r>
    <x v="1244"/>
    <x v="196"/>
    <x v="29"/>
    <s v="NEW APPROACH FOR LOW ENERGY, ANTIFOULING AND DEGASSING MEMBRANE AND MICROFLUIDIC APPLICATIONS"/>
    <x v="816"/>
    <s v="02/09/2016"/>
    <x v="0"/>
    <s v=""/>
    <x v="91"/>
    <x v="77"/>
    <x v="184"/>
    <x v="187"/>
    <x v="0"/>
  </r>
  <r>
    <x v="1245"/>
    <x v="196"/>
    <x v="92"/>
    <s v="ROBUST THERMALLY HEALABLE SLIPPERY COATINGS ON INDUSTRIAL METALS, GLASS, AND PLASTICS"/>
    <x v="1"/>
    <s v=""/>
    <x v="0"/>
    <s v=""/>
    <x v="1"/>
    <x v="1"/>
    <x v="184"/>
    <x v="187"/>
    <x v="0"/>
  </r>
  <r>
    <x v="1246"/>
    <x v="196"/>
    <x v="29"/>
    <s v="SELF-REPORTING SLIPS AND METHODS FOR PRODUCTION"/>
    <x v="1"/>
    <s v=""/>
    <x v="0"/>
    <s v=""/>
    <x v="1"/>
    <x v="1"/>
    <x v="184"/>
    <x v="187"/>
    <x v="0"/>
  </r>
  <r>
    <x v="1247"/>
    <x v="196"/>
    <x v="29"/>
    <s v="NEW APPROACH FOR LOW ENERGY, ANTIFOULING AND DEGASSING MEMBRANE AND MICROFLUIDIC APPLICATIONS"/>
    <x v="1"/>
    <s v=""/>
    <x v="0"/>
    <s v=""/>
    <x v="1"/>
    <x v="1"/>
    <x v="184"/>
    <x v="187"/>
    <x v="0"/>
  </r>
  <r>
    <x v="1248"/>
    <x v="196"/>
    <x v="29"/>
    <s v="BOEHMITE-BASED COATING FOR CONTROLLING WETTING PROPERTIES"/>
    <x v="1"/>
    <s v=""/>
    <x v="0"/>
    <s v=""/>
    <x v="1"/>
    <x v="1"/>
    <x v="184"/>
    <x v="187"/>
    <x v="0"/>
  </r>
  <r>
    <x v="1242"/>
    <x v="196"/>
    <x v="29"/>
    <s v="SWELLING SELF-LUBRICATED POLYMER SLIPS"/>
    <x v="1"/>
    <s v=""/>
    <x v="0"/>
    <s v=""/>
    <x v="1"/>
    <x v="1"/>
    <x v="184"/>
    <x v="187"/>
    <x v="0"/>
  </r>
  <r>
    <x v="1249"/>
    <x v="196"/>
    <x v="29"/>
    <s v="SELF-CLEANING AND SELF-REPLENISHING SLIPPERY LIQUID INFUSED OPTICAL COATINGS"/>
    <x v="1"/>
    <s v=""/>
    <x v="0"/>
    <s v=""/>
    <x v="1"/>
    <x v="1"/>
    <x v="184"/>
    <x v="187"/>
    <x v="0"/>
  </r>
  <r>
    <x v="1250"/>
    <x v="196"/>
    <x v="92"/>
    <s v="ROBUST THERMALLY HEALABLE SLIPPERY COATINGS ON INDUSTRIAL METALS, GLASS, AND PLASTICS"/>
    <x v="817"/>
    <s v="04/10/2015"/>
    <x v="0"/>
    <s v=""/>
    <x v="151"/>
    <x v="134"/>
    <x v="184"/>
    <x v="187"/>
    <x v="0"/>
  </r>
  <r>
    <x v="1251"/>
    <x v="196"/>
    <x v="92"/>
    <s v="ROBUST THERMALLY HEALABLE SLIPPERY COATINGS ON INDUSTRIAL METALS, GLASS, AND PLASTICS"/>
    <x v="818"/>
    <s v="10/06/2016"/>
    <x v="0"/>
    <s v=""/>
    <x v="1"/>
    <x v="1"/>
    <x v="184"/>
    <x v="187"/>
    <x v="0"/>
  </r>
  <r>
    <x v="1252"/>
    <x v="196"/>
    <x v="92"/>
    <s v="SLIPPERY ROUGH SURFACES"/>
    <x v="819"/>
    <s v="10/23/2017"/>
    <x v="0"/>
    <s v=""/>
    <x v="1"/>
    <x v="1"/>
    <x v="184"/>
    <x v="187"/>
    <x v="0"/>
  </r>
  <r>
    <x v="1253"/>
    <x v="196"/>
    <x v="92"/>
    <s v="SLIPPERY ROUGH SURFACES"/>
    <x v="820"/>
    <s v="04/22/2016"/>
    <x v="0"/>
    <s v=""/>
    <x v="105"/>
    <x v="89"/>
    <x v="184"/>
    <x v="187"/>
    <x v="0"/>
  </r>
  <r>
    <x v="1254"/>
    <x v="197"/>
    <x v="185"/>
    <s v="IMPROVED ELECTROGENERATIVE PROCESS"/>
    <x v="821"/>
    <s v="01/14/2014"/>
    <x v="0"/>
    <s v=""/>
    <x v="1"/>
    <x v="1"/>
    <x v="185"/>
    <x v="188"/>
    <x v="0"/>
  </r>
  <r>
    <x v="1255"/>
    <x v="197"/>
    <x v="185"/>
    <s v="OXYGEN TRANSFER AGENTS FOR THE OXIDATIVE DEHYDROGENATION OF HYDROCARBONS AND SYSTEMS AND PROCESSES USING THE SAME"/>
    <x v="822"/>
    <s v="03/24/2017"/>
    <x v="0"/>
    <s v=""/>
    <x v="68"/>
    <x v="55"/>
    <x v="185"/>
    <x v="188"/>
    <x v="0"/>
  </r>
  <r>
    <x v="1256"/>
    <x v="197"/>
    <x v="185"/>
    <s v="OXYGEN TRANSFER AGENTS FOR THE OXIDATIVE DEHYDROGENATION OF HYDROCARBONS AND SYSTEMS AND PROCESSES USING THE SAME"/>
    <x v="822"/>
    <s v="03/24/2017"/>
    <x v="0"/>
    <s v=""/>
    <x v="68"/>
    <x v="55"/>
    <x v="185"/>
    <x v="188"/>
    <x v="0"/>
  </r>
  <r>
    <x v="1257"/>
    <x v="197"/>
    <x v="185"/>
    <s v="OXYGEN TRANSFER AGENTS FOR THE OXIDATIVE DEHYDROGENATION OF HYDROCARBONS AND SYSTEMS AND PROCESSES USING THE SAME"/>
    <x v="823"/>
    <s v="03/24/2016"/>
    <x v="0"/>
    <s v=""/>
    <x v="1"/>
    <x v="1"/>
    <x v="185"/>
    <x v="188"/>
    <x v="0"/>
  </r>
  <r>
    <x v="1258"/>
    <x v="197"/>
    <x v="51"/>
    <s v="ETHYLENE YIELD IN OXIDATIVE DEHYDROGENATION OF ETHANE AND ETHANE CONTAINING HYDROCARBON MIXTURES"/>
    <x v="824"/>
    <s v="02/02/2017"/>
    <x v="0"/>
    <s v=""/>
    <x v="1"/>
    <x v="1"/>
    <x v="185"/>
    <x v="188"/>
    <x v="0"/>
  </r>
  <r>
    <x v="1259"/>
    <x v="197"/>
    <x v="51"/>
    <s v="REDOX CATALYSTS FOR CHEMICAL LOOPING - BASED OXIDATIVE DEHYDROGENATION OF LIGHT OLEFINS AND SELECTIVE HYDROGEN"/>
    <x v="1"/>
    <s v=""/>
    <x v="0"/>
    <s v=""/>
    <x v="1"/>
    <x v="1"/>
    <x v="185"/>
    <x v="188"/>
    <x v="0"/>
  </r>
  <r>
    <x v="1260"/>
    <x v="197"/>
    <x v="185"/>
    <s v="OXYGEN TRANSFER AGENTS FOR THE OXIDATIVE DEHYDROGENATION OF HYDROCARBONS AND SYSTEMS AND PROCESSES USING THE SAME"/>
    <x v="825"/>
    <s v="09/23/2015"/>
    <x v="264"/>
    <s v="11/27/2018"/>
    <x v="1"/>
    <x v="1"/>
    <x v="185"/>
    <x v="188"/>
    <x v="0"/>
  </r>
  <r>
    <x v="1261"/>
    <x v="197"/>
    <x v="51"/>
    <s v="SOLID AGENTS FOR THE OXIDATIVE DEHYDROGENATION OF HYDROCARBONS"/>
    <x v="1"/>
    <s v=""/>
    <x v="0"/>
    <s v=""/>
    <x v="1"/>
    <x v="1"/>
    <x v="185"/>
    <x v="188"/>
    <x v="0"/>
  </r>
  <r>
    <x v="1262"/>
    <x v="197"/>
    <x v="51"/>
    <s v="IMPROVED ELECTROGENERATIVE PROCESS"/>
    <x v="1"/>
    <s v=""/>
    <x v="0"/>
    <s v=""/>
    <x v="1"/>
    <x v="1"/>
    <x v="185"/>
    <x v="188"/>
    <x v="0"/>
  </r>
  <r>
    <x v="1263"/>
    <x v="197"/>
    <x v="185"/>
    <s v="ENHANCED OXYGEN TRANSFER AGENT SYSTEMS FOR OXIDATIVE DEHYDROGENTATION OF HYDROCARBONS AND METHODS OF USING THE"/>
    <x v="1"/>
    <s v=""/>
    <x v="0"/>
    <s v=""/>
    <x v="1"/>
    <x v="1"/>
    <x v="185"/>
    <x v="188"/>
    <x v="0"/>
  </r>
  <r>
    <x v="1264"/>
    <x v="198"/>
    <x v="186"/>
    <s v="SYSTEM AND PROCESS FOR COVERTING NATURAL GAS INTO SATURATED, CYCLIC HYDROCARBONS   [MAY BE PROJECT TITLE- METHOD AND APPARATUS FOR PRODUCTION OF CYCLIC HYDROCARBONS]"/>
    <x v="826"/>
    <s v="11/26/2013"/>
    <x v="0"/>
    <s v=""/>
    <x v="1"/>
    <x v="1"/>
    <x v="186"/>
    <x v="96"/>
    <x v="0"/>
  </r>
  <r>
    <x v="1265"/>
    <x v="199"/>
    <x v="187"/>
    <s v="PLASMON-ENHANCED CO2 REDUCTION PROCESS"/>
    <x v="827"/>
    <s v="04/09/2013"/>
    <x v="0"/>
    <s v=""/>
    <x v="350"/>
    <x v="322"/>
    <x v="187"/>
    <x v="189"/>
    <x v="0"/>
  </r>
  <r>
    <x v="1266"/>
    <x v="199"/>
    <x v="187"/>
    <s v="PLASMON-ENHANCED WATER SPLITTING USING PHOTOELECTROCHEMICAL CELL USING AU/TIO2 BASED ELECTRODE"/>
    <x v="1"/>
    <s v=""/>
    <x v="0"/>
    <s v=""/>
    <x v="1"/>
    <x v="1"/>
    <x v="187"/>
    <x v="189"/>
    <x v="0"/>
  </r>
  <r>
    <x v="1267"/>
    <x v="200"/>
    <x v="182"/>
    <s v="FLUIDIC ACTUATOR SYSTEM AND METHOD"/>
    <x v="828"/>
    <s v="02/01/2016"/>
    <x v="265"/>
    <s v="11/20/2018"/>
    <x v="1"/>
    <x v="1"/>
    <x v="188"/>
    <x v="190"/>
    <x v="0"/>
  </r>
  <r>
    <x v="1268"/>
    <x v="200"/>
    <x v="182"/>
    <s v="CSP SYSTEM UTILIZING SUNFOLDING ACTUATION"/>
    <x v="829"/>
    <s v="10/25/2013"/>
    <x v="266"/>
    <s v="04/18/2017"/>
    <x v="1"/>
    <x v="1"/>
    <x v="188"/>
    <x v="190"/>
    <x v="0"/>
  </r>
  <r>
    <x v="1269"/>
    <x v="200"/>
    <x v="182"/>
    <s v="SUNFOLDING PNEUMATIC ACTUATION CIRCUIT"/>
    <x v="830"/>
    <s v="04/17/2018"/>
    <x v="0"/>
    <s v=""/>
    <x v="1"/>
    <x v="1"/>
    <x v="188"/>
    <x v="190"/>
    <x v="0"/>
  </r>
  <r>
    <x v="1270"/>
    <x v="200"/>
    <x v="182"/>
    <s v="SUNFOLDING PNEUMATIC ACTUATION SYSTEM"/>
    <x v="831"/>
    <s v="04/17/2018"/>
    <x v="0"/>
    <s v=""/>
    <x v="1"/>
    <x v="1"/>
    <x v="188"/>
    <x v="190"/>
    <x v="0"/>
  </r>
  <r>
    <x v="1271"/>
    <x v="200"/>
    <x v="182"/>
    <s v="SUNFOLDING SOLAR TRACKER CONTROL SYSTEM"/>
    <x v="832"/>
    <s v="04/17/2018"/>
    <x v="0"/>
    <s v=""/>
    <x v="1"/>
    <x v="1"/>
    <x v="188"/>
    <x v="190"/>
    <x v="0"/>
  </r>
  <r>
    <x v="1272"/>
    <x v="200"/>
    <x v="182"/>
    <s v="FLUIDIC ACTUATOR SYSTEM AND METHOD"/>
    <x v="833"/>
    <s v="01/30/2016"/>
    <x v="0"/>
    <s v=""/>
    <x v="118"/>
    <x v="102"/>
    <x v="188"/>
    <x v="190"/>
    <x v="0"/>
  </r>
  <r>
    <x v="1273"/>
    <x v="201"/>
    <x v="188"/>
    <s v="METHOD FOR GENERATING AN ORDERED POINT CLOUD USING MOBILE SCANNING DATA"/>
    <x v="834"/>
    <s v="11/01/2017"/>
    <x v="0"/>
    <s v=""/>
    <x v="1"/>
    <x v="1"/>
    <x v="189"/>
    <x v="191"/>
    <x v="0"/>
  </r>
  <r>
    <x v="1274"/>
    <x v="201"/>
    <x v="188"/>
    <s v="METHODS FOR INDOOR 3D SURFACE RECONSTRUCTION AND 2D FLOOR PLAN RECOVERY UTILIZING SEGMENTATIONS OF BUILDING AND OBJECT ELEMENTS"/>
    <x v="835"/>
    <s v="11/20/2015"/>
    <x v="0"/>
    <s v=""/>
    <x v="1"/>
    <x v="1"/>
    <x v="189"/>
    <x v="191"/>
    <x v="0"/>
  </r>
  <r>
    <x v="1275"/>
    <x v="202"/>
    <x v="189"/>
    <s v="CUSTOMIZABLE LIGHTFIELD LUMINAIRE"/>
    <x v="836"/>
    <s v="02/10/2017"/>
    <x v="0"/>
    <s v=""/>
    <x v="1"/>
    <x v="1"/>
    <x v="190"/>
    <x v="192"/>
    <x v="0"/>
  </r>
  <r>
    <x v="1276"/>
    <x v="202"/>
    <x v="189"/>
    <s v="ADJUSTABLE-BEAM  LUMINAIRES"/>
    <x v="837"/>
    <s v="09/26/2016"/>
    <x v="0"/>
    <s v=""/>
    <x v="1"/>
    <x v="1"/>
    <x v="190"/>
    <x v="192"/>
    <x v="0"/>
  </r>
  <r>
    <x v="1277"/>
    <x v="202"/>
    <x v="189"/>
    <s v="OPTIMIZED EXTRACTION FEATURES FOR LIGHT GUIDES"/>
    <x v="838"/>
    <s v="01/31/2017"/>
    <x v="0"/>
    <s v=""/>
    <x v="1"/>
    <x v="1"/>
    <x v="190"/>
    <x v="192"/>
    <x v="0"/>
  </r>
  <r>
    <x v="1278"/>
    <x v="202"/>
    <x v="189"/>
    <s v="CONFIGURABLE LUMINAIRES"/>
    <x v="839"/>
    <s v="02/24/2017"/>
    <x v="0"/>
    <s v=""/>
    <x v="1"/>
    <x v="1"/>
    <x v="190"/>
    <x v="192"/>
    <x v="0"/>
  </r>
  <r>
    <x v="1279"/>
    <x v="202"/>
    <x v="189"/>
    <s v="ASYMMETRIC LENSES FOR SOLAR CONCENTRATORS"/>
    <x v="1"/>
    <s v=""/>
    <x v="0"/>
    <s v=""/>
    <x v="1"/>
    <x v="1"/>
    <x v="190"/>
    <x v="192"/>
    <x v="0"/>
  </r>
  <r>
    <x v="1012"/>
    <x v="203"/>
    <x v="24"/>
    <s v="KIRIGAMI-WRAP ASSEMBLED MICRO-OPTICAL SPECTRUM-SPLITTING PHOTOVOLTAIC MODULE "/>
    <x v="1"/>
    <s v=""/>
    <x v="0"/>
    <s v=""/>
    <x v="1"/>
    <x v="1"/>
    <x v="191"/>
    <x v="193"/>
    <x v="0"/>
  </r>
  <r>
    <x v="1280"/>
    <x v="204"/>
    <x v="190"/>
    <s v="ELECTROCHROMIC DEVICE CONTAINING METAL OXIDE NANOPARTICLES AND ULTRAVIOLET BLOCKING MATERIALS"/>
    <x v="840"/>
    <s v="10/13/2015"/>
    <x v="267"/>
    <s v="05/19/2016"/>
    <x v="1"/>
    <x v="1"/>
    <x v="62"/>
    <x v="62"/>
    <x v="0"/>
  </r>
  <r>
    <x v="1281"/>
    <x v="205"/>
    <x v="191"/>
    <s v="SINGLE-BIASED ALL-OPTICAL EMITTER TURN-OFF THYRISTOR (ETO) CONFIGURATION ELIMINATING THE TURN-ON LEAKAGE CURRENT FOR FAST AND RELIABLE SWITCHING ACTION"/>
    <x v="1"/>
    <s v=""/>
    <x v="0"/>
    <s v=""/>
    <x v="1"/>
    <x v="1"/>
    <x v="192"/>
    <x v="194"/>
    <x v="0"/>
  </r>
  <r>
    <x v="1282"/>
    <x v="206"/>
    <x v="5"/>
    <s v="A NEW AQUEOUS ORGANIC REDOX FLOW BATTERY WITH &quot;BI-FUYNCTIONAL&quot; REDOX ACTIVE MATERIALS"/>
    <x v="1"/>
    <s v=""/>
    <x v="0"/>
    <s v=""/>
    <x v="1"/>
    <x v="1"/>
    <x v="193"/>
    <x v="195"/>
    <x v="0"/>
  </r>
  <r>
    <x v="1283"/>
    <x v="206"/>
    <x v="192"/>
    <s v="SUPERCONDUCTOR CABLE WITH CLOCKING FEATURE FOR MAGNETIC ENERGY STORAGE"/>
    <x v="841"/>
    <s v="05/03/2013"/>
    <x v="0"/>
    <s v=""/>
    <x v="1"/>
    <x v="1"/>
    <x v="193"/>
    <x v="195"/>
    <x v="0"/>
  </r>
  <r>
    <x v="1284"/>
    <x v="207"/>
    <x v="115"/>
    <s v="SILICA SUPPORT STRUCTURE FOR A ZEOLITE MEMBRANE"/>
    <x v="842"/>
    <s v="07/10/2014"/>
    <x v="0"/>
    <s v=""/>
    <x v="351"/>
    <x v="323"/>
    <x v="194"/>
    <x v="196"/>
    <x v="0"/>
  </r>
  <r>
    <x v="1285"/>
    <x v="207"/>
    <x v="115"/>
    <s v="DIRECT SYNTHESIS OF HIGH-ASPECT RATIO ZEOLITE NANOSHEETS"/>
    <x v="843"/>
    <s v="10/24/2016"/>
    <x v="0"/>
    <s v=""/>
    <x v="1"/>
    <x v="1"/>
    <x v="194"/>
    <x v="196"/>
    <x v="0"/>
  </r>
  <r>
    <x v="1286"/>
    <x v="207"/>
    <x v="115"/>
    <s v="PORE OPENED ZEOLITE NANOSHEETS AND THEIR SUSPENSIONS AND METHODS AND USES RELATED THERETO"/>
    <x v="844"/>
    <s v="12/21/2016"/>
    <x v="0"/>
    <s v=""/>
    <x v="1"/>
    <x v="1"/>
    <x v="194"/>
    <x v="196"/>
    <x v="0"/>
  </r>
  <r>
    <x v="1287"/>
    <x v="208"/>
    <x v="20"/>
    <s v="ALL CERAMIC PUMP AND VALVE FOR CIRCULATION OF HIGH TEMPERATURE LIQUID METALS"/>
    <x v="845"/>
    <s v="08/15/2017"/>
    <x v="0"/>
    <s v=""/>
    <x v="1"/>
    <x v="1"/>
    <x v="195"/>
    <x v="197"/>
    <x v="0"/>
  </r>
  <r>
    <x v="1288"/>
    <x v="208"/>
    <x v="20"/>
    <s v="THERMOSPHOTOVOLTAICS WITH STORAGE"/>
    <x v="846"/>
    <s v="02/16/2016"/>
    <x v="0"/>
    <s v=""/>
    <x v="1"/>
    <x v="1"/>
    <x v="195"/>
    <x v="197"/>
    <x v="0"/>
  </r>
  <r>
    <x v="1289"/>
    <x v="208"/>
    <x v="20"/>
    <s v="THERMOSPHOTOVOLTAICS WITH STORAGE"/>
    <x v="847"/>
    <s v="08/14/2014"/>
    <x v="0"/>
    <s v=""/>
    <x v="81"/>
    <x v="68"/>
    <x v="195"/>
    <x v="197"/>
    <x v="0"/>
  </r>
  <r>
    <x v="1290"/>
    <x v="208"/>
    <x v="20"/>
    <s v="NOVEL INTERMEDIATE-TEMPERATURE FUEL CELL TAILORED FOR EFFICIENT UTILIZATION OF METHANE"/>
    <x v="848"/>
    <s v="07/19/2017"/>
    <x v="0"/>
    <s v=""/>
    <x v="1"/>
    <x v="1"/>
    <x v="195"/>
    <x v="197"/>
    <x v="0"/>
  </r>
  <r>
    <x v="1291"/>
    <x v="208"/>
    <x v="20"/>
    <s v="METHANE CRACKING USING A HIGH TEMPERATURE LIQUID TIN BASED REACTOR/HEAT EXCHANGER"/>
    <x v="849"/>
    <s v="10/31/2017"/>
    <x v="0"/>
    <s v=""/>
    <x v="1"/>
    <x v="1"/>
    <x v="195"/>
    <x v="197"/>
    <x v="0"/>
  </r>
  <r>
    <x v="1292"/>
    <x v="208"/>
    <x v="20"/>
    <s v="NOVEL INTERMEDIATE-TEMPERATURE FUEL CELL TAILORED FOR EFFICIENT UTILIZATION OF METHANE"/>
    <x v="850"/>
    <s v="01/16/2019"/>
    <x v="0"/>
    <s v=""/>
    <x v="1"/>
    <x v="1"/>
    <x v="195"/>
    <x v="197"/>
    <x v="0"/>
  </r>
  <r>
    <x v="1293"/>
    <x v="208"/>
    <x v="193"/>
    <s v="METHOD FOR FABRICATING MECHANICALLY-ROBUST, THERMALLY-ROBUST, AND CHEMICALLY-ROBUST CERAMICS AND CERAMIC COMPOSITE MATERIALS FOR USE IN DEVICES IN HIGH-TEMPERATURE SYSTEMS, AND THE CERAMICS AND CERAMIC COMPOSTIE MATERIALS AND DEVICES MADE THEREBY"/>
    <x v="851"/>
    <s v="04/18/2016"/>
    <x v="0"/>
    <s v=""/>
    <x v="1"/>
    <x v="1"/>
    <x v="195"/>
    <x v="197"/>
    <x v="0"/>
  </r>
  <r>
    <x v="1294"/>
    <x v="208"/>
    <x v="193"/>
    <s v="METHODS FOR MANUFACTURING CERAMIC AND CERAMIC COMPOSITE COMPONENTS AND COMPONENTS MADE THEREBY"/>
    <x v="852"/>
    <s v="04/18/2017"/>
    <x v="0"/>
    <s v=""/>
    <x v="155"/>
    <x v="138"/>
    <x v="195"/>
    <x v="197"/>
    <x v="0"/>
  </r>
  <r>
    <x v="1295"/>
    <x v="209"/>
    <x v="64"/>
    <s v="CONTEXTUALLY SUPERVISED GENERATION STATE ESTIMATION (CSGSE)"/>
    <x v="853"/>
    <s v="03/20/2017"/>
    <x v="0"/>
    <s v=""/>
    <x v="352"/>
    <x v="324"/>
    <x v="196"/>
    <x v="198"/>
    <x v="0"/>
  </r>
  <r>
    <x v="1296"/>
    <x v="209"/>
    <x v="194"/>
    <s v="METHOD AND APPARATUS FOR PRECISION PHASOR MEASUREMENTS THROUGH A MEDIUM VOLTAGE DISTRIBYRUIB TRANSFORMER"/>
    <x v="854"/>
    <s v="07/25/2014"/>
    <x v="0"/>
    <s v=""/>
    <x v="1"/>
    <x v="1"/>
    <x v="196"/>
    <x v="198"/>
    <x v="0"/>
  </r>
  <r>
    <x v="1297"/>
    <x v="209"/>
    <x v="194"/>
    <s v="MICRO-PMU ADAPTIVE VOLTAGE CONTROL ALGORITHM"/>
    <x v="1"/>
    <s v=""/>
    <x v="0"/>
    <s v=""/>
    <x v="1"/>
    <x v="1"/>
    <x v="196"/>
    <x v="198"/>
    <x v="0"/>
  </r>
  <r>
    <x v="1298"/>
    <x v="210"/>
    <x v="195"/>
    <s v="A SELF-ACTIVATION PREPARATION METHOD FOR ACTIVATED CARBON"/>
    <x v="1"/>
    <s v=""/>
    <x v="0"/>
    <s v=""/>
    <x v="1"/>
    <x v="1"/>
    <x v="197"/>
    <x v="199"/>
    <x v="0"/>
  </r>
  <r>
    <x v="1299"/>
    <x v="210"/>
    <x v="196"/>
    <s v="HIGH VOLTAGE REDOX ELECTROLYTES FOR ENHANCED ELECTROCHEMICAL CAPACITOR PERFORMANCE AND REDUCED SELF-DISCHARGE"/>
    <x v="1"/>
    <s v=""/>
    <x v="0"/>
    <s v=""/>
    <x v="1"/>
    <x v="1"/>
    <x v="197"/>
    <x v="199"/>
    <x v="0"/>
  </r>
  <r>
    <x v="1300"/>
    <x v="210"/>
    <x v="196"/>
    <s v="DESIGN OF DUAL-REDOX-ACTIVE ELECTROLYTES FOR ELECTROCHEMICAL CAPACITORS; STABLE BROMINE CHARGE"/>
    <x v="1"/>
    <s v=""/>
    <x v="0"/>
    <s v=""/>
    <x v="1"/>
    <x v="1"/>
    <x v="197"/>
    <x v="199"/>
    <x v="0"/>
  </r>
  <r>
    <x v="1301"/>
    <x v="210"/>
    <x v="196"/>
    <s v="HIGH VOLTAGE REDOX ELECTROLYTES FOR ENHANCED ELECTROCHEMICAL CAPACITOR PERFORMANCE AND REDUCE SELF-DISCHARGE"/>
    <x v="855"/>
    <s v="04/21/2015"/>
    <x v="0"/>
    <s v=""/>
    <x v="1"/>
    <x v="1"/>
    <x v="197"/>
    <x v="199"/>
    <x v="0"/>
  </r>
  <r>
    <x v="1302"/>
    <x v="210"/>
    <x v="196"/>
    <s v="HIGH VOLTAGE REDOX ELECTROLYTES FOR ENHANCED ELECTROCHEMICAL CAPACITOR PERFORMANCE AND REDUCE SELF-DISCHARGE"/>
    <x v="856"/>
    <s v="05/22/2017"/>
    <x v="0"/>
    <s v=""/>
    <x v="1"/>
    <x v="1"/>
    <x v="197"/>
    <x v="199"/>
    <x v="0"/>
  </r>
  <r>
    <x v="1303"/>
    <x v="211"/>
    <x v="197"/>
    <s v="ION CONDUCTING MEMBRANE"/>
    <x v="857"/>
    <s v="01/06/2017"/>
    <x v="0"/>
    <s v=""/>
    <x v="1"/>
    <x v="1"/>
    <x v="198"/>
    <x v="200"/>
    <x v="0"/>
  </r>
  <r>
    <x v="1304"/>
    <x v="211"/>
    <x v="197"/>
    <s v="METHOD AND SYSTEM FOR ELECTROCHEMICAL PRODUCTION OF FORMIC ACID FROM CARBON DIOXIDE"/>
    <x v="858"/>
    <s v="09/08/2016"/>
    <x v="0"/>
    <s v=""/>
    <x v="1"/>
    <x v="1"/>
    <x v="198"/>
    <x v="200"/>
    <x v="0"/>
  </r>
  <r>
    <x v="1305"/>
    <x v="211"/>
    <x v="197"/>
    <s v="METHOD OF MAKING AN ANION EXCHANGE MEMBRANE"/>
    <x v="1"/>
    <s v=""/>
    <x v="0"/>
    <s v=""/>
    <x v="1"/>
    <x v="1"/>
    <x v="198"/>
    <x v="200"/>
    <x v="0"/>
  </r>
  <r>
    <x v="1306"/>
    <x v="211"/>
    <x v="197"/>
    <s v="ION-CONDUCTING MEMBRANES"/>
    <x v="1"/>
    <s v=""/>
    <x v="268"/>
    <s v="06/21/2016"/>
    <x v="1"/>
    <x v="1"/>
    <x v="198"/>
    <x v="200"/>
    <x v="0"/>
  </r>
  <r>
    <x v="1307"/>
    <x v="211"/>
    <x v="197"/>
    <s v="ION-CONDUCTING MEMBRANES"/>
    <x v="859"/>
    <s v="05/05/2015"/>
    <x v="268"/>
    <s v="06/21/2016"/>
    <x v="1"/>
    <x v="1"/>
    <x v="198"/>
    <x v="200"/>
    <x v="0"/>
  </r>
  <r>
    <x v="1308"/>
    <x v="211"/>
    <x v="197"/>
    <s v="ELECTROCATALYTIC PROCESS FOR CO2 CONVERSION"/>
    <x v="1"/>
    <s v=""/>
    <x v="0"/>
    <s v=""/>
    <x v="1"/>
    <x v="1"/>
    <x v="198"/>
    <x v="200"/>
    <x v="0"/>
  </r>
  <r>
    <x v="1309"/>
    <x v="211"/>
    <x v="197"/>
    <s v="ELECTROCHEMICAL DEVICES COMPRISING NOVEL CATALYST MIXTURES"/>
    <x v="860"/>
    <s v="08/02/2016"/>
    <x v="269"/>
    <d v="2018-05-01T00:00:00"/>
    <x v="1"/>
    <x v="1"/>
    <x v="198"/>
    <x v="200"/>
    <x v="0"/>
  </r>
  <r>
    <x v="1310"/>
    <x v="211"/>
    <x v="197"/>
    <s v="ION-CONDUCTING MEMBRANES"/>
    <x v="861"/>
    <s v="04/04/2016"/>
    <x v="270"/>
    <s v="02/28/2017"/>
    <x v="1"/>
    <x v="1"/>
    <x v="198"/>
    <x v="200"/>
    <x v="0"/>
  </r>
  <r>
    <x v="1311"/>
    <x v="211"/>
    <x v="197"/>
    <s v="ELECTROCHEMICAL DEVICE FOR CONVERTING CARBON DIOXIDE TO A REACTION PRODUCT"/>
    <x v="862"/>
    <s v="05/05/2015"/>
    <x v="271"/>
    <s v="11/01/2016"/>
    <x v="1"/>
    <x v="1"/>
    <x v="198"/>
    <x v="200"/>
    <x v="0"/>
  </r>
  <r>
    <x v="1312"/>
    <x v="212"/>
    <x v="6"/>
    <s v="DOUBLE-MEMBRANE TRIPLE-ELECTROLYTE REDOX FLOW BATTERY DESIGN "/>
    <x v="18"/>
    <s v="06/14/2013"/>
    <x v="8"/>
    <s v="03/13/2017"/>
    <x v="1"/>
    <x v="1"/>
    <x v="199"/>
    <x v="4"/>
    <x v="0"/>
  </r>
  <r>
    <x v="1313"/>
    <x v="212"/>
    <x v="6"/>
    <s v="MULTIPLE-MEMBRANSE MULTIPLE-ELECTROLYTE REDOX FLOW BATTERY DESIGN"/>
    <x v="17"/>
    <s v="06/14/2013"/>
    <x v="272"/>
    <s v="06/14/2013"/>
    <x v="1"/>
    <x v="1"/>
    <x v="199"/>
    <x v="4"/>
    <x v="0"/>
  </r>
  <r>
    <x v="1314"/>
    <x v="212"/>
    <x v="6"/>
    <s v="ION-SELECTIVE CERAMIC-MEMBRANE-BASED  ALL-AQUEOUS REDOX-FLOW-BATTERIES"/>
    <x v="1"/>
    <s v=""/>
    <x v="0"/>
    <s v=""/>
    <x v="1"/>
    <x v="1"/>
    <x v="199"/>
    <x v="4"/>
    <x v="0"/>
  </r>
  <r>
    <x v="1315"/>
    <x v="213"/>
    <x v="198"/>
    <s v="METHOD OF MAKING A HYBRID LITHIUM-ION CELL USING SOLID ELECTROLYTE MATERIALS"/>
    <x v="1"/>
    <s v=""/>
    <x v="0"/>
    <s v=""/>
    <x v="1"/>
    <x v="1"/>
    <x v="200"/>
    <x v="201"/>
    <x v="0"/>
  </r>
  <r>
    <x v="1316"/>
    <x v="213"/>
    <x v="198"/>
    <s v="METHOD FOR GROWTH OF LI-RICH ANTI-PEROVSKITE ELECTROLYTE FILMS AND USE THEREOF"/>
    <x v="1"/>
    <s v=""/>
    <x v="0"/>
    <s v=""/>
    <x v="1"/>
    <x v="1"/>
    <x v="200"/>
    <x v="201"/>
    <x v="0"/>
  </r>
  <r>
    <x v="1317"/>
    <x v="213"/>
    <x v="198"/>
    <s v="TRANSISTION-METALS DOPED LITHIUM-RICH ANTI-PEROVSKITES FOR CATHODE APPLICATIONS"/>
    <x v="863"/>
    <s v="07/20/2017"/>
    <x v="0"/>
    <s v=""/>
    <x v="1"/>
    <x v="1"/>
    <x v="200"/>
    <x v="201"/>
    <x v="0"/>
  </r>
  <r>
    <x v="1318"/>
    <x v="213"/>
    <x v="198"/>
    <s v="TRANSISTION-METALS DOPED LITHIUM-RICH ANTI-PEROVSKITES FOR CATHODE APPLICATIONS"/>
    <x v="864"/>
    <s v="07/20/2017"/>
    <x v="0"/>
    <s v=""/>
    <x v="306"/>
    <x v="282"/>
    <x v="200"/>
    <x v="201"/>
    <x v="0"/>
  </r>
  <r>
    <x v="1319"/>
    <x v="214"/>
    <x v="29"/>
    <s v="HIGH PH ORGANIC FLOW BATTERY "/>
    <x v="865"/>
    <s v="03/07/2016"/>
    <x v="0"/>
    <s v=""/>
    <x v="353"/>
    <x v="325"/>
    <x v="201"/>
    <x v="202"/>
    <x v="0"/>
  </r>
  <r>
    <x v="1320"/>
    <x v="214"/>
    <x v="29"/>
    <s v="BLOCKED BENZOQUINONES FOR ENERGY STORAGE"/>
    <x v="866"/>
    <s v="09/11/2017"/>
    <x v="0"/>
    <s v=""/>
    <x v="1"/>
    <x v="1"/>
    <x v="201"/>
    <x v="202"/>
    <x v="0"/>
  </r>
  <r>
    <x v="1321"/>
    <x v="214"/>
    <x v="29"/>
    <s v="HIGH PH ORGANIC FLOW BATTERY "/>
    <x v="867"/>
    <s v="09/06/2017"/>
    <x v="0"/>
    <s v=""/>
    <x v="1"/>
    <x v="1"/>
    <x v="201"/>
    <x v="202"/>
    <x v="0"/>
  </r>
  <r>
    <x v="1322"/>
    <x v="214"/>
    <x v="29"/>
    <s v="STRATEGIES FOR MITIGATING DEGRADATION OF ANTHRAQUINONE NEGOLYTES"/>
    <x v="868"/>
    <s v="10/01/2018"/>
    <x v="0"/>
    <s v=""/>
    <x v="1"/>
    <x v="1"/>
    <x v="201"/>
    <x v="202"/>
    <x v="0"/>
  </r>
  <r>
    <x v="1323"/>
    <x v="214"/>
    <x v="29"/>
    <s v="SMALL ORGANIC MOLECULE FLOW BATTERY"/>
    <x v="869"/>
    <s v="08/11/2015"/>
    <x v="0"/>
    <s v=""/>
    <x v="1"/>
    <x v="1"/>
    <x v="201"/>
    <x v="202"/>
    <x v="0"/>
  </r>
  <r>
    <x v="1324"/>
    <x v="214"/>
    <x v="29"/>
    <s v="FERROCENE DERIVATIVES WITH HIGH STABILITY, REDUCTION POTENTIAL, AND WATER SOLUBILITY FOR USE AS ELECTROLYTES IN AQUEOUS REDOX FLO BATTERIES"/>
    <x v="870"/>
    <s v="08/12/2016"/>
    <x v="0"/>
    <s v=""/>
    <x v="1"/>
    <x v="1"/>
    <x v="201"/>
    <x v="202"/>
    <x v="0"/>
  </r>
  <r>
    <x v="1325"/>
    <x v="214"/>
    <x v="29"/>
    <s v="SMALL ORGANIC MOLECULE FLOW BATTERY"/>
    <x v="871"/>
    <s v="03/25/2015"/>
    <x v="0"/>
    <s v=""/>
    <x v="1"/>
    <x v="1"/>
    <x v="201"/>
    <x v="202"/>
    <x v="0"/>
  </r>
  <r>
    <x v="1326"/>
    <x v="214"/>
    <x v="29"/>
    <s v="FLOW BATTERY WITH ELECTROLYTE REBALANCING SYSTEM"/>
    <x v="872"/>
    <s v="01/27/2017"/>
    <x v="0"/>
    <s v=""/>
    <x v="1"/>
    <x v="1"/>
    <x v="201"/>
    <x v="202"/>
    <x v="0"/>
  </r>
  <r>
    <x v="1327"/>
    <x v="214"/>
    <x v="29"/>
    <s v="QUINONE AND HYDROQUINONE BASED FLOW BATTERY"/>
    <x v="1"/>
    <s v=""/>
    <x v="0"/>
    <s v=""/>
    <x v="1"/>
    <x v="1"/>
    <x v="201"/>
    <x v="202"/>
    <x v="0"/>
  </r>
  <r>
    <x v="1328"/>
    <x v="214"/>
    <x v="199"/>
    <s v="NEW MOLECULES FOR FLOW BATTERY"/>
    <x v="1"/>
    <s v=""/>
    <x v="0"/>
    <s v=""/>
    <x v="1"/>
    <x v="1"/>
    <x v="201"/>
    <x v="202"/>
    <x v="0"/>
  </r>
  <r>
    <x v="1329"/>
    <x v="214"/>
    <x v="29"/>
    <s v="AQUEOUS ALLOXAZINE FLOW BATTERY"/>
    <x v="1"/>
    <s v=""/>
    <x v="0"/>
    <s v=""/>
    <x v="1"/>
    <x v="1"/>
    <x v="201"/>
    <x v="202"/>
    <x v="0"/>
  </r>
  <r>
    <x v="1330"/>
    <x v="215"/>
    <x v="41"/>
    <s v="VITEROUS SOLID ELECTROLYTE SHEETS OF LI IION CONDUCTING SULFUR-BASED GLASS AND ASSOCIATED STRTUCTURES, CELLS AND METHODS"/>
    <x v="873"/>
    <s v="12/01/2015"/>
    <x v="0"/>
    <s v=""/>
    <x v="154"/>
    <x v="137"/>
    <x v="33"/>
    <x v="33"/>
    <x v="0"/>
  </r>
  <r>
    <x v="1331"/>
    <x v="215"/>
    <x v="41"/>
    <s v="ELECTROCHEMICAL DEVICE WITH PROTECTIVE MEMBRANE"/>
    <x v="874"/>
    <s v="01/12/2016"/>
    <x v="0"/>
    <s v=""/>
    <x v="1"/>
    <x v="1"/>
    <x v="33"/>
    <x v="33"/>
    <x v="0"/>
  </r>
  <r>
    <x v="1332"/>
    <x v="215"/>
    <x v="41"/>
    <s v="PROTECTED LITHIUM ELECTRODES HAVING A LIQUID ANALYTE RESERVOIR ARCHITECUTRE AND ASSOCIATGED RECHARGEABLE LITHIUM BATTERY CELLS"/>
    <x v="875"/>
    <s v="04/18/2018"/>
    <x v="0"/>
    <s v=""/>
    <x v="1"/>
    <x v="1"/>
    <x v="33"/>
    <x v="33"/>
    <x v="0"/>
  </r>
  <r>
    <x v="1333"/>
    <x v="215"/>
    <x v="41"/>
    <s v="METHODS OF MAKING AND INSPECTING A WEB OF VOTREOUS LITHIUM SULFIDE SEPARAATOR SHEET AND LITHIUM ELECTRODE ASSEMBLIES"/>
    <x v="876"/>
    <s v="10/05/2017"/>
    <x v="0"/>
    <s v=""/>
    <x v="1"/>
    <x v="1"/>
    <x v="33"/>
    <x v="33"/>
    <x v="0"/>
  </r>
  <r>
    <x v="1334"/>
    <x v="215"/>
    <x v="41"/>
    <s v="LITHIUM SULFUR BATTERIES AND ELECTROLYTES AND SULFUR CATHODES THEREOF"/>
    <x v="877"/>
    <s v="04/28/2017"/>
    <x v="0"/>
    <s v=""/>
    <x v="1"/>
    <x v="1"/>
    <x v="33"/>
    <x v="33"/>
    <x v="0"/>
  </r>
  <r>
    <x v="1335"/>
    <x v="215"/>
    <x v="41"/>
    <s v="STANDALONE SULFIDE BASED LITHIUM ION-CONDUCTING GLASS SOLID ELECTROLYTE AND ASSOCIATED STRUCTURES, CELLS AND METHODS"/>
    <x v="878"/>
    <s v="11/30/2015"/>
    <x v="0"/>
    <s v=""/>
    <x v="1"/>
    <x v="1"/>
    <x v="33"/>
    <x v="33"/>
    <x v="0"/>
  </r>
  <r>
    <x v="1336"/>
    <x v="215"/>
    <x v="41"/>
    <s v="VITEROUS SOLID ELECTROLYTE SHEETS OF LI IION CONDUCTING SULFUR-BASED GLASS AND ASSOCIATED STRTUCTURES, CELLS AND METHODS"/>
    <x v="879"/>
    <s v="11/30/2015"/>
    <x v="0"/>
    <s v=""/>
    <x v="1"/>
    <x v="1"/>
    <x v="33"/>
    <x v="33"/>
    <x v="0"/>
  </r>
  <r>
    <x v="1337"/>
    <x v="215"/>
    <x v="41"/>
    <s v="METHODS OF MAKING AND INSPECTING A WEB OF VITEROUS LITHIUM SULFIDE SEPARATOR SHEET AND LITHIUM ELECTRODE ASSEMBLIES"/>
    <x v="880"/>
    <s v="12/15/2016"/>
    <x v="0"/>
    <s v=""/>
    <x v="1"/>
    <x v="1"/>
    <x v="33"/>
    <x v="33"/>
    <x v="0"/>
  </r>
  <r>
    <x v="1338"/>
    <x v="215"/>
    <x v="41"/>
    <s v="SOLID STATE BATTERY"/>
    <x v="876"/>
    <s v="12/15/2016"/>
    <x v="0"/>
    <s v=""/>
    <x v="1"/>
    <x v="1"/>
    <x v="33"/>
    <x v="33"/>
    <x v="0"/>
  </r>
  <r>
    <x v="1339"/>
    <x v="215"/>
    <x v="41"/>
    <s v="PROTECTED LITHIUM ELECTRODES HAVING A POROUS ELECTROLYTE INTERLAYER AND ASSOCIATED BATTERY CELLS"/>
    <x v="881"/>
    <s v="01/15/2014"/>
    <x v="0"/>
    <s v=""/>
    <x v="1"/>
    <x v="1"/>
    <x v="33"/>
    <x v="33"/>
    <x v="0"/>
  </r>
  <r>
    <x v="1340"/>
    <x v="215"/>
    <x v="41"/>
    <s v="PROTECTED LITHIUM ELECTRODES HAVING A LIQUID ANALYTE RESERVOIR ARCHITECUTRE AND ASSOCIATGED RECHARGEABLE LITHIUM BATTERY CELLS"/>
    <x v="882"/>
    <s v="12/09/2014"/>
    <x v="0"/>
    <s v=""/>
    <x v="1"/>
    <x v="1"/>
    <x v="33"/>
    <x v="33"/>
    <x v="0"/>
  </r>
  <r>
    <x v="1341"/>
    <x v="215"/>
    <x v="41"/>
    <s v="AQUEOUS ELECTROLYTE LITHIUM SULFUR BATTERIES"/>
    <x v="883"/>
    <s v="07/17/2014"/>
    <x v="0"/>
    <s v=""/>
    <x v="1"/>
    <x v="1"/>
    <x v="33"/>
    <x v="33"/>
    <x v="0"/>
  </r>
  <r>
    <x v="1342"/>
    <x v="215"/>
    <x v="41"/>
    <s v="ELECTROCHEMICAL DEVICE WITH PROTECTIVE MEMBRANE"/>
    <x v="884"/>
    <s v="07/09/2013"/>
    <x v="273"/>
    <s v="03/15/2016"/>
    <x v="1"/>
    <x v="1"/>
    <x v="33"/>
    <x v="33"/>
    <x v="0"/>
  </r>
  <r>
    <x v="1343"/>
    <x v="215"/>
    <x v="41"/>
    <s v="LITHIUM SULFUR BATTERIES AND ELECTROLYTES AND SULFUR CATHODES THEREOF"/>
    <x v="885"/>
    <s v="03/13/2015"/>
    <x v="274"/>
    <s v="05/23/2017"/>
    <x v="1"/>
    <x v="1"/>
    <x v="33"/>
    <x v="33"/>
    <x v="0"/>
  </r>
  <r>
    <x v="1344"/>
    <x v="215"/>
    <x v="41"/>
    <s v="LITHIUM SULFUR BATTERY WITH HERMETICALLY SEALED ANODE"/>
    <x v="886"/>
    <s v="04/16/2013"/>
    <x v="275"/>
    <s v="04/08/2014"/>
    <x v="1"/>
    <x v="1"/>
    <x v="33"/>
    <x v="33"/>
    <x v="0"/>
  </r>
  <r>
    <x v="1345"/>
    <x v="216"/>
    <x v="200"/>
    <s v="MICROBIAL CONVERSION OF METHANE"/>
    <x v="1"/>
    <s v=""/>
    <x v="0"/>
    <s v=""/>
    <x v="1"/>
    <x v="1"/>
    <x v="202"/>
    <x v="203"/>
    <x v="0"/>
  </r>
  <r>
    <x v="1346"/>
    <x v="216"/>
    <x v="200"/>
    <s v="METHANOTROPHIC BACTERIA"/>
    <x v="887"/>
    <s v="04/18/2016"/>
    <x v="0"/>
    <s v=""/>
    <x v="1"/>
    <x v="1"/>
    <x v="202"/>
    <x v="203"/>
    <x v="0"/>
  </r>
  <r>
    <x v="1347"/>
    <x v="216"/>
    <x v="200"/>
    <s v="BIO-GTL BIOLOGICAL CONVERSION OF NATURAL GAS INTO DIESEL FUEL: OVERALL PROCESS_x000d__x000a__x000d__x000a_"/>
    <x v="888"/>
    <s v="10/20/2014"/>
    <x v="0"/>
    <s v=""/>
    <x v="1"/>
    <x v="1"/>
    <x v="202"/>
    <x v="203"/>
    <x v="0"/>
  </r>
  <r>
    <x v="1348"/>
    <x v="217"/>
    <x v="14"/>
    <s v="NON-TRANSGENIC PLANTS WITH MUTATED GLUTAMATE DECARBOXLASES FOR AGRONOMICX BENEFITS"/>
    <x v="1"/>
    <s v=""/>
    <x v="0"/>
    <s v=""/>
    <x v="1"/>
    <x v="1"/>
    <x v="203"/>
    <x v="204"/>
    <x v="0"/>
  </r>
  <r>
    <x v="1349"/>
    <x v="218"/>
    <x v="83"/>
    <s v="COPPER BASED FLOW BATTERIES"/>
    <x v="889"/>
    <s v="10/26/2015"/>
    <x v="0"/>
    <s v=""/>
    <x v="1"/>
    <x v="1"/>
    <x v="204"/>
    <x v="205"/>
    <x v="0"/>
  </r>
  <r>
    <x v="1350"/>
    <x v="218"/>
    <x v="83"/>
    <s v="COMPOSITE MEMBRANES FOR FLOW BATTERIES"/>
    <x v="890"/>
    <s v="08/27/2018"/>
    <x v="0"/>
    <s v=""/>
    <x v="1"/>
    <x v="1"/>
    <x v="204"/>
    <x v="205"/>
    <x v="0"/>
  </r>
  <r>
    <x v="1351"/>
    <x v="218"/>
    <x v="83"/>
    <s v="IRON FLOW BATTERTY"/>
    <x v="891"/>
    <s v="06/01/2012"/>
    <x v="0"/>
    <s v=""/>
    <x v="354"/>
    <x v="326"/>
    <x v="204"/>
    <x v="205"/>
    <x v="0"/>
  </r>
  <r>
    <x v="1352"/>
    <x v="218"/>
    <x v="83"/>
    <s v="COMPOSITE MEMBRANES FOR FLOW BATTERIES"/>
    <x v="892"/>
    <s v="02/27/2017"/>
    <x v="0"/>
    <s v=""/>
    <x v="78"/>
    <x v="65"/>
    <x v="204"/>
    <x v="205"/>
    <x v="0"/>
  </r>
  <r>
    <x v="1353"/>
    <x v="218"/>
    <x v="83"/>
    <s v="COPPER HALIDE FLOW BATTERIES"/>
    <x v="1"/>
    <s v=""/>
    <x v="0"/>
    <s v=""/>
    <x v="1"/>
    <x v="1"/>
    <x v="204"/>
    <x v="205"/>
    <x v="0"/>
  </r>
  <r>
    <x v="1354"/>
    <x v="218"/>
    <x v="83"/>
    <s v="ELECTROCHEMICAL CELL FOR USE WITH SLURRY ELECTRODES"/>
    <x v="1"/>
    <s v=""/>
    <x v="0"/>
    <s v=""/>
    <x v="1"/>
    <x v="1"/>
    <x v="204"/>
    <x v="205"/>
    <x v="0"/>
  </r>
  <r>
    <x v="1355"/>
    <x v="218"/>
    <x v="83"/>
    <s v="IRON FLOW BATTERTY"/>
    <x v="893"/>
    <s v="04/03/2014"/>
    <x v="276"/>
    <s v="01/31/2017"/>
    <x v="1"/>
    <x v="1"/>
    <x v="204"/>
    <x v="205"/>
    <x v="0"/>
  </r>
  <r>
    <x v="1356"/>
    <x v="218"/>
    <x v="83"/>
    <s v="SEALED AQUEOUS  FLOW BATTERY SYSTEMS WITH IN-TANK REBLANCING"/>
    <x v="1"/>
    <s v=""/>
    <x v="0"/>
    <s v=""/>
    <x v="1"/>
    <x v="1"/>
    <x v="204"/>
    <x v="205"/>
    <x v="0"/>
  </r>
  <r>
    <x v="1357"/>
    <x v="218"/>
    <x v="83"/>
    <s v="IRON FLOW BATTERTY"/>
    <x v="893"/>
    <s v="04/03/2014"/>
    <x v="276"/>
    <s v="01/31/2017"/>
    <x v="1"/>
    <x v="1"/>
    <x v="204"/>
    <x v="205"/>
    <x v="0"/>
  </r>
  <r>
    <x v="1358"/>
    <x v="219"/>
    <x v="5"/>
    <s v="AN INEXPENSIVE METAL-FREE ORGANIC REDOX FLOW BATTERY (ORB) FOR GRID-SCALE STORAGE"/>
    <x v="894"/>
    <s v="07/17/2014"/>
    <x v="277"/>
    <s v="04/04/2017"/>
    <x v="1"/>
    <x v="1"/>
    <x v="84"/>
    <x v="206"/>
    <x v="0"/>
  </r>
  <r>
    <x v="1359"/>
    <x v="219"/>
    <x v="5"/>
    <s v="MATERIALS FOR HIGH-PERFORMANCE AQUEOUS ORGANIC REDOX FLOW BATTERIES"/>
    <x v="1"/>
    <s v=""/>
    <x v="0"/>
    <s v=""/>
    <x v="1"/>
    <x v="1"/>
    <x v="84"/>
    <x v="206"/>
    <x v="0"/>
  </r>
  <r>
    <x v="1360"/>
    <x v="219"/>
    <x v="5"/>
    <s v="MATERIALS FOR HIGH-PERFORMANCE AQUEOUS ORGANIC REDOX FLOW BATTERIES"/>
    <x v="895"/>
    <s v="10/02/2017"/>
    <x v="0"/>
    <s v=""/>
    <x v="1"/>
    <x v="1"/>
    <x v="84"/>
    <x v="206"/>
    <x v="0"/>
  </r>
  <r>
    <x v="1361"/>
    <x v="219"/>
    <x v="5"/>
    <s v="CROSSOVER RESISTANT MATERIALS FOR ORGANIC REDOX FLOW BATTERIES"/>
    <x v="896"/>
    <s v="03/12/2018"/>
    <x v="0"/>
    <s v=""/>
    <x v="307"/>
    <x v="283"/>
    <x v="84"/>
    <x v="206"/>
    <x v="0"/>
  </r>
  <r>
    <x v="1362"/>
    <x v="219"/>
    <x v="5"/>
    <s v=" INEXPENSIVE METAL-FREE ORGANIC REDOX FLOW BATTERY (ORB) FOR GRID-SCALE STORAGE"/>
    <x v="897"/>
    <s v="06/17/2014"/>
    <x v="0"/>
    <s v=""/>
    <x v="264"/>
    <x v="241"/>
    <x v="84"/>
    <x v="206"/>
    <x v="0"/>
  </r>
  <r>
    <x v="1363"/>
    <x v="219"/>
    <x v="5"/>
    <s v="CROSSOVER RESISTANT MATERIALS FOR ORGANIC REDOX FLOW BATTERIES"/>
    <x v="898"/>
    <s v="03/12/2018"/>
    <x v="0"/>
    <s v=""/>
    <x v="1"/>
    <x v="1"/>
    <x v="84"/>
    <x v="206"/>
    <x v="0"/>
  </r>
  <r>
    <x v="1364"/>
    <x v="219"/>
    <x v="5"/>
    <s v="AN INEXPENSIVE METAL-FREE ORGANIC REDOX FLOW BATTERY (ORB) FOR GRID-SCALE STORAGE"/>
    <x v="899"/>
    <s v="03/14/2017"/>
    <x v="0"/>
    <s v=""/>
    <x v="1"/>
    <x v="1"/>
    <x v="84"/>
    <x v="206"/>
    <x v="0"/>
  </r>
  <r>
    <x v="1365"/>
    <x v="219"/>
    <x v="5"/>
    <s v="A NEW STABLE POSITIVE SIDE MATERIAL FOR ALL-ORGANIC FLOW BATTERY"/>
    <x v="900"/>
    <s v="10/16/2018"/>
    <x v="0"/>
    <s v=""/>
    <x v="1"/>
    <x v="1"/>
    <x v="84"/>
    <x v="206"/>
    <x v="0"/>
  </r>
  <r>
    <x v="1366"/>
    <x v="219"/>
    <x v="5"/>
    <s v="MATERIALS FOR HIGH-PERFORMANCE AQUEOUS ORGANIC REDOX FLOW BATTERIES "/>
    <x v="895"/>
    <s v="10/02/2017"/>
    <x v="0"/>
    <s v=""/>
    <x v="1"/>
    <x v="1"/>
    <x v="84"/>
    <x v="206"/>
    <x v="0"/>
  </r>
  <r>
    <x v="1367"/>
    <x v="220"/>
    <x v="43"/>
    <s v="GAS INJECTOR FOR HIGH VOLUME, LOW COST SYSTEM FOR EPITAXIAL SILICON DEPOSITION"/>
    <x v="901"/>
    <s v="12/20/2012"/>
    <x v="0"/>
    <s v=""/>
    <x v="355"/>
    <x v="327"/>
    <x v="205"/>
    <x v="35"/>
    <x v="0"/>
  </r>
  <r>
    <x v="1368"/>
    <x v="220"/>
    <x v="43"/>
    <s v="DOORS FOR HIGH VOLUME, LOW COST SYSTEM FOR EPITAXIAL SILICON DEPOSITION"/>
    <x v="902"/>
    <s v="12/20/2012"/>
    <x v="0"/>
    <s v=""/>
    <x v="356"/>
    <x v="328"/>
    <x v="205"/>
    <x v="35"/>
    <x v="0"/>
  </r>
  <r>
    <x v="1369"/>
    <x v="221"/>
    <x v="24"/>
    <s v="HIGH CAPACITY CORROSION RESISTANT V-BASED METAL HYRIDE ELECTRODES FOR RECHARGEABLE METAL HYDRIDE BATTERIES "/>
    <x v="903"/>
    <s v="06/01/2018"/>
    <x v="0"/>
    <s v=""/>
    <x v="1"/>
    <x v="1"/>
    <x v="206"/>
    <x v="207"/>
    <x v="0"/>
  </r>
  <r>
    <x v="1370"/>
    <x v="221"/>
    <x v="24"/>
    <s v="HIGH CAPACITY V-BASED BCC HYDROGEN STORAGE ALLOYS AS NEGATIVE ELECTRODES FOR AQUEOUS BATTERIES WITH MODIFIED"/>
    <x v="1"/>
    <s v=""/>
    <x v="0"/>
    <s v=""/>
    <x v="1"/>
    <x v="1"/>
    <x v="206"/>
    <x v="207"/>
    <x v="0"/>
  </r>
  <r>
    <x v="1371"/>
    <x v="221"/>
    <x v="24"/>
    <s v="HIGH CAPACITY V-BASED BCC HYDROGEN STORAGE ALLOYS AS NEGATIVE ELECTRODES FOR AQUEOUS BATTERIES WITH MODIFIED"/>
    <x v="1"/>
    <s v=""/>
    <x v="0"/>
    <s v=""/>
    <x v="1"/>
    <x v="1"/>
    <x v="206"/>
    <x v="207"/>
    <x v="0"/>
  </r>
  <r>
    <x v="1372"/>
    <x v="221"/>
    <x v="201"/>
    <s v="METAL HYDRIDE-AIR (MH-AIR) BATTERY FOR LOW COST ENERGY STORAGE APPLICATIONS"/>
    <x v="1"/>
    <s v=""/>
    <x v="0"/>
    <s v=""/>
    <x v="1"/>
    <x v="1"/>
    <x v="206"/>
    <x v="207"/>
    <x v="0"/>
  </r>
  <r>
    <x v="1373"/>
    <x v="222"/>
    <x v="202"/>
    <s v="FOIL REGENERATOR"/>
    <x v="1"/>
    <s v=""/>
    <x v="0"/>
    <s v=""/>
    <x v="1"/>
    <x v="1"/>
    <x v="207"/>
    <x v="208"/>
    <x v="0"/>
  </r>
  <r>
    <x v="1374"/>
    <x v="223"/>
    <x v="203"/>
    <s v="EVAPORATIVE CHILLING SYSTEMS AND METHODS USING A SELECTIVE MEMBRANE"/>
    <x v="1"/>
    <s v=""/>
    <x v="0"/>
    <s v=""/>
    <x v="1"/>
    <x v="1"/>
    <x v="208"/>
    <x v="209"/>
    <x v="0"/>
  </r>
  <r>
    <x v="1375"/>
    <x v="224"/>
    <x v="193"/>
    <s v="GRANULAR BATTERY ASSEMBLY"/>
    <x v="904"/>
    <s v="11/24/2014"/>
    <x v="0"/>
    <s v=""/>
    <x v="1"/>
    <x v="1"/>
    <x v="209"/>
    <x v="210"/>
    <x v="0"/>
  </r>
  <r>
    <x v="1376"/>
    <x v="224"/>
    <x v="193"/>
    <s v="TRUNCATED TETRAHEDRAL BATTERY CELL"/>
    <x v="1"/>
    <s v=""/>
    <x v="0"/>
    <s v=""/>
    <x v="1"/>
    <x v="1"/>
    <x v="209"/>
    <x v="210"/>
    <x v="0"/>
  </r>
  <r>
    <x v="1377"/>
    <x v="224"/>
    <x v="193"/>
    <s v="PORTABLE MECHANICAL IMPACTOR APPARATUS"/>
    <x v="1"/>
    <s v=""/>
    <x v="0"/>
    <s v=""/>
    <x v="1"/>
    <x v="1"/>
    <x v="209"/>
    <x v="210"/>
    <x v="0"/>
  </r>
  <r>
    <x v="1378"/>
    <x v="224"/>
    <x v="193"/>
    <s v="IMPACT RESISTANT BATTERY ENCLOSURE SYSTEMS"/>
    <x v="1"/>
    <s v=""/>
    <x v="0"/>
    <s v=""/>
    <x v="1"/>
    <x v="1"/>
    <x v="209"/>
    <x v="210"/>
    <x v="0"/>
  </r>
  <r>
    <x v="1379"/>
    <x v="224"/>
    <x v="193"/>
    <s v="CELLULAR BATTERY SYSTEM (CBA)"/>
    <x v="1"/>
    <s v=""/>
    <x v="0"/>
    <s v=""/>
    <x v="1"/>
    <x v="1"/>
    <x v="209"/>
    <x v="210"/>
    <x v="0"/>
  </r>
  <r>
    <x v="1380"/>
    <x v="224"/>
    <x v="193"/>
    <s v="CRUSHABLE COOLING COLUMN FOR GRANULAR BATTERY ASSEMBLY (GBA) IN ELECTRIC VEHICLE"/>
    <x v="1"/>
    <s v=""/>
    <x v="0"/>
    <s v=""/>
    <x v="1"/>
    <x v="1"/>
    <x v="209"/>
    <x v="210"/>
    <x v="0"/>
  </r>
  <r>
    <x v="1381"/>
    <x v="224"/>
    <x v="193"/>
    <s v="IMPACT MECHANICS OF TOPOLOGICALLY INTERLOCKED MATERIAL ASSEMBLIES"/>
    <x v="1"/>
    <s v=""/>
    <x v="0"/>
    <s v=""/>
    <x v="1"/>
    <x v="1"/>
    <x v="209"/>
    <x v="210"/>
    <x v="0"/>
  </r>
  <r>
    <x v="1382"/>
    <x v="224"/>
    <x v="193"/>
    <s v="BREAK-AWAY BUSBAR CURRENT INTERRUPT DEVICE"/>
    <x v="1"/>
    <s v=""/>
    <x v="0"/>
    <s v=""/>
    <x v="1"/>
    <x v="1"/>
    <x v="209"/>
    <x v="210"/>
    <x v="0"/>
  </r>
  <r>
    <x v="1383"/>
    <x v="225"/>
    <x v="204"/>
    <s v="ELECTROCHEMICAL ENERGY STORAGE DEVICE BASED ON COMPRESSED GAS ELECTROLYTES"/>
    <x v="905"/>
    <s v="05/13/2016"/>
    <x v="0"/>
    <s v=""/>
    <x v="1"/>
    <x v="1"/>
    <x v="210"/>
    <x v="211"/>
    <x v="0"/>
  </r>
  <r>
    <x v="1384"/>
    <x v="226"/>
    <x v="100"/>
    <s v="RECHARGEABLE ALKALINE BATTERY USING ORGANIC MATERIALS AS A NEGATIVE ELECTRODE"/>
    <x v="1"/>
    <s v=""/>
    <x v="0"/>
    <s v=""/>
    <x v="1"/>
    <x v="1"/>
    <x v="211"/>
    <x v="212"/>
    <x v="0"/>
  </r>
  <r>
    <x v="1385"/>
    <x v="226"/>
    <x v="100"/>
    <s v="Aqueous Energy Storage Devices with Organic Electrode Materials "/>
    <x v="906"/>
    <s v="04/10/2014"/>
    <x v="0"/>
    <s v=""/>
    <x v="1"/>
    <x v="1"/>
    <x v="211"/>
    <x v="212"/>
    <x v="0"/>
  </r>
  <r>
    <x v="1386"/>
    <x v="227"/>
    <x v="140"/>
    <s v="DENDRITE FREE ZINC ELECTRODEPOSITION"/>
    <x v="907"/>
    <s v="02/19/2016"/>
    <x v="0"/>
    <s v=""/>
    <x v="1"/>
    <x v="1"/>
    <x v="212"/>
    <x v="213"/>
    <x v="0"/>
  </r>
  <r>
    <x v="1387"/>
    <x v="227"/>
    <x v="86"/>
    <s v="FLOW BATTERY POWER STACK ASSEMBLY"/>
    <x v="1"/>
    <s v=""/>
    <x v="0"/>
    <s v=""/>
    <x v="1"/>
    <x v="1"/>
    <x v="212"/>
    <x v="213"/>
    <x v="0"/>
  </r>
  <r>
    <x v="1388"/>
    <x v="227"/>
    <x v="140"/>
    <s v="ZINC-BASED ELECTROLYTE COMPOSITIONS,AND RELATED ELECTROCHEMICAL PROCESSES AND ARTICLES"/>
    <x v="908"/>
    <s v="05/22/2015"/>
    <x v="278"/>
    <s v="02/20/2018"/>
    <x v="1"/>
    <x v="1"/>
    <x v="212"/>
    <x v="213"/>
    <x v="0"/>
  </r>
  <r>
    <x v="1389"/>
    <x v="227"/>
    <x v="86"/>
    <s v="ZINC SALT SOLUTIONS OF HIGH CONCENTRATION AND NEUTRAL pH"/>
    <x v="1"/>
    <s v=""/>
    <x v="0"/>
    <s v=""/>
    <x v="1"/>
    <x v="1"/>
    <x v="212"/>
    <x v="213"/>
    <x v="0"/>
  </r>
  <r>
    <x v="1390"/>
    <x v="228"/>
    <x v="205"/>
    <s v="LOW COST RECHARGEABLE BATTERY AND METHOD FOR MAKING THE SAME"/>
    <x v="909"/>
    <s v="10/22/2014"/>
    <x v="0"/>
    <s v=""/>
    <x v="1"/>
    <x v="1"/>
    <x v="213"/>
    <x v="214"/>
    <x v="0"/>
  </r>
  <r>
    <x v="1391"/>
    <x v="228"/>
    <x v="205"/>
    <s v="LOW COST  BATTERY AND METHOD FOR MAKING THE SAME"/>
    <x v="910"/>
    <s v="03/29/2017"/>
    <x v="0"/>
    <s v=""/>
    <x v="1"/>
    <x v="1"/>
    <x v="213"/>
    <x v="214"/>
    <x v="0"/>
  </r>
  <r>
    <x v="1392"/>
    <x v="229"/>
    <x v="92"/>
    <s v="SANDWICH PANELS WITH BATTERY CORES"/>
    <x v="911"/>
    <s v="11/26/2014"/>
    <x v="0"/>
    <s v=""/>
    <x v="152"/>
    <x v="135"/>
    <x v="214"/>
    <x v="215"/>
    <x v="0"/>
  </r>
  <r>
    <x v="1393"/>
    <x v="229"/>
    <x v="92"/>
    <s v="SANDWICH PANELS WITH BATTERY CORES"/>
    <x v="912"/>
    <s v="07/14/2016"/>
    <x v="0"/>
    <s v=""/>
    <x v="1"/>
    <x v="1"/>
    <x v="214"/>
    <x v="215"/>
    <x v="0"/>
  </r>
  <r>
    <x v="1394"/>
    <x v="230"/>
    <x v="94"/>
    <s v="STRUCTURALLY INTEGRATED BATTERIES"/>
    <x v="1"/>
    <s v=""/>
    <x v="0"/>
    <s v=""/>
    <x v="1"/>
    <x v="1"/>
    <x v="62"/>
    <x v="62"/>
    <x v="0"/>
  </r>
  <r>
    <x v="1395"/>
    <x v="230"/>
    <x v="94"/>
    <s v="OPTIMIZATION OF LI CONTENT IN GARNET ELECTROLYTES"/>
    <x v="1"/>
    <s v=""/>
    <x v="0"/>
    <s v=""/>
    <x v="1"/>
    <x v="1"/>
    <x v="62"/>
    <x v="62"/>
    <x v="0"/>
  </r>
  <r>
    <x v="1396"/>
    <x v="230"/>
    <x v="94"/>
    <s v="LITHIUM METAL ANODE WITH THREE-DIMENSIONAL GARNET TRILAYER FRAMEWORK AND BATTERY OF THE SAME METHOD"/>
    <x v="1"/>
    <s v=""/>
    <x v="0"/>
    <s v=""/>
    <x v="1"/>
    <x v="1"/>
    <x v="62"/>
    <x v="62"/>
    <x v="0"/>
  </r>
  <r>
    <x v="1397"/>
    <x v="230"/>
    <x v="94"/>
    <s v="INTERFACIL LAYERS FOR SOLID-STATE BATTERIES AND METHODS OF MAKING SAME"/>
    <x v="913"/>
    <s v="04/27/2017"/>
    <x v="0"/>
    <s v=""/>
    <x v="1"/>
    <x v="1"/>
    <x v="62"/>
    <x v="62"/>
    <x v="0"/>
  </r>
  <r>
    <x v="1398"/>
    <x v="230"/>
    <x v="94"/>
    <s v="INTERFACIL LAYERS FOR SOLID-STATE BATTERIES AND METHODS OF MAKING SAME"/>
    <x v="913"/>
    <s v="04/27/2017"/>
    <x v="0"/>
    <s v=""/>
    <x v="1"/>
    <x v="1"/>
    <x v="62"/>
    <x v="62"/>
    <x v="0"/>
  </r>
  <r>
    <x v="1399"/>
    <x v="230"/>
    <x v="94"/>
    <s v="IMPROVED HIGH VOLTAGE CATHODE BY CHLORINE DOPING"/>
    <x v="914"/>
    <s v="04/05/2017"/>
    <x v="0"/>
    <s v=""/>
    <x v="1"/>
    <x v="1"/>
    <x v="62"/>
    <x v="62"/>
    <x v="0"/>
  </r>
  <r>
    <x v="1400"/>
    <x v="230"/>
    <x v="94"/>
    <s v="CONTROLLED FABRICATION OF MULTILAYER CERAMIC IONIC CONDUCTOR"/>
    <x v="915"/>
    <s v="11/30/2016"/>
    <x v="0"/>
    <s v=""/>
    <x v="1"/>
    <x v="1"/>
    <x v="62"/>
    <x v="62"/>
    <x v="0"/>
  </r>
  <r>
    <x v="1401"/>
    <x v="231"/>
    <x v="206"/>
    <s v="METAL HYDRIDE COMPOSITIONS AND LITHIUM ION BATTERIES"/>
    <x v="916"/>
    <s v="04/22/2015"/>
    <x v="0"/>
    <s v=""/>
    <x v="1"/>
    <x v="1"/>
    <x v="215"/>
    <x v="216"/>
    <x v="0"/>
  </r>
  <r>
    <x v="1402"/>
    <x v="231"/>
    <x v="206"/>
    <s v="ELECTROCHEMICAL HYDROGEN STORAGE ELECTRODES AND CELLS"/>
    <x v="917"/>
    <s v="04/29/2016"/>
    <x v="0"/>
    <s v=""/>
    <x v="1"/>
    <x v="1"/>
    <x v="215"/>
    <x v="216"/>
    <x v="0"/>
  </r>
  <r>
    <x v="1403"/>
    <x v="231"/>
    <x v="206"/>
    <s v="ELECTROLYTE COMPOSITIONS COMPRISING IONIC LIQUIDS AND METAL HYDRIDE BATTERIES COMPRISING SAME"/>
    <x v="918"/>
    <s v="03/26/2015"/>
    <x v="0"/>
    <s v=""/>
    <x v="1"/>
    <x v="1"/>
    <x v="215"/>
    <x v="216"/>
    <x v="0"/>
  </r>
  <r>
    <x v="1404"/>
    <x v="231"/>
    <x v="206"/>
    <s v="ALKALINE AND NON-AQUEOUS PROTON-CONDUCTING POUCH-CELL BATTERIES"/>
    <x v="919"/>
    <s v="02/06/2015"/>
    <x v="279"/>
    <s v="01/02/2018"/>
    <x v="1"/>
    <x v="1"/>
    <x v="215"/>
    <x v="216"/>
    <x v="0"/>
  </r>
  <r>
    <x v="1405"/>
    <x v="231"/>
    <x v="206"/>
    <s v="HIGHLY DISORDERED, HIGH CAPACITY, AND HIGH RATE METAL HYDRIDE ALLOY FOR ELECTROCHEMICAL APPLICATIONS"/>
    <x v="1"/>
    <s v=""/>
    <x v="0"/>
    <s v=""/>
    <x v="1"/>
    <x v="1"/>
    <x v="215"/>
    <x v="216"/>
    <x v="0"/>
  </r>
  <r>
    <x v="1406"/>
    <x v="231"/>
    <x v="206"/>
    <s v="NICKEL HYDROXIDE POSITIVE ELECTRODE FOR ALKALINE RECHARGEABLE BATTERY"/>
    <x v="920"/>
    <s v="02/05/2015"/>
    <x v="280"/>
    <s v="04/03/2018"/>
    <x v="1"/>
    <x v="1"/>
    <x v="215"/>
    <x v="216"/>
    <x v="0"/>
  </r>
  <r>
    <x v="1407"/>
    <x v="231"/>
    <x v="206"/>
    <s v="ENGINEERED CORE-SHELL STRUCTURE FROM SINGLE-REACTOR"/>
    <x v="1"/>
    <s v=""/>
    <x v="0"/>
    <s v=""/>
    <x v="1"/>
    <x v="1"/>
    <x v="215"/>
    <x v="216"/>
    <x v="0"/>
  </r>
  <r>
    <x v="1408"/>
    <x v="231"/>
    <x v="206"/>
    <s v="NEW CATALYTIC PHASE FOR ELECTROCHEMICAL APPLICATION OF BCC ALLOYS"/>
    <x v="1"/>
    <s v=""/>
    <x v="0"/>
    <s v=""/>
    <x v="1"/>
    <x v="1"/>
    <x v="215"/>
    <x v="216"/>
    <x v="0"/>
  </r>
  <r>
    <x v="1409"/>
    <x v="231"/>
    <x v="206"/>
    <s v="METAL HYDRIDE COMPOSITIONS AND LITHIUM ION BATTERIES"/>
    <x v="921"/>
    <s v="04/22/2015"/>
    <x v="281"/>
    <s v="04/24/2018"/>
    <x v="1"/>
    <x v="1"/>
    <x v="215"/>
    <x v="216"/>
    <x v="0"/>
  </r>
  <r>
    <x v="1410"/>
    <x v="231"/>
    <x v="206"/>
    <s v="IMPROVEMENT IN CORROSION NATURE OF ELECTROLYTE IN ALKALINE BATTERY"/>
    <x v="1"/>
    <s v=""/>
    <x v="0"/>
    <s v=""/>
    <x v="1"/>
    <x v="1"/>
    <x v="215"/>
    <x v="216"/>
    <x v="0"/>
  </r>
  <r>
    <x v="1411"/>
    <x v="231"/>
    <x v="206"/>
    <s v="SALT ADDITIVES IN ALKALINE ELECTROLYTE"/>
    <x v="1"/>
    <s v=""/>
    <x v="0"/>
    <s v=""/>
    <x v="1"/>
    <x v="1"/>
    <x v="215"/>
    <x v="216"/>
    <x v="0"/>
  </r>
  <r>
    <x v="1412"/>
    <x v="231"/>
    <x v="206"/>
    <s v="DISORDERED ANODES FOR NI-METAL RECHARGEABLE BATTERY"/>
    <x v="922"/>
    <s v="01/23/2015"/>
    <x v="282"/>
    <s v="11/22/2016"/>
    <x v="1"/>
    <x v="1"/>
    <x v="215"/>
    <x v="216"/>
    <x v="0"/>
  </r>
  <r>
    <x v="1413"/>
    <x v="231"/>
    <x v="206"/>
    <s v="ACTIVATION OF LAVES PHASE-RELATED BCC METAL HYDRIDE ALLOY FOR ELECTROCHEMICAL APPLICATIONS"/>
    <x v="923"/>
    <s v="07/25/2014"/>
    <x v="283"/>
    <s v="09/19/2017"/>
    <x v="1"/>
    <x v="1"/>
    <x v="215"/>
    <x v="216"/>
    <x v="0"/>
  </r>
  <r>
    <x v="1414"/>
    <x v="231"/>
    <x v="206"/>
    <s v="CYCLE LIFE METAL HYDRIDE CELLS WAS GREATLY IMPROVED VIA HEAT TREATMENTS OF NICKEL HYDROXIDE ELECTRODES"/>
    <x v="1"/>
    <s v=""/>
    <x v="0"/>
    <s v=""/>
    <x v="1"/>
    <x v="1"/>
    <x v="215"/>
    <x v="216"/>
    <x v="0"/>
  </r>
  <r>
    <x v="1415"/>
    <x v="231"/>
    <x v="206"/>
    <s v="MONO-VALENCE NICKEL HYDROXIDE USED IN ALKALINE RECHARGEABLE BATTERY"/>
    <x v="1"/>
    <s v=""/>
    <x v="0"/>
    <s v=""/>
    <x v="1"/>
    <x v="1"/>
    <x v="215"/>
    <x v="216"/>
    <x v="0"/>
  </r>
  <r>
    <x v="1416"/>
    <x v="232"/>
    <x v="94"/>
    <s v="HIGH ENERGY AQUEOUS ELECTROCHEMICAL CAPACITORS USING WATER-IN-SALT ELECTROLYTES"/>
    <x v="1"/>
    <s v=""/>
    <x v="0"/>
    <s v=""/>
    <x v="1"/>
    <x v="1"/>
    <x v="216"/>
    <x v="217"/>
    <x v="0"/>
  </r>
  <r>
    <x v="1417"/>
    <x v="232"/>
    <x v="94"/>
    <s v="A HIGH ENERGY AQUEOUS BATTERY SYSTEM WITH AN EXCEPTIONALLY WIDE OPERATION TEMPERATURE FROM -100 TO +100c "/>
    <x v="1"/>
    <s v=""/>
    <x v="0"/>
    <s v=""/>
    <x v="1"/>
    <x v="1"/>
    <x v="216"/>
    <x v="217"/>
    <x v="0"/>
  </r>
  <r>
    <x v="1418"/>
    <x v="232"/>
    <x v="94"/>
    <s v="HIGH VOLTAGE AQUEOUS ELECTROLYTE SYSTEM FOR LITHIUM METAL OR GRAPHITE ANODE"/>
    <x v="924"/>
    <s v="08/25/2017"/>
    <x v="0"/>
    <s v=""/>
    <x v="1"/>
    <x v="1"/>
    <x v="216"/>
    <x v="217"/>
    <x v="0"/>
  </r>
  <r>
    <x v="1419"/>
    <x v="232"/>
    <x v="94"/>
    <s v="STABLIZATION OF CATHODE BY ELECTROCHEMICAL OXIDATIVE ADDITIVIES IN AQUEOUS ALKAI-ION BATTERIES"/>
    <x v="925"/>
    <s v="12/20/2016"/>
    <x v="0"/>
    <s v=""/>
    <x v="1"/>
    <x v="1"/>
    <x v="216"/>
    <x v="217"/>
    <x v="0"/>
  </r>
  <r>
    <x v="1420"/>
    <x v="232"/>
    <x v="94"/>
    <s v="STABLIZATION OF CATHODE BY ELECTROCHEMICAL OXIDATIVE ADDITIVIES IN AQUEOUS ALKAI-ION BATTERIES"/>
    <x v="926"/>
    <s v="12/20/2017"/>
    <x v="0"/>
    <s v=""/>
    <x v="357"/>
    <x v="329"/>
    <x v="216"/>
    <x v="217"/>
    <x v="0"/>
  </r>
  <r>
    <x v="1421"/>
    <x v="232"/>
    <x v="94"/>
    <s v="HIGH ENERGY AQUEOUS LI-ION BATTERY ENABLED BY HALOGEN CONVERSION-INTERCALATION CHEMISTRY IN GRAPHITE"/>
    <x v="927"/>
    <s v="03/06/2019"/>
    <x v="0"/>
    <s v=""/>
    <x v="1"/>
    <x v="1"/>
    <x v="216"/>
    <x v="217"/>
    <x v="0"/>
  </r>
  <r>
    <x v="1422"/>
    <x v="232"/>
    <x v="94"/>
    <s v="RECHARGEABLE ZINC-AIR BATTERY USING THE CONCENTRATED NEUTRAL ELECTROLYTE"/>
    <x v="928"/>
    <s v="03/20/2018"/>
    <x v="0"/>
    <s v=""/>
    <x v="1"/>
    <x v="1"/>
    <x v="216"/>
    <x v="217"/>
    <x v="0"/>
  </r>
  <r>
    <x v="1423"/>
    <x v="232"/>
    <x v="94"/>
    <s v="RECHARGEABLE ZINC-AIR BATTERY USING THE CONCENTRATED NEUTRAL ELECTROLYTE"/>
    <x v="929"/>
    <s v="03/20/2019"/>
    <x v="0"/>
    <s v=""/>
    <x v="136"/>
    <x v="120"/>
    <x v="216"/>
    <x v="217"/>
    <x v="0"/>
  </r>
  <r>
    <x v="1424"/>
    <x v="232"/>
    <x v="94"/>
    <s v="AQUEOUS AND HYBRID ELECTROLUTES WITH WIDE ELECTROCHEMICAL STABILITY WINDOWS"/>
    <x v="930"/>
    <s v="03/27/2018"/>
    <x v="0"/>
    <s v=""/>
    <x v="1"/>
    <x v="1"/>
    <x v="216"/>
    <x v="217"/>
    <x v="0"/>
  </r>
  <r>
    <x v="1425"/>
    <x v="232"/>
    <x v="94"/>
    <s v="AQUEOUS AND HYBRID ELECTROLUTES WITH WIDE ELECTROCHEMICAL STABILITY WINDOWS"/>
    <x v="931"/>
    <s v="09/28/2016"/>
    <x v="0"/>
    <s v=""/>
    <x v="137"/>
    <x v="121"/>
    <x v="216"/>
    <x v="217"/>
    <x v="0"/>
  </r>
  <r>
    <x v="1426"/>
    <x v="233"/>
    <x v="207"/>
    <s v="OVERCHARGE ELECTRICAL DISCONNECT FEATURE"/>
    <x v="932"/>
    <s v="12/13/2017"/>
    <x v="0"/>
    <s v=""/>
    <x v="1"/>
    <x v="1"/>
    <x v="217"/>
    <x v="218"/>
    <x v="0"/>
  </r>
  <r>
    <x v="1427"/>
    <x v="233"/>
    <x v="207"/>
    <s v="LITHIUM ION BATTERIES WITH MODULAR BUS BAR ASSEMBLIES"/>
    <x v="933"/>
    <s v="07/31/2018"/>
    <x v="0"/>
    <s v=""/>
    <x v="1"/>
    <x v="1"/>
    <x v="217"/>
    <x v="218"/>
    <x v="0"/>
  </r>
  <r>
    <x v="1428"/>
    <x v="233"/>
    <x v="207"/>
    <s v="LITHIUM ION BATTERIES WITH MODULAR BUS BAR ASSEMBLIES"/>
    <x v="934"/>
    <s v="07/31/2018"/>
    <x v="0"/>
    <s v=""/>
    <x v="1"/>
    <x v="1"/>
    <x v="217"/>
    <x v="218"/>
    <x v="0"/>
  </r>
  <r>
    <x v="1429"/>
    <x v="233"/>
    <x v="207"/>
    <s v="LITHIUM ION BATTERERY"/>
    <x v="935"/>
    <s v="06/07/2017"/>
    <x v="0"/>
    <s v=""/>
    <x v="1"/>
    <x v="1"/>
    <x v="217"/>
    <x v="218"/>
    <x v="0"/>
  </r>
  <r>
    <x v="1430"/>
    <x v="233"/>
    <x v="207"/>
    <s v="LITHIUM ION BATTERERY"/>
    <x v="936"/>
    <s v="12/05/2017"/>
    <x v="0"/>
    <s v=""/>
    <x v="1"/>
    <x v="1"/>
    <x v="217"/>
    <x v="218"/>
    <x v="0"/>
  </r>
  <r>
    <x v="1431"/>
    <x v="233"/>
    <x v="207"/>
    <s v="LITHIUM ION BATTERY"/>
    <x v="937"/>
    <s v="03/20/2018"/>
    <x v="0"/>
    <s v=""/>
    <x v="1"/>
    <x v="1"/>
    <x v="217"/>
    <x v="218"/>
    <x v="0"/>
  </r>
  <r>
    <x v="1432"/>
    <x v="233"/>
    <x v="207"/>
    <s v="LOW PROFILE PRESSURE DISCONNECT DEVICE FOR LITHIUM ION BATTERIES"/>
    <x v="938"/>
    <s v="09/28/2017"/>
    <x v="0"/>
    <s v=""/>
    <x v="1"/>
    <x v="1"/>
    <x v="217"/>
    <x v="218"/>
    <x v="0"/>
  </r>
  <r>
    <x v="1433"/>
    <x v="233"/>
    <x v="207"/>
    <s v="D&amp;I CAN CONCEPTS FOR Li ION BATTERIES IN AUTO CELLS"/>
    <x v="939"/>
    <s v=""/>
    <x v="0"/>
    <s v=""/>
    <x v="1"/>
    <x v="1"/>
    <x v="217"/>
    <x v="218"/>
    <x v="0"/>
  </r>
  <r>
    <x v="1434"/>
    <x v="233"/>
    <x v="207"/>
    <s v="CURRENT VENT/PRESSURE DISCONNECT DEVICE SYSTEM FOR LI-ION BATTERIES"/>
    <x v="940"/>
    <s v="09/15/2016"/>
    <x v="0"/>
    <s v=""/>
    <x v="1"/>
    <x v="1"/>
    <x v="217"/>
    <x v="218"/>
    <x v="0"/>
  </r>
  <r>
    <x v="1435"/>
    <x v="233"/>
    <x v="207"/>
    <s v="CURRENT INTERUPT AND VENT SYSTEMS FOR L-ION BATTERIES"/>
    <x v="941"/>
    <s v=""/>
    <x v="0"/>
    <s v=""/>
    <x v="1"/>
    <x v="1"/>
    <x v="217"/>
    <x v="218"/>
    <x v="0"/>
  </r>
  <r>
    <x v="1436"/>
    <x v="233"/>
    <x v="207"/>
    <s v="PASSIVE INSULTATION MATERIALS"/>
    <x v="942"/>
    <s v=""/>
    <x v="0"/>
    <s v=""/>
    <x v="1"/>
    <x v="1"/>
    <x v="217"/>
    <x v="218"/>
    <x v="0"/>
  </r>
  <r>
    <x v="1437"/>
    <x v="233"/>
    <x v="207"/>
    <s v="ELECTROCHEMICAL CELL WITH ENHANCED SAFETY"/>
    <x v="943"/>
    <s v="01/26/2015"/>
    <x v="0"/>
    <s v=""/>
    <x v="1"/>
    <x v="1"/>
    <x v="217"/>
    <x v="218"/>
    <x v="0"/>
  </r>
  <r>
    <x v="1438"/>
    <x v="233"/>
    <x v="207"/>
    <s v="LITHIUM ION BATTERY WITH MODULAR BUS BAR ASSMBLIES"/>
    <x v="1"/>
    <s v=""/>
    <x v="0"/>
    <s v=""/>
    <x v="1"/>
    <x v="1"/>
    <x v="217"/>
    <x v="218"/>
    <x v="0"/>
  </r>
  <r>
    <x v="1439"/>
    <x v="233"/>
    <x v="207"/>
    <s v="LITHIUM ION BATTERERY"/>
    <x v="944"/>
    <s v="06/07/2017"/>
    <x v="284"/>
    <s v="06/22/2017"/>
    <x v="1"/>
    <x v="1"/>
    <x v="217"/>
    <x v="218"/>
    <x v="0"/>
  </r>
  <r>
    <x v="1440"/>
    <x v="233"/>
    <x v="207"/>
    <s v="LITHIUM ION BATTERERY"/>
    <x v="945"/>
    <s v="10/11/2013"/>
    <x v="285"/>
    <s v="06/20/2017"/>
    <x v="1"/>
    <x v="1"/>
    <x v="217"/>
    <x v="218"/>
    <x v="0"/>
  </r>
  <r>
    <x v="1441"/>
    <x v="233"/>
    <x v="207"/>
    <s v="LITHIUM ION BATTERY"/>
    <x v="1"/>
    <s v=""/>
    <x v="0"/>
    <s v=""/>
    <x v="1"/>
    <x v="1"/>
    <x v="217"/>
    <x v="218"/>
    <x v="0"/>
  </r>
  <r>
    <x v="1442"/>
    <x v="233"/>
    <x v="208"/>
    <s v="RUGGED ENCLOSURE FOR MULTIPLE LI ION BATTERIES"/>
    <x v="1"/>
    <s v=""/>
    <x v="0"/>
    <s v=""/>
    <x v="1"/>
    <x v="1"/>
    <x v="217"/>
    <x v="218"/>
    <x v="0"/>
  </r>
  <r>
    <x v="1443"/>
    <x v="233"/>
    <x v="207"/>
    <s v="LITHIUM ION BATTERY WITH THERMAL RUNAWAY PROTECTION"/>
    <x v="1"/>
    <s v=""/>
    <x v="0"/>
    <s v=""/>
    <x v="1"/>
    <x v="1"/>
    <x v="217"/>
    <x v="218"/>
    <x v="0"/>
  </r>
  <r>
    <x v="1444"/>
    <x v="233"/>
    <x v="207"/>
    <s v="LITHIUM ION BATTERY WITH THERMAL RUNAWAY PROTECTION 2"/>
    <x v="1"/>
    <s v=""/>
    <x v="0"/>
    <s v=""/>
    <x v="1"/>
    <x v="1"/>
    <x v="217"/>
    <x v="218"/>
    <x v="0"/>
  </r>
  <r>
    <x v="1445"/>
    <x v="234"/>
    <x v="209"/>
    <s v="DESIGN OF MULTIFUNCTIONAL STRUCTURAL BATTERIES WITH HEALTH MONITORING CAPABILITIES"/>
    <x v="946"/>
    <s v="06/21/2016"/>
    <x v="0"/>
    <s v=""/>
    <x v="1"/>
    <x v="1"/>
    <x v="218"/>
    <x v="219"/>
    <x v="0"/>
  </r>
  <r>
    <x v="1446"/>
    <x v="234"/>
    <x v="209"/>
    <s v="ROBUST MULTIFUNCTIONAL STRUCTURAL BATTERY CHASSIS FOR AUTOMOTIVE APPLICATIONS"/>
    <x v="1"/>
    <s v=""/>
    <x v="0"/>
    <s v=""/>
    <x v="1"/>
    <x v="1"/>
    <x v="218"/>
    <x v="219"/>
    <x v="0"/>
  </r>
  <r>
    <x v="1447"/>
    <x v="234"/>
    <x v="209"/>
    <s v="USE OF STICKY SEPARATOR FOR EASE OF ALIGNING ELECTRODE LAYERS IN STRUCTURAL BATTERIES WHICH"/>
    <x v="1"/>
    <s v=""/>
    <x v="0"/>
    <s v=""/>
    <x v="1"/>
    <x v="1"/>
    <x v="218"/>
    <x v="219"/>
    <x v="0"/>
  </r>
  <r>
    <x v="1448"/>
    <x v="234"/>
    <x v="209"/>
    <s v="SYSTEM INTEGRATION METHOD AND TECHNIQUE OF CONFIGURING MULTIFUNCTIONAL BATTERY CELLS"/>
    <x v="1"/>
    <s v=""/>
    <x v="0"/>
    <s v=""/>
    <x v="1"/>
    <x v="1"/>
    <x v="218"/>
    <x v="219"/>
    <x v="0"/>
  </r>
  <r>
    <x v="1449"/>
    <x v="234"/>
    <x v="209"/>
    <s v="CELL-LEVEL INTERLOCKING AND EXPANSION CONTROL FOR LI-ION BATTERY CYCLE LIFE IMPROVEMENT"/>
    <x v="1"/>
    <s v=""/>
    <x v="0"/>
    <s v=""/>
    <x v="1"/>
    <x v="1"/>
    <x v="218"/>
    <x v="219"/>
    <x v="0"/>
  </r>
  <r>
    <x v="1450"/>
    <x v="234"/>
    <x v="209"/>
    <s v="MESC OPTIMAL RIVET DISTRIBUTION PATTERN"/>
    <x v="1"/>
    <s v=""/>
    <x v="0"/>
    <s v=""/>
    <x v="1"/>
    <x v="1"/>
    <x v="218"/>
    <x v="219"/>
    <x v="0"/>
  </r>
  <r>
    <x v="1451"/>
    <x v="234"/>
    <x v="209"/>
    <s v="STRAIN-BASED MONITORING OF STATE OF CHARGE AND STATE OF HEALTH OF INTERCALATION BATTERIES"/>
    <x v="1"/>
    <s v=""/>
    <x v="0"/>
    <s v=""/>
    <x v="1"/>
    <x v="1"/>
    <x v="218"/>
    <x v="219"/>
    <x v="0"/>
  </r>
  <r>
    <x v="1452"/>
    <x v="235"/>
    <x v="117"/>
    <s v="MITIGATING THERMAL RUNAWAY IN LITHIUM ION BATTERIES USING DAMAGE-INITIATING MATERIALS OR DEVICES"/>
    <x v="947"/>
    <s v="11/24/2017"/>
    <x v="0"/>
    <s v=""/>
    <x v="131"/>
    <x v="115"/>
    <x v="219"/>
    <x v="220"/>
    <x v="0"/>
  </r>
  <r>
    <x v="1453"/>
    <x v="235"/>
    <x v="117"/>
    <s v="MODIFIED CHARGE COLLECTORS AND CELL CASES FOR ENHANCED BATTERY-CELL ROBUSTNESS"/>
    <x v="948"/>
    <s v="07/27/2017"/>
    <x v="0"/>
    <s v=""/>
    <x v="243"/>
    <x v="220"/>
    <x v="219"/>
    <x v="220"/>
    <x v="0"/>
  </r>
  <r>
    <x v="1454"/>
    <x v="235"/>
    <x v="117"/>
    <s v="RATE-SENSTITIVE AND SELF-RELEASING BATTEY CELLS AND BATTERY-CELL STRUCTURES AS STRUCTURAL AND/OR ENERGY-ABSORBING VEHICLE COMPONENTS"/>
    <x v="949"/>
    <s v="06/05/2014"/>
    <x v="0"/>
    <s v=""/>
    <x v="59"/>
    <x v="48"/>
    <x v="219"/>
    <x v="220"/>
    <x v="0"/>
  </r>
  <r>
    <x v="1455"/>
    <x v="235"/>
    <x v="117"/>
    <s v="MITIGATING THERMAL RUNAWAY IN LITHIUM ION BATTERIES USING DAMAGE-INITIATING MATERIALS OR DEVICES"/>
    <x v="950"/>
    <s v="06/05/2014"/>
    <x v="0"/>
    <s v=""/>
    <x v="358"/>
    <x v="330"/>
    <x v="219"/>
    <x v="220"/>
    <x v="0"/>
  </r>
  <r>
    <x v="1456"/>
    <x v="235"/>
    <x v="117"/>
    <s v="MODIFIED CHARGE COLLECTORS AND CELL CASES FOR ENHANCED BATTERY-CELL ROBUSTNESS"/>
    <x v="951"/>
    <s v="01/29/2016"/>
    <x v="0"/>
    <s v=""/>
    <x v="60"/>
    <x v="49"/>
    <x v="219"/>
    <x v="220"/>
    <x v="0"/>
  </r>
  <r>
    <x v="1457"/>
    <x v="235"/>
    <x v="117"/>
    <s v="RECHARGEABLE BATTERY WITH INTERNAL CURRENT LIMITER AND INTERRUPTER"/>
    <x v="952"/>
    <s v="11/25/2015"/>
    <x v="0"/>
    <s v=""/>
    <x v="359"/>
    <x v="331"/>
    <x v="219"/>
    <x v="220"/>
    <x v="0"/>
  </r>
  <r>
    <x v="1458"/>
    <x v="235"/>
    <x v="117"/>
    <s v="RECHARGEABLE BATTERY WITH TEMPERATURE ACTIVATE CURRENT LIMITER"/>
    <x v="953"/>
    <s v="11/25/2015"/>
    <x v="0"/>
    <s v=""/>
    <x v="328"/>
    <x v="301"/>
    <x v="219"/>
    <x v="220"/>
    <x v="0"/>
  </r>
  <r>
    <x v="1459"/>
    <x v="235"/>
    <x v="117"/>
    <s v="RECHARGEABLE BATTERY WITH RESISTIVE LAYER FOR ENHANCED SAFETY"/>
    <x v="954"/>
    <s v="07/10/2015"/>
    <x v="0"/>
    <s v=""/>
    <x v="360"/>
    <x v="332"/>
    <x v="219"/>
    <x v="220"/>
    <x v="0"/>
  </r>
  <r>
    <x v="1460"/>
    <x v="235"/>
    <x v="117"/>
    <s v="RATE-SENSTITIVE AND SELF-RELEASING BATTEY CELLS AND BATTERY-CELL STRUCTURES AS STRUCTURAL AND/OR ENERGY-ABSORBING VEHICLE COMPONENTS"/>
    <x v="955"/>
    <s v="01/24/2015"/>
    <x v="0"/>
    <s v=""/>
    <x v="361"/>
    <x v="333"/>
    <x v="219"/>
    <x v="220"/>
    <x v="0"/>
  </r>
  <r>
    <x v="1461"/>
    <x v="235"/>
    <x v="117"/>
    <s v="RECHARGEABLE BATTERY WITH VOLTAGE ACTIVATED CURRENT INTERRUPTER"/>
    <x v="956"/>
    <s v="11/25/2015"/>
    <x v="286"/>
    <s v="07/10/2018"/>
    <x v="1"/>
    <x v="1"/>
    <x v="219"/>
    <x v="220"/>
    <x v="0"/>
  </r>
  <r>
    <x v="1462"/>
    <x v="235"/>
    <x v="117"/>
    <s v="RECHARGEABLE BATTERY WITH INTERNAL CURRENT LIMITER AND INTERRUPTER"/>
    <x v="957"/>
    <s v="02/27/2016"/>
    <x v="287"/>
    <s v="02/27/2018"/>
    <x v="1"/>
    <x v="1"/>
    <x v="219"/>
    <x v="220"/>
    <x v="0"/>
  </r>
  <r>
    <x v="1463"/>
    <x v="236"/>
    <x v="182"/>
    <s v="HYPER-DENDRITIC NANOPOROUS ZINC FOAM ANODES"/>
    <x v="1"/>
    <s v=""/>
    <x v="0"/>
    <s v=""/>
    <x v="1"/>
    <x v="1"/>
    <x v="220"/>
    <x v="221"/>
    <x v="0"/>
  </r>
  <r>
    <x v="1464"/>
    <x v="236"/>
    <x v="182"/>
    <s v="ACOUSTIC TIME OF FLIGHT DETERMINATION OF BATTERY PARAMETERS"/>
    <x v="1"/>
    <s v=""/>
    <x v="0"/>
    <s v=""/>
    <x v="1"/>
    <x v="1"/>
    <x v="220"/>
    <x v="221"/>
    <x v="0"/>
  </r>
  <r>
    <x v="1465"/>
    <x v="236"/>
    <x v="182"/>
    <m/>
    <x v="1"/>
    <s v=""/>
    <x v="0"/>
    <s v=""/>
    <x v="1"/>
    <x v="1"/>
    <x v="220"/>
    <x v="221"/>
    <x v="0"/>
  </r>
  <r>
    <x v="1466"/>
    <x v="236"/>
    <x v="117"/>
    <s v="ALKALINE BATTERY ELECTROLYTE"/>
    <x v="1"/>
    <s v=""/>
    <x v="0"/>
    <s v=""/>
    <x v="1"/>
    <x v="1"/>
    <x v="220"/>
    <x v="221"/>
    <x v="0"/>
  </r>
  <r>
    <x v="1467"/>
    <x v="236"/>
    <x v="182"/>
    <s v="ALKALINE BATTERY ELECTROLYTE USEFUL FOR A RECHARGEABLE ALKALINE ELECTROCHEMICAL CELL"/>
    <x v="958"/>
    <s v="09/22/2017"/>
    <x v="0"/>
    <s v=""/>
    <x v="1"/>
    <x v="1"/>
    <x v="220"/>
    <x v="221"/>
    <x v="0"/>
  </r>
  <r>
    <x v="1468"/>
    <x v="237"/>
    <x v="64"/>
    <s v="COOPERATIVE CHEMICAL ABSORPTION OF CARBON DIOXIDE IN METAL-ORGANIC FRAMEWORK"/>
    <x v="959"/>
    <s v="10/18/2016"/>
    <x v="0"/>
    <s v=""/>
    <x v="362"/>
    <x v="334"/>
    <x v="221"/>
    <x v="61"/>
    <x v="0"/>
  </r>
  <r>
    <x v="1469"/>
    <x v="238"/>
    <x v="68"/>
    <s v="A HYBRID SOLARTHERMAL REACTOR"/>
    <x v="1"/>
    <s v=""/>
    <x v="0"/>
    <s v=""/>
    <x v="1"/>
    <x v="1"/>
    <x v="222"/>
    <x v="167"/>
    <x v="0"/>
  </r>
  <r>
    <x v="1470"/>
    <x v="238"/>
    <x v="68"/>
    <s v="CARBOTHERMAL REDUCTION REACTOR SYSTEM, COMPONENTS THEREOF"/>
    <x v="1"/>
    <s v=""/>
    <x v="0"/>
    <s v=""/>
    <x v="1"/>
    <x v="1"/>
    <x v="222"/>
    <x v="167"/>
    <x v="0"/>
  </r>
  <r>
    <x v="1471"/>
    <x v="238"/>
    <x v="68"/>
    <s v="COLLECTION OF MAGNESIUM VAPOR"/>
    <x v="1"/>
    <s v=""/>
    <x v="0"/>
    <s v=""/>
    <x v="1"/>
    <x v="1"/>
    <x v="222"/>
    <x v="167"/>
    <x v="0"/>
  </r>
  <r>
    <x v="1472"/>
    <x v="238"/>
    <x v="68"/>
    <s v="APPARATUS AND METHOD FOR RECOVERY OF MATERIAL"/>
    <x v="960"/>
    <s v="12/29/2017"/>
    <x v="0"/>
    <s v=""/>
    <x v="1"/>
    <x v="1"/>
    <x v="222"/>
    <x v="167"/>
    <x v="0"/>
  </r>
  <r>
    <x v="1473"/>
    <x v="238"/>
    <x v="68"/>
    <s v="HYBRID SOLAR REACTOR AND HEAT STORAGE SYSTEM"/>
    <x v="961"/>
    <s v="02/06/2017"/>
    <x v="0"/>
    <s v=""/>
    <x v="1"/>
    <x v="1"/>
    <x v="222"/>
    <x v="167"/>
    <x v="0"/>
  </r>
  <r>
    <x v="1474"/>
    <x v="238"/>
    <x v="68"/>
    <s v="APPARATUS AND METHOD FOR RECOVERY OF MATERIAL"/>
    <x v="962"/>
    <s v="03/04/2016"/>
    <x v="0"/>
    <s v=""/>
    <x v="363"/>
    <x v="335"/>
    <x v="222"/>
    <x v="167"/>
    <x v="0"/>
  </r>
  <r>
    <x v="1475"/>
    <x v="239"/>
    <x v="161"/>
    <s v="HANDHELD ALLOY IDENTIFICATION DEVICE"/>
    <x v="963"/>
    <s v="07/14/2017"/>
    <x v="0"/>
    <s v=""/>
    <x v="1"/>
    <x v="1"/>
    <x v="223"/>
    <x v="222"/>
    <x v="0"/>
  </r>
  <r>
    <x v="1476"/>
    <x v="239"/>
    <x v="161"/>
    <s v="HANDHELD ALLOY IDENTIFICATION DEVICE"/>
    <x v="1"/>
    <s v="08/15/2016"/>
    <x v="0"/>
    <s v=""/>
    <x v="1"/>
    <x v="1"/>
    <x v="223"/>
    <x v="222"/>
    <x v="0"/>
  </r>
  <r>
    <x v="1477"/>
    <x v="239"/>
    <x v="161"/>
    <s v="ELECTROCHEMICAL METAL ALLOY DETECTOR AND METHOD"/>
    <x v="964"/>
    <s v="12/19/2014"/>
    <x v="0"/>
    <s v=""/>
    <x v="364"/>
    <x v="336"/>
    <x v="223"/>
    <x v="222"/>
    <x v="0"/>
  </r>
  <r>
    <x v="1478"/>
    <x v="239"/>
    <x v="161"/>
    <s v="ELECTROCHEMICAL SORTING OF METALS"/>
    <x v="1"/>
    <s v=""/>
    <x v="0"/>
    <s v=""/>
    <x v="1"/>
    <x v="1"/>
    <x v="223"/>
    <x v="222"/>
    <x v="0"/>
  </r>
  <r>
    <x v="1479"/>
    <x v="239"/>
    <x v="161"/>
    <s v="SYSTEM FOR ELECTROCHEMICAL SORTING OF METALS AND ALLOYS"/>
    <x v="965"/>
    <s v="10/28/2014"/>
    <x v="0"/>
    <s v=""/>
    <x v="365"/>
    <x v="337"/>
    <x v="223"/>
    <x v="222"/>
    <x v="0"/>
  </r>
  <r>
    <x v="1480"/>
    <x v="239"/>
    <x v="161"/>
    <s v="SYSTEMS FOR ELECTROCHEMICAL SORTING OF METALS AND ALLOYS"/>
    <x v="966"/>
    <s v="10/28/2014"/>
    <x v="0"/>
    <s v=""/>
    <x v="366"/>
    <x v="338"/>
    <x v="223"/>
    <x v="222"/>
    <x v="0"/>
  </r>
  <r>
    <x v="1481"/>
    <x v="240"/>
    <x v="210"/>
    <s v="SYSTEMS AND METHODS OF ELECTROLUTIC PRODUCTION OF ALUMINUM"/>
    <x v="967"/>
    <s v="04/02/2018"/>
    <x v="0"/>
    <s v=""/>
    <x v="353"/>
    <x v="325"/>
    <x v="224"/>
    <x v="223"/>
    <x v="0"/>
  </r>
  <r>
    <x v="1482"/>
    <x v="240"/>
    <x v="210"/>
    <s v="SYSTEMS AND METHODS OF ELECTROLUTIC PRODUCTION OF ALUMINUM"/>
    <x v="1"/>
    <s v=""/>
    <x v="0"/>
    <s v=""/>
    <x v="1"/>
    <x v="1"/>
    <x v="224"/>
    <x v="223"/>
    <x v="0"/>
  </r>
  <r>
    <x v="1483"/>
    <x v="241"/>
    <x v="83"/>
    <s v="DIRECT ELECTROWINNING OF TITANIUM-ALUMINUM-VANADIUM ALLOY"/>
    <x v="1"/>
    <s v=""/>
    <x v="0"/>
    <s v=""/>
    <x v="1"/>
    <x v="1"/>
    <x v="225"/>
    <x v="224"/>
    <x v="0"/>
  </r>
  <r>
    <x v="1484"/>
    <x v="242"/>
    <x v="110"/>
    <s v="UNDER THE BELT EDX METAL SCRAP SORTER"/>
    <x v="1"/>
    <s v=""/>
    <x v="0"/>
    <s v=""/>
    <x v="1"/>
    <x v="1"/>
    <x v="226"/>
    <x v="225"/>
    <x v="0"/>
  </r>
  <r>
    <x v="1485"/>
    <x v="242"/>
    <x v="110"/>
    <s v="VARIABLE FREQUENCY EDDY CURRENT METAL SORTER"/>
    <x v="968"/>
    <s v="02/26/2016"/>
    <x v="0"/>
    <s v=""/>
    <x v="1"/>
    <x v="1"/>
    <x v="226"/>
    <x v="225"/>
    <x v="0"/>
  </r>
  <r>
    <x v="1486"/>
    <x v="242"/>
    <x v="110"/>
    <s v="VARIABLE FREQUENCY EDDY CURRENT METAL SORTER"/>
    <x v="969"/>
    <d v="2016-09-09T00:00:00"/>
    <x v="0"/>
    <s v=""/>
    <x v="1"/>
    <x v="1"/>
    <x v="226"/>
    <x v="225"/>
    <x v="0"/>
  </r>
  <r>
    <x v="1487"/>
    <x v="242"/>
    <x v="110"/>
    <s v="VARIABLE FREQUENCY EDDY CURRENT METAL SORTER"/>
    <x v="968"/>
    <s v="02/26/2016"/>
    <x v="0"/>
    <s v=""/>
    <x v="1"/>
    <x v="1"/>
    <x v="226"/>
    <x v="225"/>
    <x v="0"/>
  </r>
  <r>
    <x v="1488"/>
    <x v="242"/>
    <x v="110"/>
    <s v="VARIABLE FREQUENCY EDDY CURRENT METAL SORTER"/>
    <x v="970"/>
    <s v="09/10/2015"/>
    <x v="0"/>
    <s v=""/>
    <x v="1"/>
    <x v="1"/>
    <x v="226"/>
    <x v="225"/>
    <x v="0"/>
  </r>
  <r>
    <x v="1489"/>
    <x v="242"/>
    <x v="110"/>
    <s v="VARIABLE FREQUENCY EDDY CURRENT METAL SORTER"/>
    <x v="971"/>
    <s v="09/09/2016"/>
    <x v="0"/>
    <s v=""/>
    <x v="362"/>
    <x v="334"/>
    <x v="226"/>
    <x v="225"/>
    <x v="0"/>
  </r>
  <r>
    <x v="1490"/>
    <x v="243"/>
    <x v="211"/>
    <s v="METHOD AND ALUMINUM-SCANDIUM ALLOY PRODUCTION"/>
    <x v="972"/>
    <s v="03/15/2018"/>
    <x v="0"/>
    <s v=""/>
    <x v="1"/>
    <x v="1"/>
    <x v="227"/>
    <x v="226"/>
    <x v="0"/>
  </r>
  <r>
    <x v="1491"/>
    <x v="243"/>
    <x v="211"/>
    <s v="METHOD AND ALUMINUM-SCANDIUM ALLOY PRODUCTION"/>
    <x v="973"/>
    <s v="03/15/2019"/>
    <x v="0"/>
    <s v=""/>
    <x v="84"/>
    <x v="70"/>
    <x v="227"/>
    <x v="226"/>
    <x v="0"/>
  </r>
  <r>
    <x v="1492"/>
    <x v="243"/>
    <x v="211"/>
    <s v="METHOD AND APPARATUS FOR PRODUCTION OF ALUMINUM AND OTHER METALS"/>
    <x v="974"/>
    <s v="06/13/2014"/>
    <x v="0"/>
    <s v=""/>
    <x v="1"/>
    <x v="1"/>
    <x v="227"/>
    <x v="226"/>
    <x v="0"/>
  </r>
  <r>
    <x v="1493"/>
    <x v="243"/>
    <x v="211"/>
    <s v="METHODS AND APPARATUSES FOR INCREASING EFFICIENCY AND IMPROVING MEMBRANE ROBUSTNESS IN PRIMARY METAL PRODUCTION"/>
    <x v="975"/>
    <s v="11/03/2014"/>
    <x v="0"/>
    <s v=""/>
    <x v="1"/>
    <x v="1"/>
    <x v="227"/>
    <x v="226"/>
    <x v="0"/>
  </r>
  <r>
    <x v="1494"/>
    <x v="243"/>
    <x v="211"/>
    <s v="CLEAN, EFFICIENT METAL ELECTROLYSIS VIA SOM ANODES"/>
    <x v="976"/>
    <s v="07/08/2014"/>
    <x v="0"/>
    <s v=""/>
    <x v="1"/>
    <x v="1"/>
    <x v="227"/>
    <x v="226"/>
    <x v="0"/>
  </r>
  <r>
    <x v="1495"/>
    <x v="243"/>
    <x v="211"/>
    <s v="ALUMINUM CATHODE CURRENT COLLECTOR FOR ALUMINUM MOLTEN SALT ELECTROLYSIS"/>
    <x v="1"/>
    <s v=""/>
    <x v="0"/>
    <s v=""/>
    <x v="1"/>
    <x v="1"/>
    <x v="227"/>
    <x v="226"/>
    <x v="0"/>
  </r>
  <r>
    <x v="1496"/>
    <x v="244"/>
    <x v="212"/>
    <s v="ELECTROEFINING OF MAGNESIUM FROM SCRAP METAL ALUMINUM OR MAGNESIUM  ALLOYS"/>
    <x v="1"/>
    <s v=""/>
    <x v="0"/>
    <s v=""/>
    <x v="1"/>
    <x v="1"/>
    <x v="228"/>
    <x v="227"/>
    <x v="0"/>
  </r>
  <r>
    <x v="1497"/>
    <x v="245"/>
    <x v="18"/>
    <s v="PARTICULATE HEAT TRANSFER FLUID"/>
    <x v="1"/>
    <s v=""/>
    <x v="0"/>
    <s v=""/>
    <x v="1"/>
    <x v="1"/>
    <x v="229"/>
    <x v="228"/>
    <x v="0"/>
  </r>
  <r>
    <x v="1498"/>
    <x v="246"/>
    <x v="213"/>
    <s v="ALUMINUM SORTING AND CASTING APPARATUS AND METHODS"/>
    <x v="977"/>
    <s v="06/24/2014"/>
    <x v="0"/>
    <s v=""/>
    <x v="1"/>
    <x v="1"/>
    <x v="230"/>
    <x v="229"/>
    <x v="0"/>
  </r>
  <r>
    <x v="1499"/>
    <x v="247"/>
    <x v="144"/>
    <s v="LIGHT METAL PRODUCTION"/>
    <x v="978"/>
    <s v="01/30/2014"/>
    <x v="288"/>
    <s v="04/19/2016"/>
    <x v="1"/>
    <x v="1"/>
    <x v="174"/>
    <x v="177"/>
    <x v="0"/>
  </r>
  <r>
    <x v="1500"/>
    <x v="248"/>
    <x v="110"/>
    <s v="AN ENERGY EFFICIENT PROCESS FOR PRODUCTION OF TI PRIMARY METAL"/>
    <x v="1"/>
    <s v=""/>
    <x v="0"/>
    <s v=""/>
    <x v="1"/>
    <x v="1"/>
    <x v="231"/>
    <x v="230"/>
    <x v="0"/>
  </r>
  <r>
    <x v="1501"/>
    <x v="248"/>
    <x v="110"/>
    <s v="LOW COST METHOD FOR TITANIUM PRODUCTION FROM IIMENITE"/>
    <x v="1"/>
    <s v=""/>
    <x v="0"/>
    <s v=""/>
    <x v="1"/>
    <x v="1"/>
    <x v="231"/>
    <x v="230"/>
    <x v="0"/>
  </r>
  <r>
    <x v="1502"/>
    <x v="248"/>
    <x v="110"/>
    <s v="A METHOD FOR 3D PRINTING WITH POWDERS"/>
    <x v="979"/>
    <s v="09/05/2017"/>
    <x v="0"/>
    <s v=""/>
    <x v="1"/>
    <x v="1"/>
    <x v="231"/>
    <x v="230"/>
    <x v="0"/>
  </r>
  <r>
    <x v="1503"/>
    <x v="248"/>
    <x v="110"/>
    <s v="A METHOD FOR 3D PRINTING WITH POWDERS"/>
    <x v="980"/>
    <s v="09/05/2018"/>
    <x v="0"/>
    <s v=""/>
    <x v="1"/>
    <x v="1"/>
    <x v="231"/>
    <x v="230"/>
    <x v="0"/>
  </r>
  <r>
    <x v="1504"/>
    <x v="248"/>
    <x v="110"/>
    <s v="DIRECT REDUCTION OF TITANIUM SLAG - A NOVEL LOW COST METHOD FOR PRODUCTION OF TI"/>
    <x v="981"/>
    <s v="11/30/2017"/>
    <x v="0"/>
    <s v=""/>
    <x v="1"/>
    <x v="1"/>
    <x v="231"/>
    <x v="230"/>
    <x v="0"/>
  </r>
  <r>
    <x v="1505"/>
    <x v="248"/>
    <x v="110"/>
    <s v="DIRECT REDUCTION OF TITANIUM SLAG - A NOVEL LOW COST METHOD FOR PRODUCTION OF TI"/>
    <x v="982"/>
    <s v=""/>
    <x v="0"/>
    <s v=""/>
    <x v="1"/>
    <x v="1"/>
    <x v="231"/>
    <x v="230"/>
    <x v="0"/>
  </r>
  <r>
    <x v="1506"/>
    <x v="248"/>
    <x v="110"/>
    <s v="METHODS OF DEOXYGENATING METALS HAVING OXYGEN DISSOLVED THEREIN IN A SOLID SOLUTION"/>
    <x v="983"/>
    <s v="07/21/2016"/>
    <x v="0"/>
    <s v=""/>
    <x v="1"/>
    <x v="1"/>
    <x v="231"/>
    <x v="230"/>
    <x v="0"/>
  </r>
  <r>
    <x v="1507"/>
    <x v="249"/>
    <x v="214"/>
    <s v="THERMAL ELECTROLYTIC PRODUCTION"/>
    <x v="984"/>
    <s v="09/25/2015"/>
    <x v="0"/>
    <s v=""/>
    <x v="1"/>
    <x v="1"/>
    <x v="232"/>
    <x v="231"/>
    <x v="0"/>
  </r>
  <r>
    <x v="1508"/>
    <x v="250"/>
    <x v="215"/>
    <s v="X-RAY FLUORESCENCE SORTING METAL ALLOY PLASTIC GLASS ALUMINUM STEEL COPPER"/>
    <x v="1"/>
    <s v=""/>
    <x v="0"/>
    <s v=""/>
    <x v="1"/>
    <x v="1"/>
    <x v="233"/>
    <x v="232"/>
    <x v="0"/>
  </r>
  <r>
    <x v="1509"/>
    <x v="251"/>
    <x v="159"/>
    <s v="GENETICALLY MODIFIED ORGANISMS"/>
    <x v="985"/>
    <s v="12/09/2015"/>
    <x v="0"/>
    <s v=""/>
    <x v="1"/>
    <x v="1"/>
    <x v="234"/>
    <x v="233"/>
    <x v="0"/>
  </r>
  <r>
    <x v="1510"/>
    <x v="252"/>
    <x v="216"/>
    <s v="E;UCIDATION OF THE BIOSYNTHETIC PATHWAY FOR THE KEY COENZYME OF METHANOGENESIS AND ANAEROBIC METHANE OXIDATION"/>
    <x v="986"/>
    <s v="05/05/2017"/>
    <x v="0"/>
    <s v=""/>
    <x v="284"/>
    <x v="261"/>
    <x v="235"/>
    <x v="234"/>
    <x v="0"/>
  </r>
  <r>
    <x v="1511"/>
    <x v="253"/>
    <x v="217"/>
    <s v="BIOLOGICAL CONVERSION OF ETHYLENE TO N-BUTANOL AND OTHER CHEMICALS"/>
    <x v="1"/>
    <s v=""/>
    <x v="0"/>
    <s v=""/>
    <x v="1"/>
    <x v="1"/>
    <x v="236"/>
    <x v="235"/>
    <x v="0"/>
  </r>
  <r>
    <x v="1512"/>
    <x v="253"/>
    <x v="218"/>
    <s v="BACTERIA ENGINEERED FOR CONVERSION OF ETHYLENE TO NBUTANOL"/>
    <x v="987"/>
    <s v="12/09/2016"/>
    <x v="289"/>
    <s v="01/22/2019"/>
    <x v="1"/>
    <x v="1"/>
    <x v="236"/>
    <x v="235"/>
    <x v="0"/>
  </r>
  <r>
    <x v="1513"/>
    <x v="253"/>
    <x v="217"/>
    <s v="BIOLOGICAL CONVERSION OF ETHANE TO ETHANOL"/>
    <x v="1"/>
    <s v=""/>
    <x v="0"/>
    <s v=""/>
    <x v="1"/>
    <x v="1"/>
    <x v="236"/>
    <x v="235"/>
    <x v="0"/>
  </r>
  <r>
    <x v="1514"/>
    <x v="253"/>
    <x v="217"/>
    <s v="BIOLOGICAL CONVERSION OF ETHYLENE GLYCOL"/>
    <x v="988"/>
    <s v="06/30/2017"/>
    <x v="0"/>
    <s v=""/>
    <x v="356"/>
    <x v="328"/>
    <x v="236"/>
    <x v="235"/>
    <x v="0"/>
  </r>
  <r>
    <x v="1515"/>
    <x v="253"/>
    <x v="217"/>
    <s v="BIOLOGICAL CONVERSION OF ETHYLENE GLYCOL"/>
    <x v="989"/>
    <s v="07/01/2016"/>
    <x v="0"/>
    <s v=""/>
    <x v="1"/>
    <x v="1"/>
    <x v="236"/>
    <x v="235"/>
    <x v="0"/>
  </r>
  <r>
    <x v="1516"/>
    <x v="254"/>
    <x v="54"/>
    <s v="A NOVEL METHANOL DEHYDROGENASE ENZYME AND ITS ENGINEERED VARIANTS FROM CUPRIAVIDUS"/>
    <x v="1"/>
    <s v=""/>
    <x v="0"/>
    <s v=""/>
    <x v="1"/>
    <x v="1"/>
    <x v="237"/>
    <x v="236"/>
    <x v="0"/>
  </r>
  <r>
    <x v="1517"/>
    <x v="254"/>
    <x v="54"/>
    <s v="BUILDING CARBON-CARBON BONDS USING C1 FEEDSTOCKS"/>
    <x v="1"/>
    <s v=""/>
    <x v="0"/>
    <s v=""/>
    <x v="1"/>
    <x v="1"/>
    <x v="237"/>
    <x v="236"/>
    <x v="0"/>
  </r>
  <r>
    <x v="1518"/>
    <x v="254"/>
    <x v="54"/>
    <s v="RECOMBINANT MICROORGANISMS HAVING A METHANOL ELONGATION CYCLE (MEC)"/>
    <x v="990"/>
    <s v="12/12/2016"/>
    <x v="290"/>
    <s v="04/23/2019"/>
    <x v="1"/>
    <x v="1"/>
    <x v="237"/>
    <x v="236"/>
    <x v="0"/>
  </r>
  <r>
    <x v="1519"/>
    <x v="254"/>
    <x v="54"/>
    <s v="RECOMBINANT MICROORGANISMS HAVING A METHANOL ELONGATION CYCLE (MEC)"/>
    <x v="991"/>
    <s v="03/14/2014"/>
    <x v="291"/>
    <s v="12/13/2016"/>
    <x v="1"/>
    <x v="1"/>
    <x v="237"/>
    <x v="236"/>
    <x v="0"/>
  </r>
  <r>
    <x v="1520"/>
    <x v="254"/>
    <x v="54"/>
    <s v="RECOMBINANT MICROORGANISMS HAVING A METHANOL ELONGATION CYCLE (MEC)"/>
    <x v="992"/>
    <s v="09/14/2015"/>
    <x v="292"/>
    <s v="06/26/2018"/>
    <x v="1"/>
    <x v="1"/>
    <x v="237"/>
    <x v="236"/>
    <x v="0"/>
  </r>
  <r>
    <x v="1521"/>
    <x v="255"/>
    <x v="92"/>
    <s v="METHANE MICROBIAL FUEL CELLS"/>
    <x v="993"/>
    <s v="01/13/2017"/>
    <x v="0"/>
    <s v=""/>
    <x v="1"/>
    <x v="1"/>
    <x v="238"/>
    <x v="237"/>
    <x v="0"/>
  </r>
  <r>
    <x v="1522"/>
    <x v="255"/>
    <x v="92"/>
    <s v="METHANE MICROBIAL FUEL CELLS"/>
    <x v="994"/>
    <s v="11/22/2017"/>
    <x v="0"/>
    <s v=""/>
    <x v="153"/>
    <x v="136"/>
    <x v="238"/>
    <x v="237"/>
    <x v="0"/>
  </r>
  <r>
    <x v="1523"/>
    <x v="255"/>
    <x v="92"/>
    <s v="METHANE MICROBIAL FUEL CELLS"/>
    <x v="995"/>
    <s v="11/22/2016"/>
    <x v="0"/>
    <s v=""/>
    <x v="1"/>
    <x v="1"/>
    <x v="238"/>
    <x v="237"/>
    <x v="0"/>
  </r>
  <r>
    <x v="1524"/>
    <x v="255"/>
    <x v="92"/>
    <s v="ENGINEERING METHANE PATHWAY TO LIQUID BIOFUELS"/>
    <x v="1"/>
    <s v=""/>
    <x v="0"/>
    <s v=""/>
    <x v="1"/>
    <x v="1"/>
    <x v="238"/>
    <x v="237"/>
    <x v="0"/>
  </r>
  <r>
    <x v="1525"/>
    <x v="255"/>
    <x v="92"/>
    <s v="METHANE-TO-ACETATE PATHWAY FOR PRODUCING LIQUID BIOFUELS"/>
    <x v="1"/>
    <s v=""/>
    <x v="0"/>
    <s v=""/>
    <x v="1"/>
    <x v="1"/>
    <x v="238"/>
    <x v="237"/>
    <x v="0"/>
  </r>
  <r>
    <x v="1526"/>
    <x v="256"/>
    <x v="6"/>
    <s v="NON-METHYLOTROPHIC ORGANISMS ENGINEERED TO GROW ON METHANOL AND FIX CARBON DIOXIDE"/>
    <x v="1"/>
    <s v=""/>
    <x v="0"/>
    <s v=""/>
    <x v="1"/>
    <x v="1"/>
    <x v="239"/>
    <x v="238"/>
    <x v="0"/>
  </r>
  <r>
    <x v="1527"/>
    <x v="256"/>
    <x v="6"/>
    <s v="ENGINEERED NON-METHYLOTROPHIC ORGANISMS TO USE AND GROW ON METHANOL AND FIX CARBON DIOXIDE"/>
    <x v="1"/>
    <s v=""/>
    <x v="0"/>
    <s v=""/>
    <x v="1"/>
    <x v="1"/>
    <x v="239"/>
    <x v="238"/>
    <x v="0"/>
  </r>
  <r>
    <x v="1528"/>
    <x v="256"/>
    <x v="6"/>
    <s v="ENGINEERED NON-METHYLOTROPHIC ORGANISMS GROWING ON METHANOL AND FIXING  CARBON DIOXIDE"/>
    <x v="1"/>
    <s v=""/>
    <x v="0"/>
    <s v=""/>
    <x v="1"/>
    <x v="1"/>
    <x v="239"/>
    <x v="238"/>
    <x v="0"/>
  </r>
  <r>
    <x v="1529"/>
    <x v="256"/>
    <x v="6"/>
    <s v="ENGINEERED NON-METHYLOTROPHIC ORGANISMS TO USE AND GROW ON METHANOL AND FIX CARBON DIOXIDE"/>
    <x v="1"/>
    <s v=""/>
    <x v="0"/>
    <s v=""/>
    <x v="1"/>
    <x v="1"/>
    <x v="239"/>
    <x v="238"/>
    <x v="0"/>
  </r>
  <r>
    <x v="1530"/>
    <x v="256"/>
    <x v="138"/>
    <s v="ENGINEERED NON-METHYLOTROPHIC ORGANISMS TO USE AND GROW ON METHANOL AND FIX CARBON DIOXIDE"/>
    <x v="1"/>
    <s v=""/>
    <x v="0"/>
    <s v=""/>
    <x v="1"/>
    <x v="1"/>
    <x v="239"/>
    <x v="238"/>
    <x v="0"/>
  </r>
  <r>
    <x v="1531"/>
    <x v="256"/>
    <x v="6"/>
    <s v="LIQUID FUEL FROM NATURAL GAS USING SYNTHETIC BIOLOGY"/>
    <x v="1"/>
    <s v=""/>
    <x v="0"/>
    <s v=""/>
    <x v="1"/>
    <x v="1"/>
    <x v="239"/>
    <x v="238"/>
    <x v="0"/>
  </r>
  <r>
    <x v="1532"/>
    <x v="256"/>
    <x v="6"/>
    <s v="SYNTHETIC METHYLOTROPHY TO LIQUID FUELS AND CHEMICALS"/>
    <x v="996"/>
    <s v="01/09/2015"/>
    <x v="0"/>
    <s v=""/>
    <x v="367"/>
    <x v="339"/>
    <x v="239"/>
    <x v="238"/>
    <x v="0"/>
  </r>
  <r>
    <x v="1533"/>
    <x v="256"/>
    <x v="6"/>
    <s v="ENGINEERING ANAEROBIC OXIDATION OF METHANE FOR LIQUID FUEL  BIOSYNTHESIS"/>
    <x v="997"/>
    <s v="02/18/2014"/>
    <x v="0"/>
    <s v=""/>
    <x v="1"/>
    <x v="1"/>
    <x v="239"/>
    <x v="238"/>
    <x v="0"/>
  </r>
  <r>
    <x v="1534"/>
    <x v="256"/>
    <x v="6"/>
    <s v="SYNTHETIC METHYLOTROPHY "/>
    <x v="998"/>
    <s v="02/12/2018"/>
    <x v="0"/>
    <s v=""/>
    <x v="133"/>
    <x v="117"/>
    <x v="239"/>
    <x v="238"/>
    <x v="0"/>
  </r>
  <r>
    <x v="1535"/>
    <x v="256"/>
    <x v="6"/>
    <s v="SYNTHETIC METHYLOTROPHY "/>
    <x v="999"/>
    <s v="01/15/2016"/>
    <x v="0"/>
    <s v=""/>
    <x v="1"/>
    <x v="1"/>
    <x v="239"/>
    <x v="238"/>
    <x v="0"/>
  </r>
  <r>
    <x v="1536"/>
    <x v="256"/>
    <x v="6"/>
    <s v="SYNTHETIC METHYLOTROPHY "/>
    <x v="1000"/>
    <s v="01/13/2017"/>
    <x v="0"/>
    <s v=""/>
    <x v="134"/>
    <x v="118"/>
    <x v="239"/>
    <x v="238"/>
    <x v="0"/>
  </r>
  <r>
    <x v="1537"/>
    <x v="257"/>
    <x v="37"/>
    <s v="METHODS FOR CONVERSION OF FOOD WASTE TO CHEMICAL PRODUCTS"/>
    <x v="1001"/>
    <s v="04/29/2016"/>
    <x v="0"/>
    <s v=""/>
    <x v="1"/>
    <x v="1"/>
    <x v="31"/>
    <x v="31"/>
    <x v="0"/>
  </r>
  <r>
    <x v="1538"/>
    <x v="257"/>
    <x v="37"/>
    <s v="CARBON DIOXIDE FIXATION BY FERMENTATION AT THE LIMIT OF AUTOTROPHY"/>
    <x v="1002"/>
    <s v="06/29/2018"/>
    <x v="0"/>
    <s v=""/>
    <x v="1"/>
    <x v="1"/>
    <x v="31"/>
    <x v="31"/>
    <x v="0"/>
  </r>
  <r>
    <x v="1539"/>
    <x v="257"/>
    <x v="37"/>
    <s v=" BIOREACTOR METHODS FOR HIGH YIELD BIOCONVERSION OF NATURAL GAS TO LIQUID FUELS"/>
    <x v="1"/>
    <s v=""/>
    <x v="0"/>
    <s v=""/>
    <x v="1"/>
    <x v="1"/>
    <x v="31"/>
    <x v="31"/>
    <x v="0"/>
  </r>
  <r>
    <x v="1540"/>
    <x v="257"/>
    <x v="37"/>
    <s v="A TWO-STAGE REACTOR SYSTEM FOR HIGH-YIELD BIOCONVERSION OF NATURAL GAS TO LIQUID FUEL"/>
    <x v="1"/>
    <s v=""/>
    <x v="0"/>
    <s v=""/>
    <x v="1"/>
    <x v="1"/>
    <x v="31"/>
    <x v="31"/>
    <x v="0"/>
  </r>
  <r>
    <x v="1541"/>
    <x v="257"/>
    <x v="37"/>
    <s v="DEEP WELL REACTOR SYSTEM"/>
    <x v="1"/>
    <s v=""/>
    <x v="0"/>
    <s v=""/>
    <x v="1"/>
    <x v="1"/>
    <x v="31"/>
    <x v="31"/>
    <x v="0"/>
  </r>
  <r>
    <x v="1542"/>
    <x v="257"/>
    <x v="37"/>
    <s v="INTEGRATED SYSTEM FOR UPGRADING WASTE STREAMS TO USEFUL CHEMICALS AND FUELS"/>
    <x v="1"/>
    <s v=""/>
    <x v="0"/>
    <s v=""/>
    <x v="1"/>
    <x v="1"/>
    <x v="31"/>
    <x v="31"/>
    <x v="0"/>
  </r>
  <r>
    <x v="1543"/>
    <x v="257"/>
    <x v="37"/>
    <s v="ULTRATHIN, CONDUCTIVE AND FOULING-RESISTANT ZWITTERIONIC POLYMER FILMS"/>
    <x v="1"/>
    <s v=""/>
    <x v="0"/>
    <s v=""/>
    <x v="1"/>
    <x v="1"/>
    <x v="31"/>
    <x v="31"/>
    <x v="0"/>
  </r>
  <r>
    <x v="1544"/>
    <x v="257"/>
    <x v="37"/>
    <s v="THREADING DISLOCATION DENSITY REDUCTION IN EPITAXY-GERMANIUM ON SI WAFERS THROUGH GE ETCHING AND OVERGROWTH"/>
    <x v="1"/>
    <s v=""/>
    <x v="0"/>
    <s v=""/>
    <x v="1"/>
    <x v="1"/>
    <x v="31"/>
    <x v="31"/>
    <x v="0"/>
  </r>
  <r>
    <x v="1545"/>
    <x v="257"/>
    <x v="29"/>
    <s v="SELECTIVE CONCENTRATION OF A MICROBIAL COMMUNITY ON AN ARTIFICIAL SUBSTRATE"/>
    <x v="1"/>
    <s v=""/>
    <x v="0"/>
    <s v=""/>
    <x v="1"/>
    <x v="1"/>
    <x v="31"/>
    <x v="31"/>
    <x v="0"/>
  </r>
  <r>
    <x v="1546"/>
    <x v="257"/>
    <x v="219"/>
    <s v="OXIDATIVE CONVERSION OF METHANE TO OXYGENATES "/>
    <x v="1003"/>
    <s v="11/09/2016"/>
    <x v="0"/>
    <s v=""/>
    <x v="126"/>
    <x v="110"/>
    <x v="31"/>
    <x v="31"/>
    <x v="0"/>
  </r>
  <r>
    <x v="1547"/>
    <x v="257"/>
    <x v="219"/>
    <s v="OXIDATIVE CONVERSION OF METHANE TO OXYGENATES ON RH/ZEOLITE CATALYSTS IN AN AQUEOUS MEDIUM"/>
    <x v="1004"/>
    <s v="05/09/2018"/>
    <x v="0"/>
    <s v=""/>
    <x v="1"/>
    <x v="1"/>
    <x v="31"/>
    <x v="31"/>
    <x v="0"/>
  </r>
  <r>
    <x v="1548"/>
    <x v="258"/>
    <x v="220"/>
    <s v="ENGINEERED ENZYMES FOR METHANE OXIDATION"/>
    <x v="1"/>
    <s v=""/>
    <x v="0"/>
    <s v=""/>
    <x v="1"/>
    <x v="1"/>
    <x v="240"/>
    <x v="239"/>
    <x v="0"/>
  </r>
  <r>
    <x v="1549"/>
    <x v="259"/>
    <x v="221"/>
    <s v="SPACE FILLING HIGH THROUGHPUT MICROBUBBLE GENERATOR"/>
    <x v="1"/>
    <s v=""/>
    <x v="0"/>
    <s v=""/>
    <x v="1"/>
    <x v="1"/>
    <x v="241"/>
    <x v="240"/>
    <x v="0"/>
  </r>
  <r>
    <x v="1550"/>
    <x v="259"/>
    <x v="221"/>
    <s v="SYSTEM AND METHOD FOR LOW-COST CELL RECYCLING IN CONTINUOUS FERMENTATION"/>
    <x v="1"/>
    <s v=""/>
    <x v="0"/>
    <s v=""/>
    <x v="1"/>
    <x v="1"/>
    <x v="241"/>
    <x v="240"/>
    <x v="0"/>
  </r>
  <r>
    <x v="1551"/>
    <x v="259"/>
    <x v="221"/>
    <s v="DEVICE AND SYSTEM FOR ENERGY-EFFICIENT MICRO-JET GENERATION"/>
    <x v="1"/>
    <s v=""/>
    <x v="0"/>
    <s v=""/>
    <x v="1"/>
    <x v="1"/>
    <x v="241"/>
    <x v="240"/>
    <x v="0"/>
  </r>
  <r>
    <x v="1552"/>
    <x v="259"/>
    <x v="221"/>
    <s v="APPARATUS TO IMPROVE LIQUID AND GAS RESIDENCE TIME IN A JET-DRIVEN MICRO-BUBBLE COLUMN"/>
    <x v="1"/>
    <s v=""/>
    <x v="0"/>
    <s v=""/>
    <x v="1"/>
    <x v="1"/>
    <x v="241"/>
    <x v="240"/>
    <x v="0"/>
  </r>
  <r>
    <x v="1553"/>
    <x v="259"/>
    <x v="221"/>
    <s v="APPARATUS FOR PARTICULATE MATTER REMOVAL FROM A LIQUID STREAM"/>
    <x v="1"/>
    <s v=""/>
    <x v="0"/>
    <s v=""/>
    <x v="1"/>
    <x v="1"/>
    <x v="241"/>
    <x v="240"/>
    <x v="0"/>
  </r>
  <r>
    <x v="1554"/>
    <x v="260"/>
    <x v="152"/>
    <s v="BIO-LAMINA-PLATES BIOREACTOR FOR ENHANCED MASS AND HEAT TRANSFER"/>
    <x v="1005"/>
    <s v="11/16/2016"/>
    <x v="0"/>
    <s v=""/>
    <x v="270"/>
    <x v="248"/>
    <x v="242"/>
    <x v="241"/>
    <x v="0"/>
  </r>
  <r>
    <x v="1555"/>
    <x v="260"/>
    <x v="152"/>
    <s v="BIO-LAMINA-PLATES BIOREACTOR FOR ENHANCED MASS AND HEAT TRANSFER"/>
    <x v="1006"/>
    <s v="05/16/2018"/>
    <x v="0"/>
    <s v=""/>
    <x v="1"/>
    <x v="1"/>
    <x v="242"/>
    <x v="241"/>
    <x v="0"/>
  </r>
  <r>
    <x v="1556"/>
    <x v="260"/>
    <x v="152"/>
    <s v="SYSTEM AND METHOD OF ADDITIVE MANUFACTURING SELECTIVE COMPOSITIONS AND VARIABLE PROPERTIES"/>
    <x v="1"/>
    <s v=""/>
    <x v="0"/>
    <s v=""/>
    <x v="1"/>
    <x v="1"/>
    <x v="242"/>
    <x v="241"/>
    <x v="0"/>
  </r>
  <r>
    <x v="1557"/>
    <x v="261"/>
    <x v="222"/>
    <s v=" SEMICONDUCTOR DEVICES AND METHODS OF MAKING "/>
    <x v="1007"/>
    <s v="06/29/2017"/>
    <x v="0"/>
    <s v=""/>
    <x v="1"/>
    <x v="1"/>
    <x v="243"/>
    <x v="242"/>
    <x v="0"/>
  </r>
  <r>
    <x v="1558"/>
    <x v="261"/>
    <x v="222"/>
    <s v=" HIGH-VOLTAGE SEMICONDUCTOR  DEVICES AND METHODS OF MAKING THE DEVICES"/>
    <x v="1008"/>
    <s v="12/18/2017"/>
    <x v="0"/>
    <s v=""/>
    <x v="1"/>
    <x v="1"/>
    <x v="243"/>
    <x v="242"/>
    <x v="0"/>
  </r>
  <r>
    <x v="1559"/>
    <x v="261"/>
    <x v="222"/>
    <s v=" HIGH-VOLTAGE SEMICONDUCTOR  DEVICES AND METHODS OF MAKING THE DEVICES"/>
    <x v="1009"/>
    <s v="02/11/2016"/>
    <x v="0"/>
    <s v=""/>
    <x v="102"/>
    <x v="86"/>
    <x v="243"/>
    <x v="242"/>
    <x v="0"/>
  </r>
  <r>
    <x v="1560"/>
    <x v="261"/>
    <x v="222"/>
    <s v=" HIGH-VOLTAGE MOSFET DEVICES AND METHODS OF MAKING THE DEVICES"/>
    <x v="1010"/>
    <s v="09/18/2014"/>
    <x v="0"/>
    <s v=""/>
    <x v="359"/>
    <x v="331"/>
    <x v="243"/>
    <x v="242"/>
    <x v="0"/>
  </r>
  <r>
    <x v="1561"/>
    <x v="261"/>
    <x v="222"/>
    <s v=" HIGH-VOLTAGE MOSFET DEVICES AND METHODS OF MAKING THE DEVICES"/>
    <x v="1011"/>
    <s v="10/25/2017"/>
    <x v="0"/>
    <s v=""/>
    <x v="1"/>
    <x v="1"/>
    <x v="243"/>
    <x v="242"/>
    <x v="0"/>
  </r>
  <r>
    <x v="1562"/>
    <x v="261"/>
    <x v="222"/>
    <s v=" HIGH-VOLTAGE MOSFET DEVICES AND METHODS OF MAKING THE DEVICES"/>
    <x v="1012"/>
    <s v="08/11/2014"/>
    <x v="293"/>
    <s v="12/15/2015"/>
    <x v="1"/>
    <x v="1"/>
    <x v="243"/>
    <x v="242"/>
    <x v="0"/>
  </r>
  <r>
    <x v="1563"/>
    <x v="261"/>
    <x v="222"/>
    <s v=" HIGH-VOLTAGE MOSFET DEVICES AND METHODS OF MAKING THE DEVICES"/>
    <x v="1013"/>
    <s v="12/09/2015"/>
    <x v="294"/>
    <s v="12/26/2017"/>
    <x v="1"/>
    <x v="1"/>
    <x v="243"/>
    <x v="242"/>
    <x v="0"/>
  </r>
  <r>
    <x v="1564"/>
    <x v="261"/>
    <x v="222"/>
    <s v=" HIGH-VOLTAGE MOSFET DEVICES AND METHODS OF MAKING THE DEVICES"/>
    <x v="1014"/>
    <s v="12/11/2015"/>
    <x v="295"/>
    <s v="05/16/2018"/>
    <x v="1"/>
    <x v="1"/>
    <x v="243"/>
    <x v="242"/>
    <x v="0"/>
  </r>
  <r>
    <x v="1565"/>
    <x v="261"/>
    <x v="222"/>
    <s v=" HIGH-VOLTAGE SEMICONDUCTOR  DEVICES AND METHODS OF MAKING THE DEVICES"/>
    <x v="1015"/>
    <s v="01/23/2017"/>
    <x v="296"/>
    <s v="01/23/2018"/>
    <x v="1"/>
    <x v="1"/>
    <x v="243"/>
    <x v="242"/>
    <x v="0"/>
  </r>
  <r>
    <x v="1566"/>
    <x v="261"/>
    <x v="222"/>
    <s v="HIGH VOLTAGE SEMICONDUCTOR DEVICES AND METHODS OF MAKING THE DEVICES"/>
    <x v="1016"/>
    <s v="06/12/2014"/>
    <x v="0"/>
    <s v=""/>
    <x v="368"/>
    <x v="340"/>
    <x v="243"/>
    <x v="242"/>
    <x v="0"/>
  </r>
  <r>
    <x v="1567"/>
    <x v="261"/>
    <x v="222"/>
    <s v="HIGH VOLTAGE SEMICONDUCTOR DEVICES AND METHODS OF MAKING THE DEVICES"/>
    <x v="1017"/>
    <s v="02/11/2015"/>
    <x v="297"/>
    <s v="02/28/2017"/>
    <x v="1"/>
    <x v="1"/>
    <x v="243"/>
    <x v="242"/>
    <x v="0"/>
  </r>
  <r>
    <x v="1568"/>
    <x v="262"/>
    <x v="178"/>
    <s v="HYPE GALLIUM AUTOFILLER APPARATUS"/>
    <x v="1"/>
    <s v=""/>
    <x v="0"/>
    <s v=""/>
    <x v="1"/>
    <x v="1"/>
    <x v="244"/>
    <x v="243"/>
    <x v="0"/>
  </r>
  <r>
    <x v="1569"/>
    <x v="263"/>
    <x v="223"/>
    <s v="SEED SELECTION AND GROWTH FOR REDUCED CRACK GaN"/>
    <x v="1018"/>
    <s v="01/22/2015"/>
    <x v="0"/>
    <s v=""/>
    <x v="1"/>
    <x v="1"/>
    <x v="245"/>
    <x v="244"/>
    <x v="0"/>
  </r>
  <r>
    <x v="1570"/>
    <x v="264"/>
    <x v="224"/>
    <s v="DEEP PHOTOEHANCED WET ETCHING OF GAN USING HIGH-POWER UV LEDS"/>
    <x v="1"/>
    <s v=""/>
    <x v="0"/>
    <s v=""/>
    <x v="1"/>
    <x v="1"/>
    <x v="246"/>
    <x v="245"/>
    <x v="0"/>
  </r>
  <r>
    <x v="1571"/>
    <x v="264"/>
    <x v="224"/>
    <s v="PERFORATION PROCESS FOR GaN EPITAXIAL LIFT-OFF USING AN ETCH STOP LAYER"/>
    <x v="1"/>
    <s v=""/>
    <x v="0"/>
    <s v=""/>
    <x v="1"/>
    <x v="1"/>
    <x v="246"/>
    <x v="245"/>
    <x v="0"/>
  </r>
  <r>
    <x v="1572"/>
    <x v="265"/>
    <x v="225"/>
    <s v="IBAD-TEXTURED SUBSTRATES FOR GROWTH OF EPITAXIAL GROUP-III NITRIDE MATERIALS AND METHOD OF MAKING THE SAME"/>
    <x v="1019"/>
    <s v="02/10/2015"/>
    <x v="0"/>
    <s v=""/>
    <x v="1"/>
    <x v="1"/>
    <x v="247"/>
    <x v="246"/>
    <x v="0"/>
  </r>
  <r>
    <x v="1573"/>
    <x v="265"/>
    <x v="225"/>
    <s v="EPITAXIAL HEXAGONAL MATERIALS ON IBAD-TEXTURED SUBSTRATES"/>
    <x v="1020"/>
    <s v="02/10/2016"/>
    <x v="0"/>
    <s v=""/>
    <x v="71"/>
    <x v="58"/>
    <x v="247"/>
    <x v="246"/>
    <x v="0"/>
  </r>
  <r>
    <x v="1574"/>
    <x v="265"/>
    <x v="225"/>
    <s v="GROUP-III NITRIDE DEVICES AND SYSTEMS ON IBAD-TEXTURED SUBSTRATES"/>
    <x v="1021"/>
    <s v="08/11/2017"/>
    <x v="0"/>
    <s v=""/>
    <x v="1"/>
    <x v="1"/>
    <x v="247"/>
    <x v="246"/>
    <x v="0"/>
  </r>
  <r>
    <x v="1575"/>
    <x v="265"/>
    <x v="225"/>
    <s v="IBAD-TEXTURED SUBSTRATES FOR GROWTH OF EPITAXIAL GROUP-III NITRIDE MATERIALS AND METHOD OF MAKING THE SAME"/>
    <x v="1022"/>
    <s v="12/03/2015"/>
    <x v="0"/>
    <s v=""/>
    <x v="1"/>
    <x v="1"/>
    <x v="247"/>
    <x v="246"/>
    <x v="0"/>
  </r>
  <r>
    <x v="1576"/>
    <x v="265"/>
    <x v="225"/>
    <s v="EPITAXIAL HEXAGONAL MATERIALS ON IBAD-TEXTURED"/>
    <x v="1023"/>
    <s v="02/10/2016"/>
    <x v="0"/>
    <s v=""/>
    <x v="1"/>
    <x v="1"/>
    <x v="247"/>
    <x v="246"/>
    <x v="0"/>
  </r>
  <r>
    <x v="1577"/>
    <x v="265"/>
    <x v="225"/>
    <s v="IBAD-TEXTURED SUBSTRATES FOR GROWTH OF EPITAXIAL GROUP - III NITRIDE MATERIALS AND METHOD OF MAKING THE SAME"/>
    <x v="1022"/>
    <s v="12/03/2015"/>
    <x v="0"/>
    <s v=""/>
    <x v="1"/>
    <x v="1"/>
    <x v="247"/>
    <x v="246"/>
    <x v="0"/>
  </r>
  <r>
    <x v="1578"/>
    <x v="265"/>
    <x v="225"/>
    <s v="IBAD-TEXTURED SUBSTRATES FOR GROWTH OF EPITAXIAL GROUP - III NITRIDE MATERIALS AND METHOD OF MAKING THE SAME"/>
    <x v="1022"/>
    <s v="12/03/2015"/>
    <x v="0"/>
    <s v=""/>
    <x v="1"/>
    <x v="1"/>
    <x v="247"/>
    <x v="246"/>
    <x v="0"/>
  </r>
  <r>
    <x v="1577"/>
    <x v="265"/>
    <x v="225"/>
    <s v="IBAD-TEXTURED SUBSTRATES FOR GROWTH OF EPITAXIAL GROUP - III NITRIDE MATERIALS AND METHOD OF MAKING THE SAME"/>
    <x v="1019"/>
    <s v="02/10/2015"/>
    <x v="0"/>
    <s v=""/>
    <x v="1"/>
    <x v="1"/>
    <x v="247"/>
    <x v="246"/>
    <x v="0"/>
  </r>
  <r>
    <x v="1579"/>
    <x v="265"/>
    <x v="225"/>
    <s v="EDGE-LIT LED BACKLIGHT UNIT"/>
    <x v="1022"/>
    <s v="12/03/2015"/>
    <x v="0"/>
    <s v=""/>
    <x v="1"/>
    <x v="1"/>
    <x v="247"/>
    <x v="246"/>
    <x v="0"/>
  </r>
  <r>
    <x v="1580"/>
    <x v="265"/>
    <x v="225"/>
    <s v="EDGE-LIT LED BACKLIGHT UNIT"/>
    <x v="1024"/>
    <s v="01/30/2017"/>
    <x v="0"/>
    <s v=""/>
    <x v="1"/>
    <x v="1"/>
    <x v="247"/>
    <x v="246"/>
    <x v="0"/>
  </r>
  <r>
    <x v="1576"/>
    <x v="265"/>
    <x v="225"/>
    <s v="EPITAXIAL HEXAGONAL MATERIALS ON IBAD-TEXTURED SUBSTRATES"/>
    <x v="1020"/>
    <s v="02/10/2016"/>
    <x v="0"/>
    <s v=""/>
    <x v="71"/>
    <x v="58"/>
    <x v="247"/>
    <x v="246"/>
    <x v="0"/>
  </r>
  <r>
    <x v="1581"/>
    <x v="265"/>
    <x v="225"/>
    <s v="EPITAXIAL HEXAGONAL MATERIALS ON IBAD-TEXTURED SUBSTRATES"/>
    <x v="1025"/>
    <s v="02/10/2016"/>
    <x v="298"/>
    <s v="08/15/2017"/>
    <x v="1"/>
    <x v="1"/>
    <x v="247"/>
    <x v="246"/>
    <x v="0"/>
  </r>
  <r>
    <x v="1582"/>
    <x v="265"/>
    <x v="225"/>
    <s v="EDGE-LIT LED BACKLIGHT UNIT"/>
    <x v="1"/>
    <s v=""/>
    <x v="0"/>
    <s v=""/>
    <x v="1"/>
    <x v="1"/>
    <x v="247"/>
    <x v="246"/>
    <x v="0"/>
  </r>
  <r>
    <x v="1583"/>
    <x v="266"/>
    <x v="85"/>
    <s v="MG DOPED GATE DIELECTRICS FOR NITRIDE VERTICAL TRANSISTORS"/>
    <x v="1026"/>
    <s v="07/28/2017"/>
    <x v="0"/>
    <s v=""/>
    <x v="1"/>
    <x v="1"/>
    <x v="248"/>
    <x v="247"/>
    <x v="0"/>
  </r>
  <r>
    <x v="1584"/>
    <x v="266"/>
    <x v="85"/>
    <s v="TUNNEL BARRIER SCHOTTKY"/>
    <x v="1027"/>
    <s v="04/07/2016"/>
    <x v="299"/>
    <s v="02/20/2018"/>
    <x v="1"/>
    <x v="1"/>
    <x v="248"/>
    <x v="247"/>
    <x v="0"/>
  </r>
  <r>
    <x v="1585"/>
    <x v="266"/>
    <x v="85"/>
    <s v="METHOD OF FABRICATING GaN-BASED MICRO-CHANNELS FOR MICRO-FLUID DEVICES"/>
    <x v="1"/>
    <s v=""/>
    <x v="0"/>
    <s v=""/>
    <x v="1"/>
    <x v="1"/>
    <x v="248"/>
    <x v="247"/>
    <x v="0"/>
  </r>
  <r>
    <x v="1586"/>
    <x v="266"/>
    <x v="85"/>
    <s v="ILL-NITRIDE TRANSISTORS WITH TRENCH GATE"/>
    <x v="1028"/>
    <s v="04/14/2016"/>
    <x v="300"/>
    <s v="01/09/2018"/>
    <x v="1"/>
    <x v="1"/>
    <x v="248"/>
    <x v="247"/>
    <x v="0"/>
  </r>
  <r>
    <x v="1587"/>
    <x v="266"/>
    <x v="85"/>
    <s v="A NEW METHOD FOR DEFECT FREE GALLIUM NITRIDE DRY ETCH WITH PROCESS FRIENDLY PROFILE"/>
    <x v="1"/>
    <s v=""/>
    <x v="0"/>
    <s v=""/>
    <x v="1"/>
    <x v="1"/>
    <x v="248"/>
    <x v="247"/>
    <x v="0"/>
  </r>
  <r>
    <x v="1588"/>
    <x v="267"/>
    <x v="9"/>
    <s v="III-NITRIDE VERTICAL TRANSISTOR WITH APERTURE REGION FORMED USING ION IMPLANTATION AS A PATH TO ACHIEVE SELECTIVE AREA DOPING"/>
    <x v="1"/>
    <s v=""/>
    <x v="0"/>
    <s v=""/>
    <x v="1"/>
    <x v="1"/>
    <x v="249"/>
    <x v="248"/>
    <x v="0"/>
  </r>
  <r>
    <x v="1589"/>
    <x v="267"/>
    <x v="217"/>
    <s v="III-NITRIDE VERTICAL TRANSISTOR WITH APERTURE REGION FORMED USING ION IMPLANTATION"/>
    <x v="1029"/>
    <s v="05/12/2016"/>
    <x v="0"/>
    <s v=""/>
    <x v="1"/>
    <x v="1"/>
    <x v="249"/>
    <x v="248"/>
    <x v="0"/>
  </r>
  <r>
    <x v="1590"/>
    <x v="268"/>
    <x v="37"/>
    <s v="NEW STRUCTURE FOR GAN VERTICAL TRANSISTORS"/>
    <x v="1030"/>
    <s v="04/09/2019"/>
    <x v="0"/>
    <s v=""/>
    <x v="1"/>
    <x v="1"/>
    <x v="250"/>
    <x v="249"/>
    <x v="0"/>
  </r>
  <r>
    <x v="1591"/>
    <x v="268"/>
    <x v="37"/>
    <s v="NEW STRUCTURE FOR GAN VERTICAL TRANSISTORS"/>
    <x v="1031"/>
    <s v="12/22/2016"/>
    <x v="0"/>
    <s v=""/>
    <x v="1"/>
    <x v="1"/>
    <x v="250"/>
    <x v="249"/>
    <x v="0"/>
  </r>
  <r>
    <x v="1592"/>
    <x v="268"/>
    <x v="37"/>
    <s v="III-NITRIDE VERTICAL TRENCH-BASED POWER DEVICE"/>
    <x v="1"/>
    <s v=""/>
    <x v="0"/>
    <s v=""/>
    <x v="1"/>
    <x v="1"/>
    <x v="250"/>
    <x v="249"/>
    <x v="0"/>
  </r>
  <r>
    <x v="1593"/>
    <x v="268"/>
    <x v="226"/>
    <m/>
    <x v="1"/>
    <s v=""/>
    <x v="0"/>
    <s v=""/>
    <x v="1"/>
    <x v="1"/>
    <x v="250"/>
    <x v="249"/>
    <x v="0"/>
  </r>
  <r>
    <x v="1594"/>
    <x v="269"/>
    <x v="9"/>
    <s v="SAMPLE STAGE/HOLDER FOR IMPROVED THERMAL CONTROL AT ELEVATED GROWTH TEMPERATURES"/>
    <x v="1032"/>
    <s v="05/10/2017"/>
    <x v="0"/>
    <s v=""/>
    <x v="363"/>
    <x v="335"/>
    <x v="251"/>
    <x v="250"/>
    <x v="0"/>
  </r>
  <r>
    <x v="1595"/>
    <x v="269"/>
    <x v="9"/>
    <s v="PHOSPHORUS INCORPORATION FOR N-TYPE DOPING OF DIAMOND WITH (100) AND RELATED SURFACE ORIENTATION"/>
    <x v="1"/>
    <s v=""/>
    <x v="0"/>
    <s v=""/>
    <x v="1"/>
    <x v="1"/>
    <x v="251"/>
    <x v="250"/>
    <x v="0"/>
  </r>
  <r>
    <x v="1596"/>
    <x v="269"/>
    <x v="9"/>
    <s v="CURRENT GENERATION FROM RADIATION WITH DIAMOND PIN DIODE DEVICES FOR DETECTION OR POWER GENERATION"/>
    <x v="1"/>
    <s v=""/>
    <x v="0"/>
    <s v=""/>
    <x v="1"/>
    <x v="1"/>
    <x v="251"/>
    <x v="250"/>
    <x v="0"/>
  </r>
  <r>
    <x v="1597"/>
    <x v="269"/>
    <x v="9"/>
    <s v="DIAMOND BASED CURRENT APERTURE VERTICAL TRANSISTOR AND METHODS OF MAKING AND USING THE SAME."/>
    <x v="1033"/>
    <s v="11/28/2017"/>
    <x v="301"/>
    <s v="09/17/2019"/>
    <x v="1"/>
    <x v="1"/>
    <x v="251"/>
    <x v="250"/>
    <x v="0"/>
  </r>
  <r>
    <x v="1598"/>
    <x v="270"/>
    <x v="65"/>
    <s v="POLARIZATION INDUCED DOPED TRANSISTOR (formerly INTEGRATED VERTICAL POWER TRANSISTOR DEVICE)"/>
    <x v="1034"/>
    <s v="08/27/2014"/>
    <x v="302"/>
    <s v="06/07/2016"/>
    <x v="1"/>
    <x v="1"/>
    <x v="252"/>
    <x v="251"/>
    <x v="0"/>
  </r>
  <r>
    <x v="1599"/>
    <x v="270"/>
    <x v="65"/>
    <s v="COOPERATIVE CHEMICAL ADSORPTION OF CARBON DIOXIDE IN METAL-ORGANIC FRAMEWORKS"/>
    <x v="1"/>
    <s v=""/>
    <x v="0"/>
    <s v=""/>
    <x v="1"/>
    <x v="1"/>
    <x v="252"/>
    <x v="251"/>
    <x v="0"/>
  </r>
  <r>
    <x v="1600"/>
    <x v="271"/>
    <x v="0"/>
    <s v="THE MWPACVD GROWTH OF LARGE AREA, RIM FREE, AND STRESS FREE SINGLE CRYSTAL DIAMOND"/>
    <x v="1"/>
    <s v=""/>
    <x v="0"/>
    <s v=""/>
    <x v="1"/>
    <x v="1"/>
    <x v="253"/>
    <x v="252"/>
    <x v="0"/>
  </r>
  <r>
    <x v="1601"/>
    <x v="272"/>
    <x v="227"/>
    <s v="METABOLICALLY EMGINEERED METHANOTROPHIC PHOTOTROPHIC MICROORGANISMS"/>
    <x v="1035"/>
    <s v="10/14/2014"/>
    <x v="0"/>
    <s v=""/>
    <x v="1"/>
    <x v="1"/>
    <x v="254"/>
    <x v="253"/>
    <x v="0"/>
  </r>
  <r>
    <x v="1602"/>
    <x v="273"/>
    <x v="9"/>
    <s v="REDOX ACTIVE POLYMER DEVICES AND METHODS OF USING AND MANUFACTURING THE SAME"/>
    <x v="1036"/>
    <s v="05/11/2015"/>
    <x v="0"/>
    <s v=""/>
    <x v="369"/>
    <x v="341"/>
    <x v="23"/>
    <x v="23"/>
    <x v="0"/>
  </r>
  <r>
    <x v="1603"/>
    <x v="273"/>
    <x v="9"/>
    <s v="REDOX ACTIVE POLYMER DEVICES AND METHODS OF USING AND MANUFACTURING THE SAME"/>
    <x v="1037"/>
    <s v="05/12/2015"/>
    <x v="0"/>
    <s v=""/>
    <x v="370"/>
    <x v="342"/>
    <x v="23"/>
    <x v="23"/>
    <x v="0"/>
  </r>
  <r>
    <x v="1604"/>
    <x v="273"/>
    <x v="9"/>
    <s v="ELECTROCHEMICAL ENERGY STORAGE DEVICES COMPRISING SELF-COMPENSATING ZWITTERIONIC POLYMERS"/>
    <x v="1038"/>
    <s v="05/12/2015"/>
    <x v="0"/>
    <s v=""/>
    <x v="371"/>
    <x v="343"/>
    <x v="23"/>
    <x v="23"/>
    <x v="0"/>
  </r>
  <r>
    <x v="1605"/>
    <x v="274"/>
    <x v="147"/>
    <s v="MULTI-ARC REACTOR WITH TWO BEDS"/>
    <x v="1"/>
    <s v=""/>
    <x v="0"/>
    <s v=""/>
    <x v="1"/>
    <x v="1"/>
    <x v="255"/>
    <x v="254"/>
    <x v="0"/>
  </r>
  <r>
    <x v="1606"/>
    <x v="274"/>
    <x v="147"/>
    <s v="A PROCESS FOR DIRECT, LOW COST PRODUCTION OF TI ALLOY PELLETS"/>
    <x v="1"/>
    <s v=""/>
    <x v="0"/>
    <s v=""/>
    <x v="1"/>
    <x v="1"/>
    <x v="255"/>
    <x v="254"/>
    <x v="0"/>
  </r>
  <r>
    <x v="1607"/>
    <x v="275"/>
    <x v="228"/>
    <s v="SORPTION PUMPS AND STORAGE FOR GASES_x000d_"/>
    <x v="1039"/>
    <s v="07/13/2016"/>
    <x v="0"/>
    <s v=""/>
    <x v="1"/>
    <x v="1"/>
    <x v="256"/>
    <x v="255"/>
    <x v="0"/>
  </r>
  <r>
    <x v="1608"/>
    <x v="275"/>
    <x v="228"/>
    <s v="SORPTION PUMPS AND STORAGE FOR GASES"/>
    <x v="1040"/>
    <s v="08/18/2014"/>
    <x v="303"/>
    <s v="08/16/2016"/>
    <x v="1"/>
    <x v="1"/>
    <x v="256"/>
    <x v="255"/>
    <x v="0"/>
  </r>
  <r>
    <x v="1609"/>
    <x v="275"/>
    <x v="228"/>
    <s v="SPACE-FILLING POLYHEDRAL SORBENTS"/>
    <x v="1041"/>
    <s v="10/03/2014"/>
    <x v="304"/>
    <s v="06/21/2016"/>
    <x v="1"/>
    <x v="1"/>
    <x v="256"/>
    <x v="255"/>
    <x v="0"/>
  </r>
  <r>
    <x v="1610"/>
    <x v="275"/>
    <x v="228"/>
    <s v="MICROPOROUS CARBON ADSORBENTS FROM NATURAL CARBOHYDRATES"/>
    <x v="1"/>
    <s v=""/>
    <x v="0"/>
    <s v=""/>
    <x v="1"/>
    <x v="1"/>
    <x v="256"/>
    <x v="255"/>
    <x v="0"/>
  </r>
  <r>
    <x v="1611"/>
    <x v="275"/>
    <x v="228"/>
    <s v="FLUID COMPRESSION SYSTEM"/>
    <x v="1"/>
    <s v=""/>
    <x v="0"/>
    <s v=""/>
    <x v="1"/>
    <x v="1"/>
    <x v="256"/>
    <x v="255"/>
    <x v="0"/>
  </r>
  <r>
    <x v="1612"/>
    <x v="276"/>
    <x v="229"/>
    <s v="HYDRID THERMAL AND ELECTRICALLY DRIVEN DESALINATION"/>
    <x v="1"/>
    <s v=""/>
    <x v="0"/>
    <s v=""/>
    <x v="1"/>
    <x v="1"/>
    <x v="257"/>
    <x v="256"/>
    <x v="0"/>
  </r>
  <r>
    <x v="1613"/>
    <x v="276"/>
    <x v="229"/>
    <s v="APPARATUS FOR CO-PRODUCTION OF HIGH TEMPERATURE THERMAL ENERGY AND ELECTRICAL ENERGY FROM SOLAR IRRADIANCE"/>
    <x v="1"/>
    <s v=""/>
    <x v="0"/>
    <s v=""/>
    <x v="1"/>
    <x v="1"/>
    <x v="257"/>
    <x v="256"/>
    <x v="0"/>
  </r>
  <r>
    <x v="1614"/>
    <x v="276"/>
    <x v="229"/>
    <s v="APPARATUS FOR CO-PRODUCTION OF HIGH TEMPERATURE THERMAL ENERGY AND ELECTRICAL ENERGY FROM SOLAR IRRADIANCE"/>
    <x v="1042"/>
    <s v="02/02/2017"/>
    <x v="0"/>
    <s v=""/>
    <x v="142"/>
    <x v="127"/>
    <x v="257"/>
    <x v="256"/>
    <x v="0"/>
  </r>
  <r>
    <x v="1615"/>
    <x v="277"/>
    <x v="144"/>
    <s v="HYBRID SOLAR RECEIVER"/>
    <x v="1043"/>
    <s v="07/30/2018"/>
    <x v="0"/>
    <s v=""/>
    <x v="1"/>
    <x v="1"/>
    <x v="258"/>
    <x v="257"/>
    <x v="0"/>
  </r>
  <r>
    <x v="1616"/>
    <x v="277"/>
    <x v="144"/>
    <s v="HEAT TRANSFER FLUID"/>
    <x v="1044"/>
    <s v="06/21/2016"/>
    <x v="0"/>
    <s v=""/>
    <x v="1"/>
    <x v="1"/>
    <x v="258"/>
    <x v="257"/>
    <x v="0"/>
  </r>
  <r>
    <x v="1617"/>
    <x v="277"/>
    <x v="144"/>
    <s v="HOT AND COLD ENERGY TRNASFER, TRANSPORT AND STORAGE"/>
    <x v="1045"/>
    <s v="03/20/2017"/>
    <x v="0"/>
    <s v=""/>
    <x v="1"/>
    <x v="1"/>
    <x v="258"/>
    <x v="257"/>
    <x v="0"/>
  </r>
  <r>
    <x v="1618"/>
    <x v="278"/>
    <x v="230"/>
    <s v="HYBRID TROUGH SOLAR POWER SYSTEM USING PHOTOBOLTAIC TWO-STAGE LIGHT CONCENTRATION"/>
    <x v="1"/>
    <s v=""/>
    <x v="0"/>
    <s v=""/>
    <x v="1"/>
    <x v="1"/>
    <x v="62"/>
    <x v="62"/>
    <x v="0"/>
  </r>
  <r>
    <x v="1619"/>
    <x v="278"/>
    <x v="230"/>
    <s v="HYBRID TROUGH SOLAR POWER SYSTEM USING PHOTOVOLTAIC TWO-LIGHT CONCENTRATION"/>
    <x v="1046"/>
    <s v="10/01/2014"/>
    <x v="305"/>
    <s v="09/26/2017"/>
    <x v="1"/>
    <x v="1"/>
    <x v="62"/>
    <x v="62"/>
    <x v="0"/>
  </r>
  <r>
    <x v="1620"/>
    <x v="278"/>
    <x v="230"/>
    <s v="SOLAR CONENTRATOR WITH ASYMMETRIC TRACKING-INTEGRATED OPTICS"/>
    <x v="1047"/>
    <s v="12/19/2014"/>
    <x v="306"/>
    <s v="10/10/2017"/>
    <x v="1"/>
    <x v="1"/>
    <x v="62"/>
    <x v="62"/>
    <x v="0"/>
  </r>
  <r>
    <x v="1621"/>
    <x v="278"/>
    <x v="231"/>
    <s v="FLEXIBLE CURVED REFLECTOR ELEMENTS"/>
    <x v="1048"/>
    <s v="02/28/2018"/>
    <x v="0"/>
    <s v=""/>
    <x v="1"/>
    <x v="1"/>
    <x v="62"/>
    <x v="62"/>
    <x v="0"/>
  </r>
  <r>
    <x v="1622"/>
    <x v="278"/>
    <x v="231"/>
    <s v="FLEXIBLE CURVED COMPONENTS FOR PROVIDING SPECTRAL CHARACTERISTICS FOR LARGE SURFACES"/>
    <x v="1049"/>
    <s v=""/>
    <x v="0"/>
    <s v=""/>
    <x v="1"/>
    <x v="1"/>
    <x v="62"/>
    <x v="62"/>
    <x v="0"/>
  </r>
  <r>
    <x v="1422"/>
    <x v="279"/>
    <x v="232"/>
    <s v="TEMPERATURE-STAGED THERMAL ENERGY STORAGE ENABLING LOW THERMAL EXERGY LOSS REFLUX BOILING IN FULL SPECTRUM SOLAR SYSTEMS"/>
    <x v="1050"/>
    <s v="12/16/2016"/>
    <x v="0"/>
    <s v=""/>
    <x v="1"/>
    <x v="1"/>
    <x v="259"/>
    <x v="258"/>
    <x v="0"/>
  </r>
  <r>
    <x v="1623"/>
    <x v="280"/>
    <x v="86"/>
    <s v="METHOD AND SYSTEM FOR CARBON DIOXIDE ENERGY STORAGE IN A POWER GENERATION SYSTEM"/>
    <x v="1051"/>
    <s v="12/02/2016"/>
    <x v="0"/>
    <s v=""/>
    <x v="1"/>
    <x v="1"/>
    <x v="260"/>
    <x v="259"/>
    <x v="0"/>
  </r>
  <r>
    <x v="1624"/>
    <x v="280"/>
    <x v="86"/>
    <s v="METHOD OF CREATING AND USING AN INTERMEDIATE TEMPERATURE THERMAL STORAGE IN A PUMPED-HEAT ELECTRICAL STORAGE CYCLE"/>
    <x v="1052"/>
    <s v="05/24/2017"/>
    <x v="0"/>
    <s v=""/>
    <x v="1"/>
    <x v="1"/>
    <x v="260"/>
    <x v="259"/>
    <x v="0"/>
  </r>
  <r>
    <x v="1625"/>
    <x v="280"/>
    <x v="86"/>
    <s v="USE OF THERMAL BARRIER COATING TO INHIBIT COOLING IN TURBO-MACHINERY"/>
    <x v="1"/>
    <s v=""/>
    <x v="0"/>
    <s v=""/>
    <x v="1"/>
    <x v="1"/>
    <x v="260"/>
    <x v="259"/>
    <x v="0"/>
  </r>
  <r>
    <x v="1626"/>
    <x v="280"/>
    <x v="86"/>
    <s v="A RE-HEAT CYCLE UTILIZING STORED THERMAL ENERGY AS THE HEAT INPUT WITH A LARGE PRESSURE RATIO FROM BELOW AMBIENT CONDENSATION"/>
    <x v="1"/>
    <s v=""/>
    <x v="0"/>
    <s v=""/>
    <x v="1"/>
    <x v="1"/>
    <x v="260"/>
    <x v="259"/>
    <x v="0"/>
  </r>
  <r>
    <x v="1627"/>
    <x v="280"/>
    <x v="86"/>
    <s v="SLIDER LOCK CONCEPT USED TO CONNECT SPLIT CASES INSTEAD OF USING CONVENTIONAL BOLTED SPLIT FLANGES"/>
    <x v="1"/>
    <s v=""/>
    <x v="0"/>
    <s v=""/>
    <x v="1"/>
    <x v="1"/>
    <x v="260"/>
    <x v="259"/>
    <x v="0"/>
  </r>
  <r>
    <x v="1628"/>
    <x v="281"/>
    <x v="20"/>
    <s v="METHOD OF INCREASING ILL-NITRIDE SEMICONDUCTOR GROWTH RATE AND REDUCED DAMAGING ION FLUX CONTENT"/>
    <x v="1053"/>
    <s v="12/20/2017"/>
    <x v="0"/>
    <s v=""/>
    <x v="1"/>
    <x v="1"/>
    <x v="261"/>
    <x v="260"/>
    <x v="0"/>
  </r>
  <r>
    <x v="1629"/>
    <x v="282"/>
    <x v="37"/>
    <s v="ENERGY EFFICIENT, SOUNDPROOFING WINDOWS AND WINDOW RETROFITS"/>
    <x v="1054"/>
    <s v="04/25/2019"/>
    <x v="0"/>
    <s v=""/>
    <x v="1"/>
    <x v="1"/>
    <x v="102"/>
    <x v="102"/>
    <x v="0"/>
  </r>
  <r>
    <x v="1630"/>
    <x v="282"/>
    <x v="37"/>
    <s v="SOLAR THERMAL AEROGEL RECEIVER AND MATERIALS THEREFOR"/>
    <x v="1055"/>
    <s v="08/23/2018"/>
    <x v="0"/>
    <s v=""/>
    <x v="1"/>
    <x v="1"/>
    <x v="102"/>
    <x v="102"/>
    <x v="0"/>
  </r>
  <r>
    <x v="1631"/>
    <x v="282"/>
    <x v="37"/>
    <s v="THERMAL STABILITY STUDIES ON MULTIMETAL FILLED YSZ CERMET-BASED SPECTRALLY SELECTIVE SOLAR ABSORBERS BY TUNING OXYGEN DEFICIENCY IN YSZ"/>
    <x v="1"/>
    <s v=""/>
    <x v="0"/>
    <s v=""/>
    <x v="1"/>
    <x v="1"/>
    <x v="102"/>
    <x v="102"/>
    <x v="0"/>
  </r>
  <r>
    <x v="1632"/>
    <x v="283"/>
    <x v="37"/>
    <s v="GERMANIUM PHOTODETECTOR ON AMORPHOUS SUBSTRATES"/>
    <x v="1056"/>
    <s v="04/13/2017"/>
    <x v="0"/>
    <s v=""/>
    <x v="1"/>
    <x v="1"/>
    <x v="262"/>
    <x v="261"/>
    <x v="0"/>
  </r>
  <r>
    <x v="1633"/>
    <x v="283"/>
    <x v="37"/>
    <s v="SELECTIVE EPITAXIAL GROWTH PATTERNS FOR DISLOCATION REDUCTION"/>
    <x v="1"/>
    <s v=""/>
    <x v="0"/>
    <s v=""/>
    <x v="1"/>
    <x v="1"/>
    <x v="262"/>
    <x v="261"/>
    <x v="0"/>
  </r>
  <r>
    <x v="1634"/>
    <x v="283"/>
    <x v="37"/>
    <s v="CONCENTRATED PHOTOVOLTAIC AND SOLAR THERMAL SYSTEM WITH SPECTRUM SPLITTING"/>
    <x v="1"/>
    <s v=""/>
    <x v="0"/>
    <s v=""/>
    <x v="1"/>
    <x v="1"/>
    <x v="262"/>
    <x v="261"/>
    <x v="0"/>
  </r>
  <r>
    <x v="1635"/>
    <x v="284"/>
    <x v="233"/>
    <s v="DIRECT FLUID COOLING SOLAR MODULE FOR HYBRID PHOTOVOLTAIC-SOLAR THERMAL ENERGY CONVERSERSION"/>
    <x v="1057"/>
    <s v="06/14/2019"/>
    <x v="0"/>
    <s v=""/>
    <x v="1"/>
    <x v="1"/>
    <x v="263"/>
    <x v="262"/>
    <x v="0"/>
  </r>
  <r>
    <x v="1636"/>
    <x v="284"/>
    <x v="233"/>
    <s v="A SUNFLOWER RECEIVER FOR HYBRID CPV/T ENERGY CONVERSION"/>
    <x v="1058"/>
    <s v="06/14/2019"/>
    <x v="0"/>
    <s v=""/>
    <x v="1"/>
    <x v="1"/>
    <x v="263"/>
    <x v="262"/>
    <x v="0"/>
  </r>
  <r>
    <x v="1637"/>
    <x v="284"/>
    <x v="233"/>
    <s v="TRANSPARENT ACTIVE AND PASSIVE COOLING FOR CONCENTRATED PHOTOVOLTAIC DEVICES"/>
    <x v="1059"/>
    <s v="09/27/2018"/>
    <x v="0"/>
    <s v=""/>
    <x v="1"/>
    <x v="1"/>
    <x v="263"/>
    <x v="262"/>
    <x v="0"/>
  </r>
  <r>
    <x v="1638"/>
    <x v="284"/>
    <x v="233"/>
    <s v="CONCENTRATED SOLAR PHOTOVOLTAIC AND PHOTOTHERMAL SYSTEM FOR ENERGY GENERATION AND STORAGE"/>
    <x v="1060"/>
    <s v="02/24/2017"/>
    <x v="0"/>
    <s v=""/>
    <x v="1"/>
    <x v="1"/>
    <x v="263"/>
    <x v="262"/>
    <x v="0"/>
  </r>
  <r>
    <x v="1639"/>
    <x v="284"/>
    <x v="233"/>
    <s v="CONCENTRATED SOLAR PHOTOVOLTAIC AND PHOTOTHERMAL SYSTEM FOR ENERGY GENERATION AND STORAGE"/>
    <x v="1061"/>
    <s v="02/26/2018"/>
    <x v="0"/>
    <s v=""/>
    <x v="127"/>
    <x v="111"/>
    <x v="263"/>
    <x v="262"/>
    <x v="0"/>
  </r>
  <r>
    <x v="1640"/>
    <x v="284"/>
    <x v="233"/>
    <s v="INFARED-TRANSPARENT PHOTOVOLTAICS FOR COUPLING SOLAR ELECTRIC TO SOLAR THERMAL ENERGY GENERATION"/>
    <x v="1062"/>
    <s v="12/27/2016"/>
    <x v="0"/>
    <s v=""/>
    <x v="1"/>
    <x v="1"/>
    <x v="263"/>
    <x v="262"/>
    <x v="0"/>
  </r>
  <r>
    <x v="1641"/>
    <x v="285"/>
    <x v="9"/>
    <s v="PARABOLIC TROUGH EMPLOYING SILICON SOLAR CELLS AS A WAVELENGTH-SELECTIVE MIRROR"/>
    <x v="1063"/>
    <s v="02/03/2015"/>
    <x v="0"/>
    <s v=""/>
    <x v="372"/>
    <x v="344"/>
    <x v="264"/>
    <x v="263"/>
    <x v="0"/>
  </r>
  <r>
    <x v="1642"/>
    <x v="285"/>
    <x v="9"/>
    <s v="WAVELENGTH-SELECTIVE SPECULARLY REFLECTING PHOTOVOLTAIC MODULE AND MANUFACTURE THEREOF"/>
    <x v="1064"/>
    <s v="08/22/2017"/>
    <x v="0"/>
    <s v=""/>
    <x v="357"/>
    <x v="329"/>
    <x v="264"/>
    <x v="263"/>
    <x v="0"/>
  </r>
  <r>
    <x v="1643"/>
    <x v="285"/>
    <x v="8"/>
    <s v="PARABOLIC TROUGH EMPLOYNG SILICON SOLAR CELLS AS A WAVELENGTH-SELECTIVE MIRROR"/>
    <x v="1"/>
    <s v=""/>
    <x v="0"/>
    <s v=""/>
    <x v="1"/>
    <x v="1"/>
    <x v="264"/>
    <x v="263"/>
    <x v="0"/>
  </r>
  <r>
    <x v="1644"/>
    <x v="286"/>
    <x v="20"/>
    <s v="METHOD OF INCREASING ILL-NITRIDE SEMICONDUCTOR GROWTH RATE AND REDUCED DAMAGING ION FLUX CONTENT"/>
    <x v="1053"/>
    <s v="12/20/2017"/>
    <x v="0"/>
    <s v=""/>
    <x v="1"/>
    <x v="1"/>
    <x v="265"/>
    <x v="264"/>
    <x v="0"/>
  </r>
  <r>
    <x v="1645"/>
    <x v="286"/>
    <x v="202"/>
    <s v="COMPRESSOR-LESS COOLING SYSTEM"/>
    <x v="1"/>
    <s v=""/>
    <x v="0"/>
    <s v=""/>
    <x v="1"/>
    <x v="1"/>
    <x v="265"/>
    <x v="264"/>
    <x v="0"/>
  </r>
  <r>
    <x v="1646"/>
    <x v="287"/>
    <x v="234"/>
    <s v="ELECTROCHROME DEVICES AND METHODS OF MAKING AND USE THEREOF"/>
    <x v="1065"/>
    <s v="02/26/2019"/>
    <x v="0"/>
    <s v=""/>
    <x v="1"/>
    <x v="1"/>
    <x v="266"/>
    <x v="265"/>
    <x v="0"/>
  </r>
  <r>
    <x v="1647"/>
    <x v="287"/>
    <x v="234"/>
    <s v="ELECTROCHROMIC DEVICES AND METHODS OF MAKING AND USE THEREOF"/>
    <x v="1066"/>
    <s v="08/24/2017"/>
    <x v="0"/>
    <s v=""/>
    <x v="140"/>
    <x v="125"/>
    <x v="266"/>
    <x v="265"/>
    <x v="0"/>
  </r>
  <r>
    <x v="1648"/>
    <x v="287"/>
    <x v="234"/>
    <s v="METHOD FOR PRODUCING ELECTROCHROMIC FILMS BY LOW TEMPERATURTE ELECTRODEPOSITION OF POLYOXOMETALATES"/>
    <x v="1067"/>
    <s v="04/14/2015"/>
    <x v="0"/>
    <s v=""/>
    <x v="352"/>
    <x v="324"/>
    <x v="266"/>
    <x v="265"/>
    <x v="0"/>
  </r>
  <r>
    <x v="1649"/>
    <x v="287"/>
    <x v="234"/>
    <s v="METHOD FOR PRODUCING ELECTROCHROMIC FILMS BY LOW TEMPERATURTE ELECTRODEPOSITION OF POLYOXOMETALATES"/>
    <x v="1068"/>
    <s v="04/14/2015"/>
    <x v="0"/>
    <s v=""/>
    <x v="1"/>
    <x v="1"/>
    <x v="266"/>
    <x v="265"/>
    <x v="0"/>
  </r>
  <r>
    <x v="1650"/>
    <x v="287"/>
    <x v="234"/>
    <s v=" ELECTROCHROMIC ELECTRODES AND METHODS OF MAKING AND USE THEREOF"/>
    <x v="1069"/>
    <s v="10/25/2018"/>
    <x v="0"/>
    <s v=""/>
    <x v="1"/>
    <x v="1"/>
    <x v="266"/>
    <x v="265"/>
    <x v="0"/>
  </r>
  <r>
    <x v="1651"/>
    <x v="287"/>
    <x v="234"/>
    <s v="ELECTROCHROMIC DEVICES AND METHODS OF MAKING AND USE THEREOF"/>
    <x v="1070"/>
    <s v="08/26/2016"/>
    <x v="0"/>
    <s v=""/>
    <x v="1"/>
    <x v="1"/>
    <x v="266"/>
    <x v="265"/>
    <x v="0"/>
  </r>
  <r>
    <x v="1652"/>
    <x v="287"/>
    <x v="234"/>
    <s v=" ELECTROCHROMIC ELECTRODES AND METHODS OF MAKING AND USE THEREOF"/>
    <x v="1071"/>
    <s v="04/28/2017"/>
    <x v="0"/>
    <s v=""/>
    <x v="141"/>
    <x v="126"/>
    <x v="266"/>
    <x v="265"/>
    <x v="0"/>
  </r>
  <r>
    <x v="1653"/>
    <x v="288"/>
    <x v="235"/>
    <s v="DUAL ZONE COOLING SYSTEM FOR COMBINED ENGINE COMPRESSORS"/>
    <x v="1072"/>
    <s v="07/27/2017"/>
    <x v="0"/>
    <s v=""/>
    <x v="1"/>
    <x v="1"/>
    <x v="267"/>
    <x v="266"/>
    <x v="0"/>
  </r>
  <r>
    <x v="1654"/>
    <x v="288"/>
    <x v="235"/>
    <s v="CRANKCASE VENTILATION SYSTEM WITH DEAD SPACE"/>
    <x v="1073"/>
    <s v="08/01/2017"/>
    <x v="0"/>
    <s v=""/>
    <x v="1"/>
    <x v="1"/>
    <x v="267"/>
    <x v="266"/>
    <x v="0"/>
  </r>
  <r>
    <x v="1655"/>
    <x v="288"/>
    <x v="235"/>
    <s v="PURGING NATURAL GAS COMPRESSORS"/>
    <x v="1074"/>
    <s v="03/31/2017"/>
    <x v="0"/>
    <s v=""/>
    <x v="1"/>
    <x v="1"/>
    <x v="267"/>
    <x v="266"/>
    <x v="0"/>
  </r>
  <r>
    <x v="1656"/>
    <x v="288"/>
    <x v="235"/>
    <s v="FLEXIBLE SUPPLY GAS ROUTING FOR GAS COMPRESSORS"/>
    <x v="1075"/>
    <s v="05/22/2017"/>
    <x v="0"/>
    <s v=""/>
    <x v="1"/>
    <x v="1"/>
    <x v="267"/>
    <x v="266"/>
    <x v="0"/>
  </r>
  <r>
    <x v="1657"/>
    <x v="288"/>
    <x v="235"/>
    <s v="INTEGRATED HYDROGEN GENERATOR AND COMPRESSOR WITH RELATED METHOD"/>
    <x v="1076"/>
    <s v="04/06/2017"/>
    <x v="0"/>
    <s v=""/>
    <x v="1"/>
    <x v="1"/>
    <x v="267"/>
    <x v="266"/>
    <x v="0"/>
  </r>
  <r>
    <x v="1658"/>
    <x v="288"/>
    <x v="235"/>
    <s v="TURBOCHARGED PRE-COMPRESSION OF ENGINE-DRIVEN COMPRESSORS"/>
    <x v="1"/>
    <s v=""/>
    <x v="0"/>
    <s v=""/>
    <x v="1"/>
    <x v="1"/>
    <x v="267"/>
    <x v="266"/>
    <x v="0"/>
  </r>
  <r>
    <x v="1659"/>
    <x v="288"/>
    <x v="235"/>
    <s v="CROSS-HEAD PISTON TO COMPRESSION CONNECTING ROD INTERFACE FOR COMBINED ENGINE-COMPRESSORS"/>
    <x v="1"/>
    <s v=""/>
    <x v="0"/>
    <s v=""/>
    <x v="1"/>
    <x v="1"/>
    <x v="267"/>
    <x v="266"/>
    <x v="0"/>
  </r>
  <r>
    <x v="1660"/>
    <x v="288"/>
    <x v="235"/>
    <s v="COMPRESSION PISTON/COMPRESSION CONNECTING ROD INTERFACE FOR COMBINED ENGINE-COMPRESSORS"/>
    <x v="1"/>
    <s v=""/>
    <x v="0"/>
    <s v=""/>
    <x v="1"/>
    <x v="1"/>
    <x v="267"/>
    <x v="266"/>
    <x v="0"/>
  </r>
  <r>
    <x v="1661"/>
    <x v="288"/>
    <x v="235"/>
    <s v="CRANKCASE VENTILATION SYSTEMS"/>
    <x v="1"/>
    <s v=""/>
    <x v="0"/>
    <s v=""/>
    <x v="1"/>
    <x v="1"/>
    <x v="267"/>
    <x v="266"/>
    <x v="0"/>
  </r>
  <r>
    <x v="1662"/>
    <x v="289"/>
    <x v="236"/>
    <s v="CARBIDE ANODE SYSTEM FOR LOW TEMPERATURE DIRECT HYDRICARBON SOLID OXIDE FUEL CELLS"/>
    <x v="1077"/>
    <s v=""/>
    <x v="0"/>
    <s v=""/>
    <x v="1"/>
    <x v="1"/>
    <x v="268"/>
    <x v="267"/>
    <x v="0"/>
  </r>
  <r>
    <x v="1663"/>
    <x v="290"/>
    <x v="177"/>
    <s v="COST-EFFECTIVE SOLIDS STATE REACTIVE SINTERING METHOD FOR PROTONIC CERAMIC FUEL CELLS"/>
    <x v="1078"/>
    <s v="01/08/2015"/>
    <x v="0"/>
    <s v=""/>
    <x v="1"/>
    <x v="1"/>
    <x v="269"/>
    <x v="268"/>
    <x v="0"/>
  </r>
  <r>
    <x v="1664"/>
    <x v="290"/>
    <x v="237"/>
    <s v="ZR AND Y CO-DOPED PEROVSKITE AS A STABLE, HIGH PERFORMANCE CATHODE FOR SOLID OXIDE FUEL CELLS BELOW 500C"/>
    <x v="1"/>
    <s v=""/>
    <x v="0"/>
    <s v=""/>
    <x v="1"/>
    <x v="1"/>
    <x v="269"/>
    <x v="268"/>
    <x v="0"/>
  </r>
  <r>
    <x v="1665"/>
    <x v="290"/>
    <x v="177"/>
    <s v="TRIPLE CONDUCTING CATHODE MATERIAL FOR INTERMEDIATE TEMPERATURE PROTONIC CERAMIC ELECTROCHEMICAL DEVICES"/>
    <x v="1079"/>
    <s v="01/08/2016"/>
    <x v="0"/>
    <s v=""/>
    <x v="373"/>
    <x v="345"/>
    <x v="269"/>
    <x v="268"/>
    <x v="0"/>
  </r>
  <r>
    <x v="1666"/>
    <x v="290"/>
    <x v="177"/>
    <s v="CATHODE MATERIAL FOR LOW TEMPERATURE SOLID OXIDE FUEL CELLS"/>
    <x v="1080"/>
    <s v="06/16/2016"/>
    <x v="0"/>
    <s v=""/>
    <x v="374"/>
    <x v="346"/>
    <x v="269"/>
    <x v="268"/>
    <x v="0"/>
  </r>
  <r>
    <x v="1667"/>
    <x v="291"/>
    <x v="238"/>
    <s v="SETTER PLATES AND MANUFACTURING METHODS FOR ALL-CERAMIC ANODE BASED SOLID OXIDE FUEL CELLS"/>
    <x v="1"/>
    <s v=""/>
    <x v="0"/>
    <s v=""/>
    <x v="1"/>
    <x v="1"/>
    <x v="270"/>
    <x v="269"/>
    <x v="0"/>
  </r>
  <r>
    <x v="1668"/>
    <x v="291"/>
    <x v="238"/>
    <s v="LOWER TEMPERATURE SOLID OXIDE FUEL CELL STACK DESIGN"/>
    <x v="1"/>
    <s v=""/>
    <x v="0"/>
    <s v=""/>
    <x v="1"/>
    <x v="1"/>
    <x v="270"/>
    <x v="269"/>
    <x v="0"/>
  </r>
  <r>
    <x v="1669"/>
    <x v="291"/>
    <x v="238"/>
    <s v="STABLE HIGH CONDUCTIVITY OXIDE ELECTROLYTE"/>
    <x v="1"/>
    <s v=""/>
    <x v="0"/>
    <s v=""/>
    <x v="1"/>
    <x v="1"/>
    <x v="270"/>
    <x v="269"/>
    <x v="0"/>
  </r>
  <r>
    <x v="1670"/>
    <x v="291"/>
    <x v="238"/>
    <s v="SOLID OXIDE FUEL CELLS CATHODE FUNCTIONAL LAYER"/>
    <x v="1"/>
    <s v=""/>
    <x v="0"/>
    <s v=""/>
    <x v="1"/>
    <x v="1"/>
    <x v="270"/>
    <x v="269"/>
    <x v="0"/>
  </r>
  <r>
    <x v="1671"/>
    <x v="292"/>
    <x v="24"/>
    <s v="NANOFIBERS DECORATED WITH NANOPARTICLES AND METHODS OF THEIR MANUFACTURE"/>
    <x v="1081"/>
    <s v="06/14/2017"/>
    <x v="0"/>
    <s v=""/>
    <x v="32"/>
    <x v="27"/>
    <x v="271"/>
    <x v="270"/>
    <x v="0"/>
  </r>
  <r>
    <x v="1672"/>
    <x v="292"/>
    <x v="24"/>
    <s v="NANOFIBERS DECORATED WITH NANOPARTICLES AND METHODS OF THEIR MANUFACTURE"/>
    <x v="1082"/>
    <s v="06/14/2017"/>
    <x v="0"/>
    <s v=""/>
    <x v="1"/>
    <x v="1"/>
    <x v="271"/>
    <x v="270"/>
    <x v="0"/>
  </r>
  <r>
    <x v="1673"/>
    <x v="292"/>
    <x v="239"/>
    <s v="NANOFIBERS DECORATED WITH NANOPARTICLES BY THE ELECTROSPINNING PROCESS"/>
    <x v="1"/>
    <s v=""/>
    <x v="0"/>
    <s v=""/>
    <x v="1"/>
    <x v="1"/>
    <x v="271"/>
    <x v="270"/>
    <x v="0"/>
  </r>
  <r>
    <x v="1674"/>
    <x v="293"/>
    <x v="220"/>
    <s v="PRBA0-55R0-5CO1.505+D"/>
    <x v="1"/>
    <s v=""/>
    <x v="0"/>
    <s v=""/>
    <x v="1"/>
    <x v="1"/>
    <x v="272"/>
    <x v="271"/>
    <x v="0"/>
  </r>
  <r>
    <x v="1675"/>
    <x v="293"/>
    <x v="220"/>
    <s v="REVERSIBLE PrBa0.55r0.5Co1.5Fe0.505+d BaZr0.4Ce0.4Yb0.1"/>
    <x v="1"/>
    <s v=""/>
    <x v="0"/>
    <s v=""/>
    <x v="1"/>
    <x v="1"/>
    <x v="272"/>
    <x v="271"/>
    <x v="0"/>
  </r>
  <r>
    <x v="1676"/>
    <x v="293"/>
    <x v="102"/>
    <s v="PROTON CONDUCTING SOLID OXIDE FUEL CELL STACK WITH INTERNAL FUEL REFORMING"/>
    <x v="1"/>
    <s v=""/>
    <x v="0"/>
    <s v=""/>
    <x v="1"/>
    <x v="1"/>
    <x v="272"/>
    <x v="271"/>
    <x v="0"/>
  </r>
  <r>
    <x v="1677"/>
    <x v="294"/>
    <x v="240"/>
    <s v="CARBON NANOTUBE-CSH2PD4 COMPOSITE ENABLING HIGH PERFORMANCE SOLID ACID FUEL CELL ELECTRODES WITH LOW PRECIOUS"/>
    <x v="1083"/>
    <s v="11/19/2015"/>
    <x v="0"/>
    <s v=""/>
    <x v="1"/>
    <x v="1"/>
    <x v="62"/>
    <x v="62"/>
    <x v="0"/>
  </r>
  <r>
    <x v="1678"/>
    <x v="295"/>
    <x v="161"/>
    <s v="A FLOWING ELECTROLYTE FUEL CELL WITH IMPROVED PERFORMANCE AND STABILITY"/>
    <x v="1"/>
    <s v=""/>
    <x v="0"/>
    <s v=""/>
    <x v="1"/>
    <x v="1"/>
    <x v="273"/>
    <x v="272"/>
    <x v="0"/>
  </r>
  <r>
    <x v="1679"/>
    <x v="295"/>
    <x v="161"/>
    <s v="OXYGEN ION CONDUCTING POLYH (IONIC) LIQUID MEMBRANE FOR ELECTROCHEMICAL APPL"/>
    <x v="1"/>
    <s v=""/>
    <x v="0"/>
    <s v=""/>
    <x v="1"/>
    <x v="1"/>
    <x v="273"/>
    <x v="272"/>
    <x v="0"/>
  </r>
  <r>
    <x v="1680"/>
    <x v="296"/>
    <x v="96"/>
    <s v="FUEL CELL WITH DYNAMIC RESPONSE CAPABILITY BASED ON ENERGY SGTORAGE ELECTRODES"/>
    <x v="1084"/>
    <s v="04/26/2019"/>
    <x v="0"/>
    <s v=""/>
    <x v="1"/>
    <x v="1"/>
    <x v="274"/>
    <x v="273"/>
    <x v="0"/>
  </r>
  <r>
    <x v="1681"/>
    <x v="296"/>
    <x v="96"/>
    <s v="FUEL CELL WITH DYNAMIC RESPONSE CAPABILITY BASED ON ENERGY SGTORAGE ELECTRODES"/>
    <x v="1085"/>
    <s v="10/27/2017"/>
    <x v="0"/>
    <s v=""/>
    <x v="87"/>
    <x v="73"/>
    <x v="274"/>
    <x v="273"/>
    <x v="0"/>
  </r>
  <r>
    <x v="1682"/>
    <x v="297"/>
    <x v="20"/>
    <s v="FABRICATION AND ASSEMBLY OF HOLLOW CERAMIC NANOFIBER BASED ELECTRODES FOR ENERGY CONVERSION BY SOLID OXIDE FUELS CELLS."/>
    <x v="1"/>
    <s v=""/>
    <x v="0"/>
    <s v=""/>
    <x v="1"/>
    <x v="1"/>
    <x v="275"/>
    <x v="274"/>
    <x v="0"/>
  </r>
  <r>
    <x v="1683"/>
    <x v="298"/>
    <x v="18"/>
    <s v="DESIGN AND OPERATION OF AN INTERNAL COMBUSTION ENGINE TO PRODUCE SYNTHESIS GAS FROM GASEOUS HYDROCARBON FEEDS"/>
    <x v="1"/>
    <s v=""/>
    <x v="0"/>
    <s v=""/>
    <x v="1"/>
    <x v="1"/>
    <x v="276"/>
    <x v="275"/>
    <x v="0"/>
  </r>
  <r>
    <x v="1684"/>
    <x v="299"/>
    <x v="94"/>
    <s v="MULTIPLE-ELECTRON AQUEOUS BATTERY"/>
    <x v="1086"/>
    <s v="07/28/2016"/>
    <x v="0"/>
    <s v=""/>
    <x v="1"/>
    <x v="1"/>
    <x v="277"/>
    <x v="276"/>
    <x v="0"/>
  </r>
  <r>
    <x v="1685"/>
    <x v="299"/>
    <x v="94"/>
    <s v="MULTIPLE-ELECTRON AQUEOUS BATTERY"/>
    <x v="1087"/>
    <s v="01/28/2015"/>
    <x v="0"/>
    <s v=""/>
    <x v="1"/>
    <x v="1"/>
    <x v="277"/>
    <x v="276"/>
    <x v="0"/>
  </r>
  <r>
    <x v="1686"/>
    <x v="300"/>
    <x v="237"/>
    <s v="MEASUREMENT OF WAVE AND CURRENT MOTION "/>
    <x v="1088"/>
    <s v="03/21/2018"/>
    <x v="0"/>
    <s v=""/>
    <x v="1"/>
    <x v="1"/>
    <x v="278"/>
    <x v="277"/>
    <x v="0"/>
  </r>
  <r>
    <x v="1687"/>
    <x v="300"/>
    <x v="237"/>
    <s v="REAL-TIME METOCEAN SENSOR ARRAYS"/>
    <x v="1"/>
    <s v=""/>
    <x v="0"/>
    <s v=""/>
    <x v="1"/>
    <x v="1"/>
    <x v="278"/>
    <x v="277"/>
    <x v="0"/>
  </r>
  <r>
    <x v="1688"/>
    <x v="301"/>
    <x v="159"/>
    <s v="ELECTROCHEMICAL LIQUID PHASE EPITAXY"/>
    <x v="1089"/>
    <s v="01/09/2017"/>
    <x v="0"/>
    <s v=""/>
    <x v="1"/>
    <x v="1"/>
    <x v="279"/>
    <x v="278"/>
    <x v="0"/>
  </r>
  <r>
    <x v="1689"/>
    <x v="302"/>
    <x v="241"/>
    <s v="MICRO ENVIRONMENTAL CONTROL SYSTEM"/>
    <x v="1090"/>
    <s v="12/15/2014"/>
    <x v="0"/>
    <s v=""/>
    <x v="1"/>
    <x v="1"/>
    <x v="280"/>
    <x v="279"/>
    <x v="0"/>
  </r>
  <r>
    <x v="1690"/>
    <x v="302"/>
    <x v="241"/>
    <s v="MICRO ENVIRONMENTAL CONTROL SYSTEM"/>
    <x v="1091"/>
    <s v="08/26/2014"/>
    <x v="0"/>
    <s v=""/>
    <x v="1"/>
    <x v="1"/>
    <x v="280"/>
    <x v="279"/>
    <x v="0"/>
  </r>
  <r>
    <x v="1691"/>
    <x v="302"/>
    <x v="241"/>
    <s v="METHOD FOR ESTIMATING THE STATE OF CHARGE IN A LATEST HEAT THERMAL STORAFGE DEVICE"/>
    <x v="1092"/>
    <s v="09/25/2018"/>
    <x v="0"/>
    <s v=""/>
    <x v="1"/>
    <x v="1"/>
    <x v="280"/>
    <x v="279"/>
    <x v="0"/>
  </r>
  <r>
    <x v="1692"/>
    <x v="302"/>
    <x v="241"/>
    <s v="SCROLL-TYPE MACHINE"/>
    <x v="1093"/>
    <s v="01/09/2018"/>
    <x v="0"/>
    <s v=""/>
    <x v="119"/>
    <x v="103"/>
    <x v="280"/>
    <x v="279"/>
    <x v="0"/>
  </r>
  <r>
    <x v="1693"/>
    <x v="302"/>
    <x v="241"/>
    <s v="SCROLL-TYPE MACHINE"/>
    <x v="1094"/>
    <s v="01/11/2017"/>
    <x v="0"/>
    <s v=""/>
    <x v="1"/>
    <x v="1"/>
    <x v="280"/>
    <x v="279"/>
    <x v="0"/>
  </r>
  <r>
    <x v="1694"/>
    <x v="303"/>
    <x v="242"/>
    <s v="META FIBERS AND METHODS OF MANUFACTURING THE FIBERS, YARNS, AND FABRICS"/>
    <x v="1"/>
    <s v=""/>
    <x v="0"/>
    <s v=""/>
    <x v="1"/>
    <x v="1"/>
    <x v="281"/>
    <x v="280"/>
    <x v="0"/>
  </r>
  <r>
    <x v="1695"/>
    <x v="303"/>
    <x v="242"/>
    <s v="A METHOD FOR SOLVENT-DRIVEN SELECTIVE COATING OF NANOPARTICLES ON MULTICOMPONENT FIBERS"/>
    <x v="1"/>
    <s v=""/>
    <x v="0"/>
    <s v=""/>
    <x v="1"/>
    <x v="1"/>
    <x v="281"/>
    <x v="280"/>
    <x v="0"/>
  </r>
  <r>
    <x v="1696"/>
    <x v="303"/>
    <x v="242"/>
    <s v="A DESIGN OF AN ENVIRONMENT-CONTROLLED CHAMBER FOR OPTICAL SPECTROSCOPY AND A CALIBRATION METHOD FOR OPTICAL"/>
    <x v="1"/>
    <s v=""/>
    <x v="0"/>
    <s v=""/>
    <x v="1"/>
    <x v="1"/>
    <x v="281"/>
    <x v="280"/>
    <x v="0"/>
  </r>
  <r>
    <x v="1697"/>
    <x v="303"/>
    <x v="242"/>
    <s v="METHOD FOR NONDESTRUCTIVE DISPERSION OF CARBON NANOMATERIALS IN WATER"/>
    <x v="1095"/>
    <s v="06/28/2017"/>
    <x v="0"/>
    <s v=""/>
    <x v="1"/>
    <x v="1"/>
    <x v="281"/>
    <x v="280"/>
    <x v="0"/>
  </r>
  <r>
    <x v="1698"/>
    <x v="303"/>
    <x v="242"/>
    <s v="META FIBERS AND METHODS OF MANUFACTURING THE FIBERS, YARNS, AND FABRICS"/>
    <x v="1096"/>
    <s v="04/30/2019"/>
    <x v="0"/>
    <s v=""/>
    <x v="1"/>
    <x v="1"/>
    <x v="281"/>
    <x v="280"/>
    <x v="0"/>
  </r>
  <r>
    <x v="1699"/>
    <x v="303"/>
    <x v="242"/>
    <s v="META FIBERS AND METHODS OF MANUFACTURING THE FIBERS, YARNS, AND FABRICS"/>
    <x v="1097"/>
    <s v="10/16/2018"/>
    <x v="0"/>
    <s v=""/>
    <x v="1"/>
    <x v="1"/>
    <x v="281"/>
    <x v="280"/>
    <x v="0"/>
  </r>
  <r>
    <x v="1700"/>
    <x v="303"/>
    <x v="242"/>
    <s v="3D PRINTED THERMAL REGULATION TEXTILES"/>
    <x v="1098"/>
    <s v="02/12/2018"/>
    <x v="0"/>
    <s v=""/>
    <x v="1"/>
    <x v="1"/>
    <x v="281"/>
    <x v="280"/>
    <x v="0"/>
  </r>
  <r>
    <x v="1701"/>
    <x v="303"/>
    <x v="242"/>
    <s v="METHOD FOR NONDESTRUCTIVE DISPERSION OF CARBON NANOMATERIALS IN WATER"/>
    <x v="1099"/>
    <s v="08/08/2018"/>
    <x v="0"/>
    <s v=""/>
    <x v="1"/>
    <x v="1"/>
    <x v="281"/>
    <x v="280"/>
    <x v="0"/>
  </r>
  <r>
    <x v="1702"/>
    <x v="303"/>
    <x v="93"/>
    <s v="COMPOSITE MATERIALS WITH SELF-REGULATED INFRARED EMISSIVITY"/>
    <x v="1100"/>
    <s v="05/19/2016"/>
    <x v="0"/>
    <s v=""/>
    <x v="1"/>
    <x v="1"/>
    <x v="281"/>
    <x v="280"/>
    <x v="0"/>
  </r>
  <r>
    <x v="1703"/>
    <x v="304"/>
    <x v="176"/>
    <s v="SEAT INTEGRATION OF RF VITAL-SIGN MONITORING "/>
    <x v="1101"/>
    <s v="03/26/2019"/>
    <x v="0"/>
    <s v=""/>
    <x v="1"/>
    <x v="1"/>
    <x v="282"/>
    <x v="281"/>
    <x v="0"/>
  </r>
  <r>
    <x v="1704"/>
    <x v="304"/>
    <x v="176"/>
    <s v="BRANCHED TUBE NETWORK AND TEMPERATURE REGULATING GARMENT WITH BRANCHED TUBE NETWORK"/>
    <x v="1102"/>
    <s v="07/27/2018"/>
    <x v="0"/>
    <s v=""/>
    <x v="1"/>
    <x v="1"/>
    <x v="282"/>
    <x v="281"/>
    <x v="0"/>
  </r>
  <r>
    <x v="1705"/>
    <x v="304"/>
    <x v="176"/>
    <s v="BRANCHED TUBE NETWORK AND TEMPERATURE REGULATING GARMENT WITH BRANCHED TUBE NETWORK"/>
    <x v="1103"/>
    <s v="01/30/2017"/>
    <x v="0"/>
    <s v=""/>
    <x v="75"/>
    <x v="62"/>
    <x v="282"/>
    <x v="281"/>
    <x v="0"/>
  </r>
  <r>
    <x v="1706"/>
    <x v="304"/>
    <x v="176"/>
    <s v="IN VIVO ELECTROMAGNETIC NEAR-FIELD COHERENT SENSING"/>
    <x v="1"/>
    <s v=""/>
    <x v="0"/>
    <s v=""/>
    <x v="1"/>
    <x v="1"/>
    <x v="282"/>
    <x v="281"/>
    <x v="0"/>
  </r>
  <r>
    <x v="1707"/>
    <x v="305"/>
    <x v="64"/>
    <s v="TOW-POINT ANS MULTIPLE-POINT SPOT HEATING AND COOLING"/>
    <x v="1104"/>
    <s v="08/30/2017"/>
    <x v="0"/>
    <s v=""/>
    <x v="1"/>
    <x v="1"/>
    <x v="283"/>
    <x v="282"/>
    <x v="0"/>
  </r>
  <r>
    <x v="1708"/>
    <x v="305"/>
    <x v="64"/>
    <s v="TOW-POINT ANS MULTIPLE-POINT SPOT HEATING AND COOLING"/>
    <x v="1105"/>
    <s v="08/30/2018"/>
    <x v="0"/>
    <s v=""/>
    <x v="63"/>
    <x v="52"/>
    <x v="283"/>
    <x v="282"/>
    <x v="0"/>
  </r>
  <r>
    <x v="1709"/>
    <x v="306"/>
    <x v="94"/>
    <s v="ROVING COMFORTER (RoCo)  PERSONAL COOLING/HEATING DEVICE"/>
    <x v="1"/>
    <s v=""/>
    <x v="0"/>
    <s v=""/>
    <x v="1"/>
    <x v="1"/>
    <x v="284"/>
    <x v="283"/>
    <x v="0"/>
  </r>
  <r>
    <x v="1710"/>
    <x v="306"/>
    <x v="94"/>
    <s v="PERSONALIZED THERMAL COMFORT INPUT TECHNOLOGY"/>
    <x v="1"/>
    <s v=""/>
    <x v="0"/>
    <s v=""/>
    <x v="1"/>
    <x v="1"/>
    <x v="284"/>
    <x v="283"/>
    <x v="0"/>
  </r>
  <r>
    <x v="1711"/>
    <x v="306"/>
    <x v="94"/>
    <s v="COMFORTER UNIT AND SYSTEM, METHODS, AND DEVICES FOR USE THEREOF "/>
    <x v="1106"/>
    <s v="06/11/2016"/>
    <x v="0"/>
    <s v=""/>
    <x v="138"/>
    <x v="122"/>
    <x v="284"/>
    <x v="283"/>
    <x v="0"/>
  </r>
  <r>
    <x v="1712"/>
    <x v="306"/>
    <x v="94"/>
    <s v="COMFORTER UNIT AND SYSTEM, METHODS, AND DEVICES FOR USE THEREOF "/>
    <x v="1107"/>
    <s v="12/11/2017"/>
    <x v="0"/>
    <s v=""/>
    <x v="1"/>
    <x v="1"/>
    <x v="284"/>
    <x v="283"/>
    <x v="0"/>
  </r>
  <r>
    <x v="1713"/>
    <x v="307"/>
    <x v="243"/>
    <s v="A LOW-FREQUENCY BROADBAND VIBRATIONAL ENERGY HARVESTER WITH CONTRACTLESSLY COUPLED RECTILINEAR-ROTARY OSCILLATIONS AND INTRINSIC FREQUENCY UP-CONVERSION"/>
    <x v="1108"/>
    <s v="08/17/2016"/>
    <x v="0"/>
    <s v=""/>
    <x v="1"/>
    <x v="1"/>
    <x v="285"/>
    <x v="284"/>
    <x v="0"/>
  </r>
  <r>
    <x v="1714"/>
    <x v="307"/>
    <x v="243"/>
    <s v="METHOD AND APPRATUS FOR OCCUPANCY-DRIVEN SMA-ACTUATED REGISTERS"/>
    <x v="1109"/>
    <s v="04/10/2017"/>
    <x v="0"/>
    <s v=""/>
    <x v="1"/>
    <x v="1"/>
    <x v="285"/>
    <x v="284"/>
    <x v="0"/>
  </r>
  <r>
    <x v="1715"/>
    <x v="307"/>
    <x v="243"/>
    <s v="SYSTEM AND METHOD FOR OCCUPANCY-DRIVEN REGISTER AIRFLOW CONTROL"/>
    <x v="1110"/>
    <s v="04/10/2018"/>
    <x v="0"/>
    <s v=""/>
    <x v="116"/>
    <x v="100"/>
    <x v="285"/>
    <x v="284"/>
    <x v="0"/>
  </r>
  <r>
    <x v="1716"/>
    <x v="307"/>
    <x v="243"/>
    <s v="CHOPPED PASSIVE INFRARED SENSOR APPARATUS AND METHOD FOR STATIONARY AND MOVING OCCUPANT DETECTION"/>
    <x v="1111"/>
    <s v="01/11/2018"/>
    <x v="0"/>
    <s v=""/>
    <x v="117"/>
    <x v="101"/>
    <x v="285"/>
    <x v="284"/>
    <x v="0"/>
  </r>
  <r>
    <x v="1717"/>
    <x v="307"/>
    <x v="243"/>
    <s v="THE PEDAMBLE SHOES: TURNING MOTION INTO PHONE CHARGE"/>
    <x v="1112"/>
    <s v="09/28/2016"/>
    <x v="0"/>
    <s v=""/>
    <x v="1"/>
    <x v="1"/>
    <x v="285"/>
    <x v="284"/>
    <x v="0"/>
  </r>
  <r>
    <x v="1718"/>
    <x v="307"/>
    <x v="243"/>
    <s v="CHOPPED PIR SENSOR FOR STATIONARY AND MOVING OCCUPANT DETECTION"/>
    <x v="1111"/>
    <s v="01/11/2018"/>
    <x v="0"/>
    <s v=""/>
    <x v="117"/>
    <x v="101"/>
    <x v="285"/>
    <x v="284"/>
    <x v="0"/>
  </r>
  <r>
    <x v="1719"/>
    <x v="307"/>
    <x v="243"/>
    <s v="AN AIRFOIL-BASED PIEZOELECTRIC - INDUCTIVE TRANSDUCTION MECHANISM PROMOTING LOW PROFILE HIGH EFFICENCY"/>
    <x v="1113"/>
    <s v="10/03/2016"/>
    <x v="0"/>
    <s v=""/>
    <x v="1"/>
    <x v="1"/>
    <x v="285"/>
    <x v="284"/>
    <x v="0"/>
  </r>
  <r>
    <x v="1716"/>
    <x v="307"/>
    <x v="243"/>
    <s v="CHOPPED PIR SENSOR FOR STATIONARY AND MOVING OCCUPANT DETECTION"/>
    <x v="1114"/>
    <s v="07/02/2019"/>
    <x v="0"/>
    <s v=""/>
    <x v="1"/>
    <x v="1"/>
    <x v="285"/>
    <x v="284"/>
    <x v="0"/>
  </r>
  <r>
    <x v="1720"/>
    <x v="308"/>
    <x v="147"/>
    <s v="ELECTROCALORIC COOLING WITH ELECTROSTATIC ACTUATION"/>
    <x v="1115"/>
    <s v="05/05/2017"/>
    <x v="0"/>
    <s v=""/>
    <x v="1"/>
    <x v="1"/>
    <x v="286"/>
    <x v="285"/>
    <x v="0"/>
  </r>
  <r>
    <x v="1721"/>
    <x v="308"/>
    <x v="147"/>
    <s v="INTEGRATED COIOLING AND MOISTURE REMOVAL USING LIGHTWEIGHT GRAPHITE STRUCTURES"/>
    <x v="1"/>
    <s v=""/>
    <x v="0"/>
    <s v=""/>
    <x v="1"/>
    <x v="1"/>
    <x v="286"/>
    <x v="285"/>
    <x v="0"/>
  </r>
  <r>
    <x v="1722"/>
    <x v="308"/>
    <x v="147"/>
    <s v="SHIRTS, BLOUSES, AND COATSX WITH COOLING MECHANISMS"/>
    <x v="1"/>
    <s v=""/>
    <x v="0"/>
    <s v=""/>
    <x v="1"/>
    <x v="1"/>
    <x v="286"/>
    <x v="285"/>
    <x v="0"/>
  </r>
  <r>
    <x v="1723"/>
    <x v="308"/>
    <x v="147"/>
    <s v="EHANCED AIRFLOW FOR OSCILLATING FANS"/>
    <x v="1"/>
    <s v=""/>
    <x v="0"/>
    <s v=""/>
    <x v="1"/>
    <x v="1"/>
    <x v="286"/>
    <x v="285"/>
    <x v="0"/>
  </r>
  <r>
    <x v="1724"/>
    <x v="308"/>
    <x v="147"/>
    <s v="ELECTROCALORIC HEAT PUMP WITH ELECTROSTATIC CONTROL OF THERMAL CONTACT"/>
    <x v="1"/>
    <s v=""/>
    <x v="0"/>
    <s v=""/>
    <x v="1"/>
    <x v="1"/>
    <x v="286"/>
    <x v="285"/>
    <x v="0"/>
  </r>
  <r>
    <x v="1725"/>
    <x v="308"/>
    <x v="147"/>
    <s v="INTERGRATED COOLING FOOTWEAR"/>
    <x v="1"/>
    <s v=""/>
    <x v="0"/>
    <s v=""/>
    <x v="1"/>
    <x v="1"/>
    <x v="286"/>
    <x v="285"/>
    <x v="0"/>
  </r>
  <r>
    <x v="1726"/>
    <x v="308"/>
    <x v="147"/>
    <s v="WEARABLE PERSONAL THERMAL COMFORT SYSTEM"/>
    <x v="1"/>
    <s v=""/>
    <x v="0"/>
    <s v=""/>
    <x v="1"/>
    <x v="1"/>
    <x v="286"/>
    <x v="285"/>
    <x v="0"/>
  </r>
  <r>
    <x v="1727"/>
    <x v="309"/>
    <x v="179"/>
    <s v="A SPECTRALLY SELECTIVE TEXTILE USING INORGANIC-ORGANIC MATRIX FOR PASSIVE RADIATIVE OUTDOOR PERSONAL COOLING"/>
    <x v="1116"/>
    <s v="02/04/2019"/>
    <x v="0"/>
    <s v=""/>
    <x v="1"/>
    <x v="1"/>
    <x v="179"/>
    <x v="182"/>
    <x v="0"/>
  </r>
  <r>
    <x v="1728"/>
    <x v="309"/>
    <x v="179"/>
    <s v="INFRARED-TRANSPARENT NANOPOROUS POLYMER FIBER-BASED WOVEN TEXTILE FOR HUMAN BODY COOLING"/>
    <x v="1117"/>
    <s v="09/25/2017"/>
    <x v="0"/>
    <s v=""/>
    <x v="109"/>
    <x v="93"/>
    <x v="179"/>
    <x v="182"/>
    <x v="0"/>
  </r>
  <r>
    <x v="1729"/>
    <x v="309"/>
    <x v="179"/>
    <s v="INFRARED-TRANSPARENT NANOPOROUS POLYMER FIBER-BASED WOVEN TEXTILE FOR HUMAN BODY COOLING"/>
    <x v="1118"/>
    <s v="09/26/2016"/>
    <x v="0"/>
    <s v=""/>
    <x v="1"/>
    <x v="1"/>
    <x v="179"/>
    <x v="182"/>
    <x v="0"/>
  </r>
  <r>
    <x v="1730"/>
    <x v="309"/>
    <x v="179"/>
    <s v="A SPECTRALLY SELECTIVE TEXTILE USING INORGANIC-ORGANIC MATRIX FOR PASSIVE RADIATIVE OUTDOOR PERSONAL COOLING"/>
    <x v="1119"/>
    <s v="02/04/2019"/>
    <x v="0"/>
    <s v=""/>
    <x v="110"/>
    <x v="94"/>
    <x v="179"/>
    <x v="182"/>
    <x v="0"/>
  </r>
  <r>
    <x v="1731"/>
    <x v="309"/>
    <x v="179"/>
    <s v="INFRARED-TRANSPARENT POROUS POLYMER FILM AS TEXTILE FOR HUMAN BODY COOLING AND HEATING"/>
    <x v="1120"/>
    <s v="02/17/2017"/>
    <x v="0"/>
    <s v=""/>
    <x v="111"/>
    <x v="95"/>
    <x v="179"/>
    <x v="182"/>
    <x v="0"/>
  </r>
  <r>
    <x v="1732"/>
    <x v="309"/>
    <x v="179"/>
    <s v="INFRARED-TRANSPARENT POROUS POLYMER FILM AS TEXTILE FOR HUMAN BODY COOLING AND HEATING"/>
    <x v="1121"/>
    <s v="06/26/2018"/>
    <x v="0"/>
    <s v=""/>
    <x v="1"/>
    <x v="1"/>
    <x v="179"/>
    <x v="182"/>
    <x v="0"/>
  </r>
  <r>
    <x v="1733"/>
    <x v="309"/>
    <x v="179"/>
    <m/>
    <x v="1"/>
    <s v=""/>
    <x v="0"/>
    <s v=""/>
    <x v="1"/>
    <x v="1"/>
    <x v="179"/>
    <x v="182"/>
    <x v="0"/>
  </r>
  <r>
    <x v="1734"/>
    <x v="310"/>
    <x v="217"/>
    <s v="ADAPTIVE REFLECTING MATERIALS AND SYSTEMS"/>
    <x v="1"/>
    <s v=""/>
    <x v="0"/>
    <s v=""/>
    <x v="1"/>
    <x v="1"/>
    <x v="287"/>
    <x v="286"/>
    <x v="0"/>
  </r>
  <r>
    <x v="1735"/>
    <x v="310"/>
    <x v="217"/>
    <s v="MATERIAL FOR THERMAL REGULATION"/>
    <x v="1"/>
    <s v=""/>
    <x v="0"/>
    <s v=""/>
    <x v="1"/>
    <x v="1"/>
    <x v="287"/>
    <x v="286"/>
    <x v="0"/>
  </r>
  <r>
    <x v="1736"/>
    <x v="311"/>
    <x v="204"/>
    <s v="ARTICLE COMPRISING ADAPTIVE SMART TEXTILES MADE OF SHAPE MEMORY MATERIALS, METHOD FOR PRODUCING THEM, AND APPLICATIONS THEREOF"/>
    <x v="1122"/>
    <s v="05/31/2018"/>
    <x v="0"/>
    <s v=""/>
    <x v="1"/>
    <x v="1"/>
    <x v="288"/>
    <x v="287"/>
    <x v="0"/>
  </r>
  <r>
    <x v="1737"/>
    <x v="311"/>
    <x v="204"/>
    <s v="HYPERELASTIC BINDER FOR PRINTED, STRETCHABLE ELECTRONICS"/>
    <x v="1123"/>
    <s v="11/21/2017"/>
    <x v="0"/>
    <s v=""/>
    <x v="1"/>
    <x v="1"/>
    <x v="288"/>
    <x v="287"/>
    <x v="0"/>
  </r>
  <r>
    <x v="1738"/>
    <x v="311"/>
    <x v="204"/>
    <s v="ALL-PRINTED MAGNETICALLY SELF-HEALING DEVICES"/>
    <x v="1124"/>
    <s v="10/12/2017"/>
    <x v="0"/>
    <s v=""/>
    <x v="360"/>
    <x v="332"/>
    <x v="288"/>
    <x v="287"/>
    <x v="0"/>
  </r>
  <r>
    <x v="1739"/>
    <x v="311"/>
    <x v="244"/>
    <s v="DISTRIBUTED NEWTON ALGORITHM FOR RESOURCE ALLOCATION"/>
    <x v="1"/>
    <s v=""/>
    <x v="0"/>
    <s v=""/>
    <x v="1"/>
    <x v="1"/>
    <x v="288"/>
    <x v="287"/>
    <x v="0"/>
  </r>
  <r>
    <x v="1740"/>
    <x v="311"/>
    <x v="202"/>
    <s v="ADAPTIVE SMART TEXTITLES, METHOD OF PRODUCING THEM, AND APPLICATION THEREOF"/>
    <x v="1"/>
    <s v=""/>
    <x v="0"/>
    <s v=""/>
    <x v="1"/>
    <x v="1"/>
    <x v="288"/>
    <x v="287"/>
    <x v="0"/>
  </r>
  <r>
    <x v="1741"/>
    <x v="311"/>
    <x v="202"/>
    <s v="ADAPTIVE SMART TEXTITLES, METHOD OF PRODUCING THEM, AND APPLICATION THEREOF"/>
    <x v="1"/>
    <s v=""/>
    <x v="0"/>
    <s v=""/>
    <x v="1"/>
    <x v="1"/>
    <x v="288"/>
    <x v="287"/>
    <x v="0"/>
  </r>
  <r>
    <x v="1742"/>
    <x v="311"/>
    <x v="204"/>
    <s v="DIMENSION-CHANGEABLE AND LIGHT-REFLECTION-CHANGEABLE  SMART TEXTILES, FABRICATION METHODS , ASSMBLED STRUCTURES, AND APPLICATIONS THEREOF"/>
    <x v="1"/>
    <s v=""/>
    <x v="0"/>
    <s v=""/>
    <x v="1"/>
    <x v="1"/>
    <x v="288"/>
    <x v="287"/>
    <x v="0"/>
  </r>
  <r>
    <x v="1743"/>
    <x v="311"/>
    <x v="204"/>
    <s v="REDOX FLOW BATTERIES BASED ON A FLAVIN MONONUCLEOTIDE"/>
    <x v="1"/>
    <s v=""/>
    <x v="0"/>
    <s v=""/>
    <x v="1"/>
    <x v="1"/>
    <x v="288"/>
    <x v="287"/>
    <x v="0"/>
  </r>
  <r>
    <x v="1744"/>
    <x v="311"/>
    <x v="204"/>
    <s v="CREEP-RESISTANT, DIMENSIONAL - ALTERABLE POLYMER BILAYERS, AND FABRICATIN METHODS THEREFOR"/>
    <x v="1"/>
    <s v=""/>
    <x v="0"/>
    <s v=""/>
    <x v="1"/>
    <x v="1"/>
    <x v="288"/>
    <x v="287"/>
    <x v="0"/>
  </r>
  <r>
    <x v="1745"/>
    <x v="311"/>
    <x v="244"/>
    <s v="HIGH PERFORMANCE SCREEN-PRINTED THERMOELECTRIC FILMS ON FABRICS"/>
    <x v="1"/>
    <s v=""/>
    <x v="0"/>
    <s v=""/>
    <x v="1"/>
    <x v="1"/>
    <x v="288"/>
    <x v="287"/>
    <x v="0"/>
  </r>
  <r>
    <x v="1746"/>
    <x v="311"/>
    <x v="204"/>
    <s v="LOW LATENCY CONNECTIVITY IN RECONFIGURABLE NETWORKS"/>
    <x v="1"/>
    <s v=""/>
    <x v="0"/>
    <s v=""/>
    <x v="1"/>
    <x v="1"/>
    <x v="288"/>
    <x v="287"/>
    <x v="0"/>
  </r>
  <r>
    <x v="1747"/>
    <x v="311"/>
    <x v="204"/>
    <s v="ARTICLE COMPRISING FLEXIBLE AND STRETCHABLE THERMOELECTRIC DEVICES FABRICATION METHODS AND APPLICATIONS"/>
    <x v="1"/>
    <s v=""/>
    <x v="0"/>
    <s v=""/>
    <x v="1"/>
    <x v="1"/>
    <x v="288"/>
    <x v="287"/>
    <x v="0"/>
  </r>
  <r>
    <x v="1748"/>
    <x v="311"/>
    <x v="204"/>
    <s v="THICKNESS-CHANGEABLE SMART FABRICS, ASSEMBLED STRUCTURES,  METHODS OF ASSEMBLY, AND APPLICATIONS"/>
    <x v="1"/>
    <s v=""/>
    <x v="0"/>
    <s v=""/>
    <x v="1"/>
    <x v="1"/>
    <x v="288"/>
    <x v="287"/>
    <x v="0"/>
  </r>
  <r>
    <x v="1749"/>
    <x v="311"/>
    <x v="204"/>
    <s v="ARTICLE COMPRISING POROSITY-GENERATING SMART TEXTILES, ASSEMBLED STRUCTURES, METHODS OF ASSEMBLY, AND APPLICATIONS"/>
    <x v="1"/>
    <s v=""/>
    <x v="0"/>
    <s v=""/>
    <x v="1"/>
    <x v="1"/>
    <x v="288"/>
    <x v="287"/>
    <x v="0"/>
  </r>
  <r>
    <x v="1750"/>
    <x v="312"/>
    <x v="149"/>
    <s v="COILED ACTUATOR SYSTEM AND METHOD"/>
    <x v="1125"/>
    <s v="04/10/2018"/>
    <x v="0"/>
    <s v=""/>
    <x v="1"/>
    <x v="1"/>
    <x v="289"/>
    <x v="288"/>
    <x v="0"/>
  </r>
  <r>
    <x v="1751"/>
    <x v="312"/>
    <x v="149"/>
    <s v="THERMALLY ADAPTIVE FABRICS AND METHODS OF MAKING SAME"/>
    <x v="1126"/>
    <s v="03/05/2018"/>
    <x v="0"/>
    <s v=""/>
    <x v="1"/>
    <x v="1"/>
    <x v="289"/>
    <x v="288"/>
    <x v="0"/>
  </r>
  <r>
    <x v="1752"/>
    <x v="312"/>
    <x v="149"/>
    <s v="COILED ACTUATOR SYSTEM AND METHOD"/>
    <x v="1127"/>
    <s v="04/10/2018"/>
    <x v="0"/>
    <s v=""/>
    <x v="272"/>
    <x v="250"/>
    <x v="289"/>
    <x v="288"/>
    <x v="0"/>
  </r>
  <r>
    <x v="1753"/>
    <x v="312"/>
    <x v="149"/>
    <s v="THERMALLY ADAPTIVE THREE-DIMENSIONAL STRUCTURES AND METHODS OF MAKING SAME"/>
    <x v="1"/>
    <s v=""/>
    <x v="0"/>
    <s v=""/>
    <x v="1"/>
    <x v="1"/>
    <x v="289"/>
    <x v="288"/>
    <x v="0"/>
  </r>
  <r>
    <x v="1754"/>
    <x v="313"/>
    <x v="245"/>
    <s v="MODE MATCHING METHOD FOR CAVITY ENHANCED ABSORPTION SPECTROSCOPY (CEAS)"/>
    <x v="1128"/>
    <s v="03/30/2018"/>
    <x v="0"/>
    <s v=""/>
    <x v="89"/>
    <x v="75"/>
    <x v="290"/>
    <x v="289"/>
    <x v="0"/>
  </r>
  <r>
    <x v="1755"/>
    <x v="313"/>
    <x v="245"/>
    <s v="MODE MATCHING METHOD FOR CAVITY ENHANCED ABSORPTION SPECTROSCOPY (CEAS)"/>
    <x v="1129"/>
    <s v="05/16/2017"/>
    <x v="0"/>
    <s v=""/>
    <x v="1"/>
    <x v="1"/>
    <x v="290"/>
    <x v="289"/>
    <x v="0"/>
  </r>
  <r>
    <x v="1756"/>
    <x v="314"/>
    <x v="246"/>
    <s v="MID-INFRARED VERTICAL CAVITY LASER"/>
    <x v="1130"/>
    <s v="07/17/2018"/>
    <x v="0"/>
    <s v=""/>
    <x v="1"/>
    <x v="1"/>
    <x v="291"/>
    <x v="290"/>
    <x v="0"/>
  </r>
  <r>
    <x v="1757"/>
    <x v="314"/>
    <x v="246"/>
    <s v="ELECTRICALLY PUMPED VERTICAL CAVITY LASER"/>
    <x v="1"/>
    <s v=""/>
    <x v="0"/>
    <s v=""/>
    <x v="1"/>
    <x v="1"/>
    <x v="291"/>
    <x v="290"/>
    <x v="0"/>
  </r>
  <r>
    <x v="1758"/>
    <x v="314"/>
    <x v="247"/>
    <s v="FOUR AND THREE SPHERICAL MIRRORS MULTIPASS CELL ACHIEVING DENSE ASTIGMATIC-LIKE SPOT PATTERNS"/>
    <x v="1"/>
    <s v=""/>
    <x v="0"/>
    <s v=""/>
    <x v="1"/>
    <x v="1"/>
    <x v="291"/>
    <x v="290"/>
    <x v="0"/>
  </r>
  <r>
    <x v="1759"/>
    <x v="315"/>
    <x v="68"/>
    <s v="TRACE GAS LEAK DETECTION USING OPEN PATH LASER MEASUREMENTS"/>
    <x v="1131"/>
    <s v="01/23/2019"/>
    <x v="0"/>
    <s v=""/>
    <x v="1"/>
    <x v="1"/>
    <x v="292"/>
    <x v="291"/>
    <x v="0"/>
  </r>
  <r>
    <x v="1760"/>
    <x v="315"/>
    <x v="68"/>
    <s v="DETERMING A LOCATION AND SIZE OF A GAS SOURCE WITH A SPECTROMETER GAS"/>
    <x v="1132"/>
    <s v="10/10/2017"/>
    <x v="0"/>
    <s v=""/>
    <x v="1"/>
    <x v="1"/>
    <x v="292"/>
    <x v="291"/>
    <x v="0"/>
  </r>
  <r>
    <x v="1761"/>
    <x v="315"/>
    <x v="68"/>
    <s v="HUB AND SPOKE SYSTEM FOR DETECTING AND LOCATING GAS LEAKS"/>
    <x v="1133"/>
    <s v="01/23/2019"/>
    <x v="0"/>
    <s v=""/>
    <x v="1"/>
    <x v="1"/>
    <x v="292"/>
    <x v="291"/>
    <x v="0"/>
  </r>
  <r>
    <x v="1762"/>
    <x v="315"/>
    <x v="68"/>
    <s v="FREQUENCY COMB-BASED TRACE GAS OBSERVATION NETWORK"/>
    <x v="1134"/>
    <s v="05/11/2016"/>
    <x v="0"/>
    <s v=""/>
    <x v="1"/>
    <x v="1"/>
    <x v="292"/>
    <x v="291"/>
    <x v="0"/>
  </r>
  <r>
    <x v="1763"/>
    <x v="316"/>
    <x v="182"/>
    <s v="ON-CHIP SPECTROSCOPIC SENSORS WITH OPTICAL FRINGE SUPPRESSION"/>
    <x v="1135"/>
    <s v="03/07/2018"/>
    <x v="0"/>
    <s v=""/>
    <x v="1"/>
    <x v="1"/>
    <x v="293"/>
    <x v="292"/>
    <x v="0"/>
  </r>
  <r>
    <x v="1764"/>
    <x v="316"/>
    <x v="182"/>
    <s v="FOURIER DOMAIN DYNAMIC CORRECTION METHOD FOR COMPLEX OPTICAL FRINGES IN LASERSPECTROMETERS"/>
    <x v="1136"/>
    <s v="05/16/2018"/>
    <x v="0"/>
    <s v=""/>
    <x v="1"/>
    <x v="1"/>
    <x v="293"/>
    <x v="292"/>
    <x v="0"/>
  </r>
  <r>
    <x v="1765"/>
    <x v="316"/>
    <x v="248"/>
    <s v="A BAYESIAN APPROACH TO FUGITIVE GAS LEAK LOCALIZAIGTON IN OIL WELL PADS USING A SPATIALLY DISGTRUBTED SENSOR NETWORK."/>
    <x v="1"/>
    <s v=""/>
    <x v="0"/>
    <s v=""/>
    <x v="1"/>
    <x v="1"/>
    <x v="293"/>
    <x v="292"/>
    <x v="0"/>
  </r>
  <r>
    <x v="1766"/>
    <x v="316"/>
    <x v="248"/>
    <s v="AN ETALON MODEL-HARDWARE CORRELATION FOR ACCELERATED LARGE-SCLAE ACCAURACY ASSESSMENT IN LASER-BASED ABSORPTION"/>
    <x v="1"/>
    <s v=""/>
    <x v="0"/>
    <s v=""/>
    <x v="1"/>
    <x v="1"/>
    <x v="293"/>
    <x v="292"/>
    <x v="0"/>
  </r>
  <r>
    <x v="1767"/>
    <x v="316"/>
    <x v="248"/>
    <s v="AN OPTICAL FRINGE SUPPERSION METHOD FOR ON-CHIP SPECTROSCOPIC SENSORS"/>
    <x v="1"/>
    <s v=""/>
    <x v="0"/>
    <s v=""/>
    <x v="1"/>
    <x v="1"/>
    <x v="293"/>
    <x v="292"/>
    <x v="0"/>
  </r>
  <r>
    <x v="1768"/>
    <x v="316"/>
    <x v="248"/>
    <s v="CORRECTING LASER RAMPING NONLINEARITIES USING AN IN-LINE FREQUENCY CALIBRATION REFERENCE FOR tunable diode laser absorption spectroscopy systems."/>
    <x v="1"/>
    <s v=""/>
    <x v="0"/>
    <s v=""/>
    <x v="1"/>
    <x v="1"/>
    <x v="293"/>
    <x v="292"/>
    <x v="0"/>
  </r>
  <r>
    <x v="1769"/>
    <x v="316"/>
    <x v="248"/>
    <s v="FUGITIVE GAS SENSING ENCLOSURE WITH SHORT INTEGRATION TIME"/>
    <x v="1"/>
    <s v=""/>
    <x v="0"/>
    <s v=""/>
    <x v="1"/>
    <x v="1"/>
    <x v="293"/>
    <x v="292"/>
    <x v="0"/>
  </r>
  <r>
    <x v="1770"/>
    <x v="316"/>
    <x v="248"/>
    <s v="AN OPTICAL FRINGE SUPPERSION METHOD FOR ON-CHIP SPECTROSCOPIC SENSORS"/>
    <x v="1"/>
    <s v=""/>
    <x v="0"/>
    <s v=""/>
    <x v="1"/>
    <x v="1"/>
    <x v="293"/>
    <x v="292"/>
    <x v="0"/>
  </r>
  <r>
    <x v="1771"/>
    <x v="316"/>
    <x v="248"/>
    <s v="SYSTEM AND METHOD TO DETECT METHANE GAS LEAKS USING AN UNMANNED AERIAL VEHICLE"/>
    <x v="1"/>
    <s v=""/>
    <x v="0"/>
    <s v=""/>
    <x v="1"/>
    <x v="1"/>
    <x v="293"/>
    <x v="292"/>
    <x v="0"/>
  </r>
  <r>
    <x v="1772"/>
    <x v="316"/>
    <x v="248"/>
    <s v="ADAPTIVE SENSING FOR METHANE GAS LEAK DETECTION"/>
    <x v="1"/>
    <s v=""/>
    <x v="0"/>
    <s v=""/>
    <x v="1"/>
    <x v="1"/>
    <x v="293"/>
    <x v="292"/>
    <x v="0"/>
  </r>
  <r>
    <x v="1773"/>
    <x v="316"/>
    <x v="249"/>
    <s v="HEURISTIC BASED ANALYTICS FOR CH4 LEAK SOURCE IDENTIFICATION"/>
    <x v="1"/>
    <s v=""/>
    <x v="0"/>
    <s v=""/>
    <x v="1"/>
    <x v="1"/>
    <x v="293"/>
    <x v="292"/>
    <x v="0"/>
  </r>
  <r>
    <x v="1774"/>
    <x v="316"/>
    <x v="248"/>
    <s v="HOUSING FOR SENSITIVE GAS SENSOR"/>
    <x v="1"/>
    <s v=""/>
    <x v="0"/>
    <s v=""/>
    <x v="1"/>
    <x v="1"/>
    <x v="293"/>
    <x v="292"/>
    <x v="0"/>
  </r>
  <r>
    <x v="1775"/>
    <x v="316"/>
    <x v="248"/>
    <s v="METHODS AND APPARATUS FOR AUTONOMOUS GAS PLUMBE SENSING IN STATIONARY AND MOBILE APPLICATIONS"/>
    <x v="1"/>
    <s v=""/>
    <x v="0"/>
    <s v=""/>
    <x v="1"/>
    <x v="1"/>
    <x v="293"/>
    <x v="292"/>
    <x v="0"/>
  </r>
  <r>
    <x v="1776"/>
    <x v="316"/>
    <x v="248"/>
    <s v="SYSTEM AND METHOD TO DETECT METHANE GAS LEAKS USING AN UNMANNED AERIAL VEHICLE"/>
    <x v="1"/>
    <s v=""/>
    <x v="0"/>
    <s v=""/>
    <x v="1"/>
    <x v="1"/>
    <x v="293"/>
    <x v="292"/>
    <x v="0"/>
  </r>
  <r>
    <x v="1777"/>
    <x v="316"/>
    <x v="248"/>
    <s v="SELF-ALIGNMENT FEATURES FOR III-V RIDGE-PROCESS AND/OR ANGLED FACET DIE"/>
    <x v="1"/>
    <s v=""/>
    <x v="0"/>
    <s v=""/>
    <x v="1"/>
    <x v="1"/>
    <x v="293"/>
    <x v="292"/>
    <x v="0"/>
  </r>
  <r>
    <x v="1778"/>
    <x v="316"/>
    <x v="248"/>
    <s v="UNTUNED, RESONANT TRACE GAS SENSING"/>
    <x v="1"/>
    <s v=""/>
    <x v="0"/>
    <s v=""/>
    <x v="1"/>
    <x v="1"/>
    <x v="293"/>
    <x v="292"/>
    <x v="0"/>
  </r>
  <r>
    <x v="1779"/>
    <x v="316"/>
    <x v="248"/>
    <s v="METHOD FOR IDENTIFYING POSSIBLE LOCATIONS OF METHANE LEAKS IN A GAS FIELD"/>
    <x v="1"/>
    <s v=""/>
    <x v="0"/>
    <s v=""/>
    <x v="1"/>
    <x v="1"/>
    <x v="293"/>
    <x v="292"/>
    <x v="0"/>
  </r>
  <r>
    <x v="1780"/>
    <x v="316"/>
    <x v="248"/>
    <s v="HEURISTIC BASED ANALYTICS FOR CH4 LEAK SOURCE IDENTIFICATION"/>
    <x v="1"/>
    <s v=""/>
    <x v="0"/>
    <s v=""/>
    <x v="1"/>
    <x v="1"/>
    <x v="293"/>
    <x v="292"/>
    <x v="0"/>
  </r>
  <r>
    <x v="1781"/>
    <x v="316"/>
    <x v="248"/>
    <s v="A FOURIER DOMAIN DYNAMIC CORRECTION METHOD FOR COMPLEX OPTICAL FRINGES IN LASER SPECTROMETERS"/>
    <x v="1"/>
    <s v=""/>
    <x v="0"/>
    <s v=""/>
    <x v="1"/>
    <x v="1"/>
    <x v="293"/>
    <x v="292"/>
    <x v="0"/>
  </r>
  <r>
    <x v="1782"/>
    <x v="316"/>
    <x v="248"/>
    <s v="WIRELESS SENSOR NETWORK FOR PREDICTIVE MAINTENANCE ON A GAS WELL PAD"/>
    <x v="1"/>
    <s v=""/>
    <x v="0"/>
    <s v=""/>
    <x v="1"/>
    <x v="1"/>
    <x v="293"/>
    <x v="292"/>
    <x v="0"/>
  </r>
  <r>
    <x v="1783"/>
    <x v="316"/>
    <x v="248"/>
    <s v="SYSTEM AND METHOD TO TIME SYNCHRONIZE MEASUREMENT FOR CHEMCIAL PLUMED CHARACTERIZATION "/>
    <x v="1"/>
    <s v=""/>
    <x v="0"/>
    <s v=""/>
    <x v="1"/>
    <x v="1"/>
    <x v="293"/>
    <x v="292"/>
    <x v="0"/>
  </r>
  <r>
    <x v="1784"/>
    <x v="316"/>
    <x v="248"/>
    <s v="CALIBRATION OF METHANE SENSORS"/>
    <x v="1"/>
    <s v=""/>
    <x v="0"/>
    <s v=""/>
    <x v="1"/>
    <x v="1"/>
    <x v="293"/>
    <x v="292"/>
    <x v="0"/>
  </r>
  <r>
    <x v="1785"/>
    <x v="316"/>
    <x v="248"/>
    <s v="AN ADAPTABLE REAL-TIME DATA ACQUISITION ARCHITECTURE FOR LINE-SCANNED TUNABLE DIODE LASER ABSORPTION SPECTROSCOPY"/>
    <x v="1"/>
    <s v=""/>
    <x v="0"/>
    <s v=""/>
    <x v="1"/>
    <x v="1"/>
    <x v="293"/>
    <x v="292"/>
    <x v="0"/>
  </r>
  <r>
    <x v="1786"/>
    <x v="316"/>
    <x v="248"/>
    <s v="METHOD AND APPARATUS FOR EVENT DRIVEN FUGITIVE GAS SENSING AND SOURCE ATTRIBUTION"/>
    <x v="1"/>
    <s v=""/>
    <x v="0"/>
    <s v=""/>
    <x v="1"/>
    <x v="1"/>
    <x v="293"/>
    <x v="292"/>
    <x v="0"/>
  </r>
  <r>
    <x v="1787"/>
    <x v="316"/>
    <x v="249"/>
    <s v="FUGATIVE GAS SENSING ENCLOSURE WITH SHORT INTEGRATION TIME"/>
    <x v="1"/>
    <s v=""/>
    <x v="0"/>
    <s v=""/>
    <x v="1"/>
    <x v="1"/>
    <x v="293"/>
    <x v="292"/>
    <x v="0"/>
  </r>
  <r>
    <x v="1788"/>
    <x v="316"/>
    <x v="248"/>
    <s v="ADAPTIVE SENSING FOR METHANE GAS LEAK DETECTION"/>
    <x v="1"/>
    <s v=""/>
    <x v="0"/>
    <s v=""/>
    <x v="1"/>
    <x v="1"/>
    <x v="293"/>
    <x v="292"/>
    <x v="0"/>
  </r>
  <r>
    <x v="1789"/>
    <x v="317"/>
    <x v="250"/>
    <s v="MOBILE GAS AND CHEMICAL IMAGING CAMERA"/>
    <x v="1137"/>
    <s v="11/10/2017"/>
    <x v="0"/>
    <s v=""/>
    <x v="1"/>
    <x v="1"/>
    <x v="294"/>
    <x v="293"/>
    <x v="0"/>
  </r>
  <r>
    <x v="1790"/>
    <x v="317"/>
    <x v="250"/>
    <s v="MOBILE GAS AND CHEMICAL IMAGING CAMERA"/>
    <x v="1138"/>
    <s v="10/20/2017"/>
    <x v="0"/>
    <s v=""/>
    <x v="156"/>
    <x v="139"/>
    <x v="294"/>
    <x v="293"/>
    <x v="0"/>
  </r>
  <r>
    <x v="1791"/>
    <x v="317"/>
    <x v="250"/>
    <s v="MOBILE GAS AND CHEMICAL IMAGING CAMERA"/>
    <x v="1139"/>
    <s v="11/09/2017"/>
    <x v="0"/>
    <s v=""/>
    <x v="1"/>
    <x v="1"/>
    <x v="294"/>
    <x v="293"/>
    <x v="0"/>
  </r>
  <r>
    <x v="1792"/>
    <x v="317"/>
    <x v="250"/>
    <s v="MOBILE GAS AND CHEMICAL IMAGING CAMERA"/>
    <x v="1"/>
    <s v=""/>
    <x v="0"/>
    <s v=""/>
    <x v="1"/>
    <x v="1"/>
    <x v="294"/>
    <x v="293"/>
    <x v="0"/>
  </r>
  <r>
    <x v="1793"/>
    <x v="318"/>
    <x v="161"/>
    <s v="PRINTED METHANE SENSOR ANNEALED NANPARTICLES"/>
    <x v="1140"/>
    <s v="12/22/2017"/>
    <x v="0"/>
    <s v=""/>
    <x v="1"/>
    <x v="1"/>
    <x v="295"/>
    <x v="294"/>
    <x v="0"/>
  </r>
  <r>
    <x v="1794"/>
    <x v="318"/>
    <x v="161"/>
    <s v="META-ANTENNA"/>
    <x v="1141"/>
    <s v="08/04/2017"/>
    <x v="0"/>
    <s v=""/>
    <x v="1"/>
    <x v="1"/>
    <x v="295"/>
    <x v="294"/>
    <x v="0"/>
  </r>
  <r>
    <x v="1795"/>
    <x v="318"/>
    <x v="161"/>
    <s v="NANOPARTICLE-BASED PRINTED METHANE SENSOR"/>
    <x v="1142"/>
    <s v="04/28/2017"/>
    <x v="0"/>
    <s v=""/>
    <x v="1"/>
    <x v="1"/>
    <x v="295"/>
    <x v="294"/>
    <x v="0"/>
  </r>
  <r>
    <x v="1796"/>
    <x v="318"/>
    <x v="161"/>
    <s v="METHOD TO CREATE HIGH FIDELITY MACHINE LEARNING TRAINING DATA FOR GAS LEAK QUANTIFICATION USING LASER SHEET IMAGE"/>
    <x v="1143"/>
    <s v="03/28/2017"/>
    <x v="307"/>
    <s v="07/24/2018"/>
    <x v="1"/>
    <x v="1"/>
    <x v="295"/>
    <x v="294"/>
    <x v="0"/>
  </r>
  <r>
    <x v="1797"/>
    <x v="318"/>
    <x v="161"/>
    <s v="COMPACT AND EFFICIENT MEMBRANE-BASED DEHUMIDIFIER OF GAS STREAMS"/>
    <x v="1"/>
    <s v=""/>
    <x v="0"/>
    <s v=""/>
    <x v="1"/>
    <x v="1"/>
    <x v="295"/>
    <x v="294"/>
    <x v="0"/>
  </r>
  <r>
    <x v="1798"/>
    <x v="319"/>
    <x v="86"/>
    <s v="GAS SENSOR NODE USING HOLLOW CORE FIBER OPTIC"/>
    <x v="1144"/>
    <s v="05/01/2018"/>
    <x v="0"/>
    <s v=""/>
    <x v="1"/>
    <x v="1"/>
    <x v="296"/>
    <x v="295"/>
    <x v="0"/>
  </r>
  <r>
    <x v="1799"/>
    <x v="319"/>
    <x v="86"/>
    <s v="COMPACT SENSOR NODES AND SENSOR TUBE DESIGNS FOR PIPELINE AND PERIMETER GAS LEAK DETECTION"/>
    <x v="1145"/>
    <s v="05/01/2018"/>
    <x v="0"/>
    <s v=""/>
    <x v="1"/>
    <x v="1"/>
    <x v="296"/>
    <x v="295"/>
    <x v="0"/>
  </r>
  <r>
    <x v="1800"/>
    <x v="319"/>
    <x v="86"/>
    <s v="MICROSTRUCTURED FIBER DESIGN FOR HOLLOW CORE GAS SENSING WITH SIDE HOLES"/>
    <x v="1"/>
    <s v=""/>
    <x v="0"/>
    <s v=""/>
    <x v="1"/>
    <x v="1"/>
    <x v="296"/>
    <x v="295"/>
    <x v="0"/>
  </r>
  <r>
    <x v="1801"/>
    <x v="319"/>
    <x v="86"/>
    <s v="METHOD FOR INSTALLATION OF OPTICAL FIBER FOR TUBE SENSING"/>
    <x v="1"/>
    <s v=""/>
    <x v="0"/>
    <s v=""/>
    <x v="1"/>
    <x v="1"/>
    <x v="296"/>
    <x v="295"/>
    <x v="0"/>
  </r>
  <r>
    <x v="1802"/>
    <x v="319"/>
    <x v="86"/>
    <s v="MULTI-POINT REMOTE SENSOR  "/>
    <x v="1"/>
    <s v=""/>
    <x v="0"/>
    <s v=""/>
    <x v="1"/>
    <x v="1"/>
    <x v="296"/>
    <x v="295"/>
    <x v="0"/>
  </r>
  <r>
    <x v="1803"/>
    <x v="319"/>
    <x v="86"/>
    <s v="GAS SENSOR NODE PACKAGE DESIGN"/>
    <x v="1"/>
    <s v=""/>
    <x v="0"/>
    <s v=""/>
    <x v="1"/>
    <x v="1"/>
    <x v="296"/>
    <x v="295"/>
    <x v="0"/>
  </r>
  <r>
    <x v="1804"/>
    <x v="319"/>
    <x v="86"/>
    <s v="SENSOR TUBE FABRICATION "/>
    <x v="1"/>
    <s v=""/>
    <x v="0"/>
    <s v=""/>
    <x v="1"/>
    <x v="1"/>
    <x v="296"/>
    <x v="295"/>
    <x v="0"/>
  </r>
  <r>
    <x v="1805"/>
    <x v="319"/>
    <x v="86"/>
    <s v="METHODS FOR LOCALIZATION OF GAS LEAKS USING HOLLOW CORE FIBER"/>
    <x v="1146"/>
    <s v="05/13/2016"/>
    <x v="308"/>
    <s v="11/21/2017"/>
    <x v="1"/>
    <x v="1"/>
    <x v="296"/>
    <x v="295"/>
    <x v="0"/>
  </r>
  <r>
    <x v="1806"/>
    <x v="319"/>
    <x v="86"/>
    <s v="HOLLOW CORE FIBER DISTRIBUTED PIPELINE LEAK DETECTION SYSTEM FOR METHANE"/>
    <x v="1"/>
    <s v=""/>
    <x v="0"/>
    <s v=""/>
    <x v="1"/>
    <x v="1"/>
    <x v="296"/>
    <x v="295"/>
    <x v="0"/>
  </r>
  <r>
    <x v="1807"/>
    <x v="319"/>
    <x v="86"/>
    <s v="LOCALIZATION OF CHEMICAL LEAKS USING THE PHENOMENON OF PHOTOACOUSTIC SIGNAL GENERATION IN HOLLOW-CORE FIBER"/>
    <x v="1147"/>
    <s v="12/22/2015"/>
    <x v="309"/>
    <s v="03/06/2018"/>
    <x v="1"/>
    <x v="1"/>
    <x v="296"/>
    <x v="295"/>
    <x v="0"/>
  </r>
  <r>
    <x v="1808"/>
    <x v="320"/>
    <x v="251"/>
    <s v="GAS-MAPPING 3D IMAGER MEASUREMENT TECHNIQUES AND DATA PROCESSING"/>
    <x v="1148"/>
    <s v="10/05/2016"/>
    <x v="0"/>
    <s v=""/>
    <x v="1"/>
    <x v="1"/>
    <x v="297"/>
    <x v="296"/>
    <x v="0"/>
  </r>
  <r>
    <x v="1809"/>
    <x v="320"/>
    <x v="251"/>
    <s v="HIGH-SENSITIVITY GAS-MAPPING 3D IMAGER AND METHOD OF OPERATION"/>
    <x v="1149"/>
    <s v="10/05/2016"/>
    <x v="0"/>
    <s v=""/>
    <x v="1"/>
    <x v="1"/>
    <x v="297"/>
    <x v="296"/>
    <x v="0"/>
  </r>
  <r>
    <x v="1810"/>
    <x v="320"/>
    <x v="251"/>
    <s v="METHODS FOR HIGH CONFIDENCE AND HIGH SENSITIVITY LIDAR DECTECTION OF ANOMALOUS GAS CONCENTRATIONS"/>
    <x v="1"/>
    <s v=""/>
    <x v="0"/>
    <s v=""/>
    <x v="1"/>
    <x v="1"/>
    <x v="297"/>
    <x v="296"/>
    <x v="0"/>
  </r>
  <r>
    <x v="1811"/>
    <x v="320"/>
    <x v="251"/>
    <s v="METHODS FOR USING LIDAR MEASUREMENTS TO DETERMINE GAS FLUX"/>
    <x v="1"/>
    <s v=""/>
    <x v="0"/>
    <s v=""/>
    <x v="1"/>
    <x v="1"/>
    <x v="297"/>
    <x v="296"/>
    <x v="0"/>
  </r>
  <r>
    <x v="1812"/>
    <x v="321"/>
    <x v="252"/>
    <s v="MAGNETIC ASSEMBLY WITH IMPROVED FIELD UNIFORMITY AND METHODS OF MAKING AND USING THE SAME"/>
    <x v="1150"/>
    <s v="10/02/2017"/>
    <x v="0"/>
    <s v=""/>
    <x v="1"/>
    <x v="1"/>
    <x v="298"/>
    <x v="297"/>
    <x v="0"/>
  </r>
  <r>
    <x v="1813"/>
    <x v="321"/>
    <x v="252"/>
    <s v="MAGNETIC ASSEMBLY WITH IMPROVED FIELD UNIFORMITY AND METHODS OF MAKING AND USING THE SAME"/>
    <x v="1151"/>
    <s v="11/30/2018"/>
    <x v="0"/>
    <s v=""/>
    <x v="1"/>
    <x v="1"/>
    <x v="298"/>
    <x v="297"/>
    <x v="0"/>
  </r>
  <r>
    <x v="1814"/>
    <x v="321"/>
    <x v="252"/>
    <s v="COMPOUND-SPECIFIC CODING FOR MASS SPECTROMETRY"/>
    <x v="1"/>
    <s v=""/>
    <x v="0"/>
    <s v=""/>
    <x v="1"/>
    <x v="1"/>
    <x v="298"/>
    <x v="297"/>
    <x v="0"/>
  </r>
  <r>
    <x v="1815"/>
    <x v="321"/>
    <x v="252"/>
    <s v="AN AUTONOMOUS CODED APERTURE MINI MASS SPECTROMETER (AUTOCAMS) BASED METHANE SENSING SYSTEM"/>
    <x v="1"/>
    <s v=""/>
    <x v="0"/>
    <s v=""/>
    <x v="1"/>
    <x v="1"/>
    <x v="298"/>
    <x v="297"/>
    <x v="0"/>
  </r>
  <r>
    <x v="1816"/>
    <x v="321"/>
    <x v="18"/>
    <s v="CONSTANT CURRENT SOURCE BETWEEN POSITIVE AND NEGATIVE VOLTAGE"/>
    <x v="1"/>
    <s v=""/>
    <x v="0"/>
    <s v=""/>
    <x v="1"/>
    <x v="1"/>
    <x v="298"/>
    <x v="297"/>
    <x v="0"/>
  </r>
  <r>
    <x v="1817"/>
    <x v="321"/>
    <x v="252"/>
    <s v="MAGNETIC ASSEMBLY WITH HOLLOW ENCLOSURE WITH IMPROVED FIELD UNIFORMITY"/>
    <x v="1"/>
    <s v=""/>
    <x v="0"/>
    <s v=""/>
    <x v="1"/>
    <x v="1"/>
    <x v="298"/>
    <x v="297"/>
    <x v="0"/>
  </r>
  <r>
    <x v="1818"/>
    <x v="321"/>
    <x v="252"/>
    <s v="AN AUTONOMOUS CODES APERTURE MINI MASS SPECTROMETER (AUTOCAMMS) BASED METHANE SENSING SYSTEM"/>
    <x v="1"/>
    <s v=""/>
    <x v="0"/>
    <s v=""/>
    <x v="1"/>
    <x v="1"/>
    <x v="298"/>
    <x v="297"/>
    <x v="0"/>
  </r>
  <r>
    <x v="1819"/>
    <x v="322"/>
    <x v="253"/>
    <s v="DISTRIBUTED FEDBACK INTERBAND CASCADE LASERS WITH CORRUGATED SIDEWALL"/>
    <x v="1152"/>
    <s v="05/08/2017"/>
    <x v="0"/>
    <s v=""/>
    <x v="1"/>
    <x v="1"/>
    <x v="299"/>
    <x v="298"/>
    <x v="0"/>
  </r>
  <r>
    <x v="1820"/>
    <x v="323"/>
    <x v="96"/>
    <s v=" MOLECULAR RHEOSTAT FOR COFACTOR BALANCE"/>
    <x v="1153"/>
    <s v="10/18/2017"/>
    <x v="0"/>
    <s v=""/>
    <x v="88"/>
    <x v="74"/>
    <x v="300"/>
    <x v="299"/>
    <x v="0"/>
  </r>
  <r>
    <x v="1821"/>
    <x v="323"/>
    <x v="96"/>
    <s v=" MOLECULAR RHEOSTAT FOR COFACTOR BALANCE"/>
    <x v="1154"/>
    <s v="10/18/2016"/>
    <x v="0"/>
    <s v=""/>
    <x v="1"/>
    <x v="1"/>
    <x v="300"/>
    <x v="299"/>
    <x v="0"/>
  </r>
  <r>
    <x v="1822"/>
    <x v="323"/>
    <x v="145"/>
    <s v="METHOD AND APPARATUS FOR REAL-TIME MEASUREMENT OF FUEL GAS COMPOSITIONS AND HEATING VALUES"/>
    <x v="1155"/>
    <s v="05/06/2013"/>
    <x v="310"/>
    <s v="03/22/2016"/>
    <x v="1"/>
    <x v="1"/>
    <x v="300"/>
    <x v="299"/>
    <x v="0"/>
  </r>
  <r>
    <x v="1823"/>
    <x v="323"/>
    <x v="96"/>
    <s v=" STABLE ENZYMES FOR BIOPROCESSING"/>
    <x v="1"/>
    <s v=""/>
    <x v="0"/>
    <s v=""/>
    <x v="1"/>
    <x v="1"/>
    <x v="300"/>
    <x v="299"/>
    <x v="0"/>
  </r>
  <r>
    <x v="1824"/>
    <x v="323"/>
    <x v="96"/>
    <s v=" A METHOD FOR PRODUCING  MALONATE-DERIVED CHEMICALS"/>
    <x v="1"/>
    <s v=""/>
    <x v="0"/>
    <s v=""/>
    <x v="1"/>
    <x v="1"/>
    <x v="300"/>
    <x v="299"/>
    <x v="0"/>
  </r>
  <r>
    <x v="1825"/>
    <x v="323"/>
    <x v="96"/>
    <s v=" CELL-FREE PATHWAYS FOR GENERATING TERPENDOID AND POLYKETIDE PRODUCTS"/>
    <x v="1"/>
    <s v=""/>
    <x v="0"/>
    <s v=""/>
    <x v="1"/>
    <x v="1"/>
    <x v="300"/>
    <x v="299"/>
    <x v="0"/>
  </r>
  <r>
    <x v="1826"/>
    <x v="323"/>
    <x v="96"/>
    <s v="A HYBRID PATHWAY FOR THE IN VITRO CONVERSION OF GLUCOSE TO ACETYL-COA DERIVED PRODUCTS"/>
    <x v="1"/>
    <s v=""/>
    <x v="0"/>
    <s v=""/>
    <x v="1"/>
    <x v="1"/>
    <x v="300"/>
    <x v="299"/>
    <x v="0"/>
  </r>
  <r>
    <x v="1827"/>
    <x v="323"/>
    <x v="145"/>
    <s v="BIOSYNTHESIS OF INSECT PHEROMONES AND PRECURSORS THEREOF"/>
    <x v="1"/>
    <s v=""/>
    <x v="0"/>
    <s v=""/>
    <x v="1"/>
    <x v="1"/>
    <x v="300"/>
    <x v="299"/>
    <x v="0"/>
  </r>
  <r>
    <x v="1828"/>
    <x v="324"/>
    <x v="237"/>
    <s v="MONOLITHIC HIGH FIELD MAGNETS FOR PLASMA TARGET COMPRESION"/>
    <x v="1"/>
    <s v=""/>
    <x v="0"/>
    <s v=""/>
    <x v="1"/>
    <x v="1"/>
    <x v="301"/>
    <x v="300"/>
    <x v="0"/>
  </r>
  <r>
    <x v="1829"/>
    <x v="325"/>
    <x v="200"/>
    <s v="PRODUCTION OF SHEARED FLOW Z-PINCH PLASMAS"/>
    <x v="1"/>
    <s v=""/>
    <x v="0"/>
    <s v=""/>
    <x v="1"/>
    <x v="1"/>
    <x v="302"/>
    <x v="301"/>
    <x v="0"/>
  </r>
  <r>
    <x v="1830"/>
    <x v="325"/>
    <x v="200"/>
    <s v="FUSION POWER REACTOR BASED ON THE SHEAR-FLOW-STABILIZED Z-PINCH"/>
    <x v="1156"/>
    <s v="06/07/2017"/>
    <x v="0"/>
    <s v=""/>
    <x v="1"/>
    <x v="1"/>
    <x v="302"/>
    <x v="301"/>
    <x v="0"/>
  </r>
  <r>
    <x v="1831"/>
    <x v="325"/>
    <x v="200"/>
    <s v="FUSION POWER REACTOR BASED ON THE SHEAR-FLOW-STABILIZED Z-PINCH"/>
    <x v="1157"/>
    <s v="06/07/2018"/>
    <x v="0"/>
    <s v=""/>
    <x v="143"/>
    <x v="128"/>
    <x v="302"/>
    <x v="301"/>
    <x v="0"/>
  </r>
  <r>
    <x v="1832"/>
    <x v="326"/>
    <x v="187"/>
    <s v="TAPERED NOZZLE FOR FUSED FILAMENT FAVRICATION WITH FILLED MATERIALS"/>
    <x v="1"/>
    <s v=""/>
    <x v="0"/>
    <s v=""/>
    <x v="1"/>
    <x v="1"/>
    <x v="303"/>
    <x v="302"/>
    <x v="0"/>
  </r>
  <r>
    <x v="1833"/>
    <x v="326"/>
    <x v="187"/>
    <s v="EXPANSION NOZZLE FOR REORIENTATION OF FILLERS IN MATERIAL EXTRUSTION ADDITIVE MANUFACTURING"/>
    <x v="1"/>
    <s v=""/>
    <x v="0"/>
    <s v=""/>
    <x v="1"/>
    <x v="1"/>
    <x v="303"/>
    <x v="302"/>
    <x v="0"/>
  </r>
  <r>
    <x v="1834"/>
    <x v="326"/>
    <x v="187"/>
    <s v="THERMALLY CONDUCTIVE POLYMER COMPOSITE FOR 3D PRINTING"/>
    <x v="1"/>
    <s v=""/>
    <x v="0"/>
    <s v=""/>
    <x v="1"/>
    <x v="1"/>
    <x v="303"/>
    <x v="302"/>
    <x v="0"/>
  </r>
  <r>
    <x v="1835"/>
    <x v="326"/>
    <x v="187"/>
    <s v="3D STRUCTURES AND METHODS THEREFOR"/>
    <x v="1158"/>
    <s v="11/16/2018"/>
    <x v="0"/>
    <s v=""/>
    <x v="1"/>
    <x v="1"/>
    <x v="303"/>
    <x v="302"/>
    <x v="0"/>
  </r>
  <r>
    <x v="1836"/>
    <x v="327"/>
    <x v="243"/>
    <s v="CONDENSING FLUE GAS FOR SUB-AMBIENT EVAPORATIVE COOLING AND COOL STORAGE"/>
    <x v="1159"/>
    <s v="10/14/2016"/>
    <x v="0"/>
    <s v=""/>
    <x v="1"/>
    <x v="1"/>
    <x v="304"/>
    <x v="303"/>
    <x v="0"/>
  </r>
  <r>
    <x v="1837"/>
    <x v="328"/>
    <x v="147"/>
    <s v="SOLAR SCREEN FOR RADIATIVE COOLING APPLICATIONS"/>
    <x v="1"/>
    <s v=""/>
    <x v="0"/>
    <s v=""/>
    <x v="1"/>
    <x v="1"/>
    <x v="305"/>
    <x v="304"/>
    <x v="0"/>
  </r>
  <r>
    <x v="1838"/>
    <x v="329"/>
    <x v="168"/>
    <s v="PHASE CHANGE THERMAL ENERGY STORAGE AS THERMALMANAGEMENT SOLUTION FOR COMPUTING PLATFORMS AND HIGH HEAT FLUX DEVICES"/>
    <x v="1160"/>
    <s v="10/10/2018"/>
    <x v="0"/>
    <s v=""/>
    <x v="1"/>
    <x v="1"/>
    <x v="306"/>
    <x v="305"/>
    <x v="0"/>
  </r>
  <r>
    <x v="1839"/>
    <x v="329"/>
    <x v="168"/>
    <s v="MATERIALS FORMULATIONS USING ZINC NITRATE HEXAHYDRATE FOR ENERGY STORAGE APPLICATIONS"/>
    <x v="1161"/>
    <s v="04/12/2018"/>
    <x v="0"/>
    <s v=""/>
    <x v="1"/>
    <x v="1"/>
    <x v="306"/>
    <x v="305"/>
    <x v="0"/>
  </r>
  <r>
    <x v="1840"/>
    <x v="330"/>
    <x v="86"/>
    <s v="ABSORPTION CYCLE APPARATUS AND RELATED METHOD"/>
    <x v="1162"/>
    <s v="04/05/2017"/>
    <x v="0"/>
    <s v=""/>
    <x v="80"/>
    <x v="67"/>
    <x v="307"/>
    <x v="306"/>
    <x v="0"/>
  </r>
  <r>
    <x v="1841"/>
    <x v="330"/>
    <x v="86"/>
    <s v="METHOD FOR CRYSTALLIZATION CONTROL IN LITHIUM BROMIDE CHILLER USING A CRYSTALLIZATION INHIBITOR "/>
    <x v="1"/>
    <s v=""/>
    <x v="0"/>
    <s v=""/>
    <x v="1"/>
    <x v="1"/>
    <x v="307"/>
    <x v="306"/>
    <x v="0"/>
  </r>
  <r>
    <x v="1842"/>
    <x v="331"/>
    <x v="68"/>
    <s v="RADICOOL SURFACES AND RADICOLD MODULES"/>
    <x v="1163"/>
    <s v="02/29/2016"/>
    <x v="0"/>
    <s v=""/>
    <x v="1"/>
    <x v="1"/>
    <x v="308"/>
    <x v="307"/>
    <x v="0"/>
  </r>
  <r>
    <x v="1843"/>
    <x v="332"/>
    <x v="254"/>
    <s v="NOVEL COOLING FOR DRY COOLING POWER PLANTS"/>
    <x v="1164"/>
    <s v="11/02/2016"/>
    <x v="0"/>
    <s v=""/>
    <x v="375"/>
    <x v="347"/>
    <x v="309"/>
    <x v="308"/>
    <x v="0"/>
  </r>
  <r>
    <x v="1844"/>
    <x v="333"/>
    <x v="255"/>
    <s v="PHASE CHANGE MATERIAL WITH TUNABLE PHASE CHANGE TEMPERATURE"/>
    <x v="1165"/>
    <s v="08/29/2017"/>
    <x v="0"/>
    <s v=""/>
    <x v="358"/>
    <x v="330"/>
    <x v="310"/>
    <x v="309"/>
    <x v="0"/>
  </r>
  <r>
    <x v="1845"/>
    <x v="333"/>
    <x v="255"/>
    <s v="HEAT PIPE - THERMAL STORAGE MEDIUM BASED COOL STORAGE SYSTEM "/>
    <x v="1166"/>
    <s v="09/20/2016"/>
    <x v="0"/>
    <s v=""/>
    <x v="290"/>
    <x v="267"/>
    <x v="310"/>
    <x v="309"/>
    <x v="0"/>
  </r>
  <r>
    <x v="1846"/>
    <x v="333"/>
    <x v="255"/>
    <s v="HEAT PIPE - THERMAL STORAGE MEDIUM BASED COOL STORAGE SYSTEM "/>
    <x v="1"/>
    <s v=""/>
    <x v="0"/>
    <s v=""/>
    <x v="1"/>
    <x v="1"/>
    <x v="310"/>
    <x v="309"/>
    <x v="0"/>
  </r>
  <r>
    <x v="1847"/>
    <x v="333"/>
    <x v="255"/>
    <s v="PHASE CHANGE MATERIAL WITH TUNABLE PHASE CHANGE TEMPERATURE"/>
    <x v="1"/>
    <s v=""/>
    <x v="0"/>
    <s v=""/>
    <x v="1"/>
    <x v="1"/>
    <x v="310"/>
    <x v="309"/>
    <x v="0"/>
  </r>
  <r>
    <x v="1848"/>
    <x v="334"/>
    <x v="161"/>
    <s v="SPRAY ON COATINGS FOR COOLING A SURFACE BY PASSIVE RADIATIVE COOLING"/>
    <x v="1167"/>
    <s v="05/08/2017"/>
    <x v="311"/>
    <s v="06/18/2019"/>
    <x v="1"/>
    <x v="1"/>
    <x v="311"/>
    <x v="310"/>
    <x v="0"/>
  </r>
  <r>
    <x v="1849"/>
    <x v="335"/>
    <x v="242"/>
    <s v="HEAT EXCHANGER AND METHOD OF FABRICATION"/>
    <x v="1"/>
    <s v=""/>
    <x v="0"/>
    <s v=""/>
    <x v="1"/>
    <x v="1"/>
    <x v="312"/>
    <x v="311"/>
    <x v="0"/>
  </r>
  <r>
    <x v="1850"/>
    <x v="336"/>
    <x v="242"/>
    <s v="INTEGRATING ABSORPTION CHILLER TO DIRECT ACC FOR POWER PLANT COOLING"/>
    <x v="1"/>
    <s v=""/>
    <x v="0"/>
    <s v=""/>
    <x v="1"/>
    <x v="1"/>
    <x v="313"/>
    <x v="312"/>
    <x v="0"/>
  </r>
  <r>
    <x v="1851"/>
    <x v="337"/>
    <x v="193"/>
    <s v="IMPROVING ORTHO-RECTIFICATGIONOF UAV-BASED PUSH-BROOM SCANNER IMAGERY USING DERIVED OTHPHOTOS FROM FRAME CAMERAS"/>
    <x v="1168"/>
    <s v="09/25/2017"/>
    <x v="0"/>
    <s v=""/>
    <x v="1"/>
    <x v="1"/>
    <x v="314"/>
    <x v="313"/>
    <x v="0"/>
  </r>
  <r>
    <x v="1852"/>
    <x v="337"/>
    <x v="193"/>
    <s v="METHOD OF PROCESSING AN IMAGE"/>
    <x v="1169"/>
    <s v="12/26/2018"/>
    <x v="0"/>
    <s v=""/>
    <x v="1"/>
    <x v="1"/>
    <x v="314"/>
    <x v="313"/>
    <x v="0"/>
  </r>
  <r>
    <x v="1853"/>
    <x v="337"/>
    <x v="193"/>
    <s v="UNMANNED AERIAL VEHICLED (UAV) - BASED DETERMINATION OF PLANT STAND COUNTS, SPACING, LOCATION, AND LEAF AREA"/>
    <x v="1170"/>
    <s v="08/14/2018"/>
    <x v="0"/>
    <s v=""/>
    <x v="1"/>
    <x v="1"/>
    <x v="314"/>
    <x v="313"/>
    <x v="0"/>
  </r>
  <r>
    <x v="1854"/>
    <x v="337"/>
    <x v="193"/>
    <s v="MANUAL ADJUSTMENT TOOL FOR ROW LENGTH, PLOT BOUNDARIES, AND HEAT MAP OF FIELD IMAGES"/>
    <x v="1"/>
    <s v=""/>
    <x v="0"/>
    <s v=""/>
    <x v="1"/>
    <x v="1"/>
    <x v="314"/>
    <x v="313"/>
    <x v="0"/>
  </r>
  <r>
    <x v="1855"/>
    <x v="337"/>
    <x v="193"/>
    <s v="BORESIGHT CALIBRATION OF GNSS/INS-ASSISTED PUSH-BROM SCANER; CONCEPT, METHODOLOGY, AND IMPLEMENTATION"/>
    <x v="1"/>
    <s v=""/>
    <x v="0"/>
    <s v=""/>
    <x v="1"/>
    <x v="1"/>
    <x v="314"/>
    <x v="313"/>
    <x v="0"/>
  </r>
  <r>
    <x v="1856"/>
    <x v="337"/>
    <x v="193"/>
    <s v="REGULARIZED MULTI-METRIC ACTIVE LEARNING FOR CLASSIFICATION"/>
    <x v="1"/>
    <s v=""/>
    <x v="0"/>
    <s v=""/>
    <x v="1"/>
    <x v="1"/>
    <x v="314"/>
    <x v="313"/>
    <x v="0"/>
  </r>
  <r>
    <x v="1857"/>
    <x v="338"/>
    <x v="81"/>
    <s v="METHOD FOR IMPROVING COLD-TOLERANCE OF PLANTS THROUGH ALLECLIC VARIATION IN PLASTOCYANIN"/>
    <x v="1171"/>
    <s v="04/08/2019"/>
    <x v="0"/>
    <s v=""/>
    <x v="1"/>
    <x v="1"/>
    <x v="315"/>
    <x v="314"/>
    <x v="0"/>
  </r>
  <r>
    <x v="1858"/>
    <x v="338"/>
    <x v="162"/>
    <s v="GLITTER IMAGING FOR POSE ESTIMATION"/>
    <x v="1"/>
    <s v=""/>
    <x v="0"/>
    <s v=""/>
    <x v="1"/>
    <x v="1"/>
    <x v="315"/>
    <x v="314"/>
    <x v="0"/>
  </r>
  <r>
    <x v="1859"/>
    <x v="338"/>
    <x v="127"/>
    <s v="INTEGRATED FIELD PHENOTYPING AND MANAGEMENT PLATFORM FOR CROP DEVELOPMENT AND PRECISION AGRICULTURE"/>
    <x v="1"/>
    <s v=""/>
    <x v="0"/>
    <s v=""/>
    <x v="1"/>
    <x v="1"/>
    <x v="315"/>
    <x v="314"/>
    <x v="0"/>
  </r>
  <r>
    <x v="1860"/>
    <x v="339"/>
    <x v="61"/>
    <s v="CLEMSON SORGHUM VARIETY, 16FL229"/>
    <x v="1172"/>
    <s v="07/25/2019"/>
    <x v="0"/>
    <s v=""/>
    <x v="1"/>
    <x v="1"/>
    <x v="316"/>
    <x v="315"/>
    <x v="0"/>
  </r>
  <r>
    <x v="1861"/>
    <x v="339"/>
    <x v="136"/>
    <s v="STALKNET: A DEEP LEARNING ARCHITECTURE FOR IMAGE BASED PLANT PHENOTYPING"/>
    <x v="1"/>
    <s v=""/>
    <x v="0"/>
    <s v=""/>
    <x v="1"/>
    <x v="1"/>
    <x v="316"/>
    <x v="315"/>
    <x v="0"/>
  </r>
  <r>
    <x v="1862"/>
    <x v="339"/>
    <x v="136"/>
    <s v="THE ROBOTANIST AND A STEREO IMAGER WITH LED FLASH DESIGNED FOR AGRICULTURAL USE"/>
    <x v="1"/>
    <s v=""/>
    <x v="0"/>
    <s v=""/>
    <x v="1"/>
    <x v="1"/>
    <x v="316"/>
    <x v="315"/>
    <x v="0"/>
  </r>
  <r>
    <x v="1863"/>
    <x v="339"/>
    <x v="61"/>
    <s v="16FL193"/>
    <x v="1"/>
    <s v=""/>
    <x v="0"/>
    <s v=""/>
    <x v="1"/>
    <x v="1"/>
    <x v="316"/>
    <x v="315"/>
    <x v="0"/>
  </r>
  <r>
    <x v="1864"/>
    <x v="339"/>
    <x v="61"/>
    <s v="16FL201"/>
    <x v="1"/>
    <s v=""/>
    <x v="0"/>
    <s v=""/>
    <x v="1"/>
    <x v="1"/>
    <x v="316"/>
    <x v="315"/>
    <x v="0"/>
  </r>
  <r>
    <x v="1865"/>
    <x v="339"/>
    <x v="61"/>
    <s v="CLEMSON SORGHUM BREEDING GERMPLASM PIPELINE"/>
    <x v="1"/>
    <s v=""/>
    <x v="0"/>
    <s v=""/>
    <x v="1"/>
    <x v="1"/>
    <x v="316"/>
    <x v="315"/>
    <x v="0"/>
  </r>
  <r>
    <x v="1866"/>
    <x v="340"/>
    <x v="33"/>
    <s v="METHOD AND ALGORITUMS FOR LIDAR BASED ROW-FOLLOWING AUTONOMOUS NAVIGATION OF A AGRICULTURAL ROBOTS"/>
    <x v="1"/>
    <s v=""/>
    <x v="0"/>
    <s v=""/>
    <x v="1"/>
    <x v="1"/>
    <x v="317"/>
    <x v="120"/>
    <x v="0"/>
  </r>
  <r>
    <x v="1867"/>
    <x v="340"/>
    <x v="33"/>
    <s v="MULTIPURPOSE DEXTEROUS SOFT AND CONTINUUM MANIPULATORS FOR AG-BOTS"/>
    <x v="1"/>
    <s v=""/>
    <x v="0"/>
    <s v=""/>
    <x v="1"/>
    <x v="1"/>
    <x v="317"/>
    <x v="120"/>
    <x v="0"/>
  </r>
  <r>
    <x v="1868"/>
    <x v="340"/>
    <x v="33"/>
    <s v="AUTOMATED ANALYSIS OF PHOTOGRAPHS TO ESTIMATE LEAF AREA INDEX"/>
    <x v="1"/>
    <s v=""/>
    <x v="0"/>
    <s v=""/>
    <x v="1"/>
    <x v="1"/>
    <x v="317"/>
    <x v="120"/>
    <x v="0"/>
  </r>
  <r>
    <x v="1869"/>
    <x v="340"/>
    <x v="33"/>
    <s v="METHOD AND ALGORITUMS FOR ROBOT BASED PLANT PHENOTYPING USING CAMERAS AND MACHINE LEARNING"/>
    <x v="1"/>
    <s v=""/>
    <x v="0"/>
    <s v=""/>
    <x v="1"/>
    <x v="1"/>
    <x v="317"/>
    <x v="120"/>
    <x v="0"/>
  </r>
  <r>
    <x v="1870"/>
    <x v="340"/>
    <x v="33"/>
    <s v="MOBILE IN-FIELD AGRICULTRAL CROP INTERACTION ROBOT"/>
    <x v="1"/>
    <s v=""/>
    <x v="0"/>
    <s v=""/>
    <x v="1"/>
    <x v="1"/>
    <x v="317"/>
    <x v="120"/>
    <x v="0"/>
  </r>
  <r>
    <x v="1871"/>
    <x v="340"/>
    <x v="33"/>
    <s v="APPROACH FOR CONTROL OF ENVIRONMENTAL CONDITIONS IN SCIENTIFIC EQUIPMENT"/>
    <x v="1"/>
    <s v=""/>
    <x v="0"/>
    <s v=""/>
    <x v="1"/>
    <x v="1"/>
    <x v="317"/>
    <x v="120"/>
    <x v="0"/>
  </r>
  <r>
    <x v="1872"/>
    <x v="340"/>
    <x v="33"/>
    <s v="ROBOT-BASED CROP STEM WIDTH ESTIMATION IN HIGHLY CLUTTERED FIELD ENVIRONMENT"/>
    <x v="1"/>
    <s v=""/>
    <x v="0"/>
    <s v=""/>
    <x v="1"/>
    <x v="1"/>
    <x v="317"/>
    <x v="120"/>
    <x v="0"/>
  </r>
  <r>
    <x v="1873"/>
    <x v="340"/>
    <x v="33"/>
    <s v="METHOD FOR DETECTING STEM WIDTH OF PLANTS ON A MOVING PLATFORM OF SENSORS"/>
    <x v="1173"/>
    <s v="10/14/2016"/>
    <x v="0"/>
    <s v=""/>
    <x v="1"/>
    <x v="1"/>
    <x v="317"/>
    <x v="120"/>
    <x v="0"/>
  </r>
  <r>
    <x v="1874"/>
    <x v="340"/>
    <x v="33"/>
    <s v="METHOD FOR ESTIMATING PLANT HEIGHT ON A MOVING PLATFORM"/>
    <x v="1174"/>
    <s v="10/14/2016"/>
    <x v="0"/>
    <s v=""/>
    <x v="1"/>
    <x v="1"/>
    <x v="317"/>
    <x v="120"/>
    <x v="0"/>
  </r>
  <r>
    <x v="1875"/>
    <x v="340"/>
    <x v="33"/>
    <s v="METHOD FOR ESTIMATING PLANT HEIGHT ON A MOVING PLATFORM"/>
    <x v="1175"/>
    <s v="10/28/2016"/>
    <x v="0"/>
    <s v=""/>
    <x v="1"/>
    <x v="1"/>
    <x v="317"/>
    <x v="120"/>
    <x v="0"/>
  </r>
  <r>
    <x v="1876"/>
    <x v="340"/>
    <x v="33"/>
    <s v="ROBOT-BASED PHENOTYPING USING DEEP LEARNING"/>
    <x v="1176"/>
    <s v="08/24/2018"/>
    <x v="0"/>
    <s v=""/>
    <x v="372"/>
    <x v="344"/>
    <x v="317"/>
    <x v="120"/>
    <x v="0"/>
  </r>
  <r>
    <x v="1877"/>
    <x v="341"/>
    <x v="187"/>
    <s v="ENGINE WITH COMPACT VALVETRAIN"/>
    <x v="1"/>
    <s v=""/>
    <x v="0"/>
    <s v=""/>
    <x v="1"/>
    <x v="1"/>
    <x v="318"/>
    <x v="316"/>
    <x v="0"/>
  </r>
  <r>
    <x v="1878"/>
    <x v="341"/>
    <x v="187"/>
    <s v="ENGINE WINSULATING COATING"/>
    <x v="1"/>
    <s v=""/>
    <x v="0"/>
    <s v=""/>
    <x v="1"/>
    <x v="1"/>
    <x v="318"/>
    <x v="316"/>
    <x v="0"/>
  </r>
  <r>
    <x v="1879"/>
    <x v="341"/>
    <x v="187"/>
    <s v="THERMAL BARRIER COATINGS CONTAINING ALUMINOSILICATE PARTICLES"/>
    <x v="1177"/>
    <s v="07/16/2018"/>
    <x v="0"/>
    <s v=""/>
    <x v="1"/>
    <x v="1"/>
    <x v="318"/>
    <x v="316"/>
    <x v="0"/>
  </r>
  <r>
    <x v="1880"/>
    <x v="342"/>
    <x v="185"/>
    <s v="SMALL CLOSED CYCLE BRAYTON WITH INTERNAL COMBUSTION"/>
    <x v="1"/>
    <s v=""/>
    <x v="0"/>
    <s v=""/>
    <x v="1"/>
    <x v="1"/>
    <x v="319"/>
    <x v="317"/>
    <x v="0"/>
  </r>
  <r>
    <x v="1881"/>
    <x v="342"/>
    <x v="185"/>
    <s v="1 kWe BRAYTON CYCLE CHIP"/>
    <x v="1"/>
    <s v=""/>
    <x v="0"/>
    <s v=""/>
    <x v="1"/>
    <x v="1"/>
    <x v="319"/>
    <x v="317"/>
    <x v="0"/>
  </r>
  <r>
    <x v="1882"/>
    <x v="343"/>
    <x v="256"/>
    <s v="TWO STAGE COMBUSTOR"/>
    <x v="1178"/>
    <s v="03/05/2019"/>
    <x v="0"/>
    <s v=""/>
    <x v="1"/>
    <x v="1"/>
    <x v="320"/>
    <x v="318"/>
    <x v="0"/>
  </r>
  <r>
    <x v="1883"/>
    <x v="343"/>
    <x v="257"/>
    <s v="CYLINDER ATTACHMENT METHOD FOR STIRLING MACHINES"/>
    <x v="1"/>
    <s v=""/>
    <x v="0"/>
    <s v=""/>
    <x v="1"/>
    <x v="1"/>
    <x v="320"/>
    <x v="318"/>
    <x v="0"/>
  </r>
  <r>
    <x v="1884"/>
    <x v="344"/>
    <x v="258"/>
    <s v="OSCILLATING LINEAR MACHINE"/>
    <x v="1"/>
    <s v=""/>
    <x v="0"/>
    <s v=""/>
    <x v="1"/>
    <x v="1"/>
    <x v="321"/>
    <x v="319"/>
    <x v="0"/>
  </r>
  <r>
    <x v="1885"/>
    <x v="344"/>
    <x v="258"/>
    <s v="RESONANCE  LINEAR ELECTRIC MACHINE"/>
    <x v="1"/>
    <s v=""/>
    <x v="0"/>
    <s v=""/>
    <x v="1"/>
    <x v="1"/>
    <x v="321"/>
    <x v="319"/>
    <x v="0"/>
  </r>
  <r>
    <x v="1886"/>
    <x v="345"/>
    <x v="37"/>
    <s v="PERSONALIZED RECOMMENDATIONS USING DISCRETE CHOICE MODELS WITH INTER- AND INTRA-CONSUMER HETEROGENEITY"/>
    <x v="1"/>
    <s v=""/>
    <x v="0"/>
    <s v=""/>
    <x v="1"/>
    <x v="1"/>
    <x v="322"/>
    <x v="320"/>
    <x v="0"/>
  </r>
  <r>
    <x v="1887"/>
    <x v="346"/>
    <x v="161"/>
    <s v="SYSTEM AND METHOD FOR CHOOSING A COLLABORATIVELY OPTIMAL TRANSPORT PLAN"/>
    <x v="1"/>
    <s v=""/>
    <x v="0"/>
    <s v=""/>
    <x v="1"/>
    <x v="1"/>
    <x v="323"/>
    <x v="321"/>
    <x v="0"/>
  </r>
  <r>
    <x v="1888"/>
    <x v="346"/>
    <x v="161"/>
    <s v="PRODUCTIVE TRANSPORTATION "/>
    <x v="1"/>
    <s v=""/>
    <x v="0"/>
    <s v=""/>
    <x v="1"/>
    <x v="1"/>
    <x v="323"/>
    <x v="321"/>
    <x v="0"/>
  </r>
  <r>
    <x v="1889"/>
    <x v="346"/>
    <x v="161"/>
    <s v="RIDE MATCHING FOR SOCIAL ADVANTAGE"/>
    <x v="1"/>
    <s v=""/>
    <x v="0"/>
    <s v=""/>
    <x v="1"/>
    <x v="1"/>
    <x v="323"/>
    <x v="321"/>
    <x v="0"/>
  </r>
  <r>
    <x v="1890"/>
    <x v="346"/>
    <x v="161"/>
    <s v="TRANSPORTATION BEHAVIOR INFLUENCE"/>
    <x v="1"/>
    <s v=""/>
    <x v="0"/>
    <s v=""/>
    <x v="1"/>
    <x v="1"/>
    <x v="323"/>
    <x v="321"/>
    <x v="0"/>
  </r>
  <r>
    <x v="1891"/>
    <x v="346"/>
    <x v="161"/>
    <s v="COLLABORATIVE ECO-DRIVING"/>
    <x v="1"/>
    <s v=""/>
    <x v="0"/>
    <s v=""/>
    <x v="1"/>
    <x v="1"/>
    <x v="323"/>
    <x v="321"/>
    <x v="0"/>
  </r>
  <r>
    <x v="1892"/>
    <x v="347"/>
    <x v="94"/>
    <s v="INCEN TRIP"/>
    <x v="1"/>
    <s v=""/>
    <x v="0"/>
    <s v=""/>
    <x v="1"/>
    <x v="1"/>
    <x v="324"/>
    <x v="322"/>
    <x v="0"/>
  </r>
  <r>
    <x v="1893"/>
    <x v="348"/>
    <x v="259"/>
    <s v="METHOD OF CARBON DIOXIDE-FREE HYDROGEN PRODUCTION FROM HYDROCARBON DECOMPOSITION OVER METAL SALTS"/>
    <x v="1179"/>
    <s v="02/22/2016"/>
    <x v="312"/>
    <s v="10/03/2017"/>
    <x v="1"/>
    <x v="1"/>
    <x v="325"/>
    <x v="323"/>
    <x v="0"/>
  </r>
  <r>
    <x v="1894"/>
    <x v="349"/>
    <x v="260"/>
    <s v="MULTISTAGE MATCHING NETWORK AND RELATED TECHNIQUES"/>
    <x v="1180"/>
    <s v="06/26/2017"/>
    <x v="0"/>
    <s v=""/>
    <x v="72"/>
    <x v="59"/>
    <x v="326"/>
    <x v="324"/>
    <x v="0"/>
  </r>
  <r>
    <x v="1895"/>
    <x v="349"/>
    <x v="68"/>
    <s v="MATCHING NETWORKS FOR WIRELESS POWER TRANSFER AND RELATED TECHNIQUES"/>
    <x v="1181"/>
    <s v="06/26/2017"/>
    <x v="0"/>
    <s v=""/>
    <x v="1"/>
    <x v="1"/>
    <x v="326"/>
    <x v="324"/>
    <x v="0"/>
  </r>
  <r>
    <x v="1896"/>
    <x v="349"/>
    <x v="68"/>
    <s v="MULTI-MODULAR CAPACITIVE WIRELESS POWER TRANSFER CIRCUIT AND RELATED TECHNIQUES"/>
    <x v="1182"/>
    <s v="08/01/2018"/>
    <x v="0"/>
    <s v=""/>
    <x v="369"/>
    <x v="341"/>
    <x v="326"/>
    <x v="324"/>
    <x v="0"/>
  </r>
  <r>
    <x v="1897"/>
    <x v="349"/>
    <x v="68"/>
    <s v="CAPACITIVE WIRELESS POWER TRANSFER CIRCUIT AND RELATED TECHNIQUES"/>
    <x v="1183"/>
    <s v="01/03/2019"/>
    <x v="0"/>
    <s v=""/>
    <x v="1"/>
    <x v="1"/>
    <x v="326"/>
    <x v="324"/>
    <x v="0"/>
  </r>
  <r>
    <x v="1898"/>
    <x v="349"/>
    <x v="68"/>
    <s v="CAPACITIVE WIRELESS POWER TRANSFER CIRCUIT AND RELATED TECHNIQUES"/>
    <x v="1184"/>
    <s v="01/09/2019"/>
    <x v="0"/>
    <s v=""/>
    <x v="370"/>
    <x v="342"/>
    <x v="326"/>
    <x v="324"/>
    <x v="0"/>
  </r>
  <r>
    <x v="1899"/>
    <x v="349"/>
    <x v="68"/>
    <s v="MULTISTAGE MATCHING NETWORK AND RELATED TECHNIQUES"/>
    <x v="1185"/>
    <s v="06/26/2017"/>
    <x v="0"/>
    <s v=""/>
    <x v="1"/>
    <x v="1"/>
    <x v="326"/>
    <x v="324"/>
    <x v="0"/>
  </r>
  <r>
    <x v="1900"/>
    <x v="349"/>
    <x v="68"/>
    <s v="MATCHING NETWORKS FOR WIRELESS POWER TRANSFER AND RELATED TECHNIQUES"/>
    <x v="1186"/>
    <s v="06/26/2017"/>
    <x v="0"/>
    <s v=""/>
    <x v="1"/>
    <x v="1"/>
    <x v="326"/>
    <x v="324"/>
    <x v="0"/>
  </r>
  <r>
    <x v="1901"/>
    <x v="350"/>
    <x v="182"/>
    <s v="DETERMATION OF CHARACTERISTICS OF ELECTROCHEMICAL SYSTEMS USING ACOUSTIC SIGNALS "/>
    <x v="1187"/>
    <s v="08/30/2018"/>
    <x v="0"/>
    <s v=""/>
    <x v="1"/>
    <x v="1"/>
    <x v="220"/>
    <x v="221"/>
    <x v="0"/>
  </r>
  <r>
    <x v="1902"/>
    <x v="350"/>
    <x v="182"/>
    <s v="SPATIAL HOMOGENEITY DETECTION OF LITHIUM ION BATTERIES WITH ELECTROCHEMICAL - ACOUSTIC ANALYSIS"/>
    <x v="1"/>
    <s v=""/>
    <x v="0"/>
    <s v=""/>
    <x v="1"/>
    <x v="1"/>
    <x v="220"/>
    <x v="221"/>
    <x v="0"/>
  </r>
  <r>
    <x v="1903"/>
    <x v="351"/>
    <x v="92"/>
    <s v="BROADBAND AND OMINDIRECTIONAL POLYMER ANTIREFLECTION COATINGS"/>
    <x v="1188"/>
    <s v="01/09/2018"/>
    <x v="0"/>
    <s v=""/>
    <x v="106"/>
    <x v="90"/>
    <x v="262"/>
    <x v="261"/>
    <x v="0"/>
  </r>
  <r>
    <x v="1904"/>
    <x v="351"/>
    <x v="92"/>
    <s v="BROADBAND AND OMINDIRECTIONAL POLYMER ANTIREFLECTION COATINGS"/>
    <x v="1189"/>
    <s v="05/31/2019"/>
    <x v="0"/>
    <s v=""/>
    <x v="1"/>
    <x v="1"/>
    <x v="262"/>
    <x v="261"/>
    <x v="0"/>
  </r>
  <r>
    <x v="1905"/>
    <x v="352"/>
    <x v="92"/>
    <s v="BROADBAND AND OMNIDIRECTIONAL POLYMER ANTIREFLECTION COATINGS"/>
    <x v="1"/>
    <s v=""/>
    <x v="0"/>
    <s v=""/>
    <x v="1"/>
    <x v="1"/>
    <x v="327"/>
    <x v="325"/>
    <x v="0"/>
  </r>
  <r>
    <x v="1906"/>
    <x v="352"/>
    <x v="92"/>
    <s v="CONCENTRATING PHOTOVOLTAIC DAYLIGHTING"/>
    <x v="1"/>
    <s v=""/>
    <x v="0"/>
    <s v=""/>
    <x v="1"/>
    <x v="1"/>
    <x v="327"/>
    <x v="325"/>
    <x v="0"/>
  </r>
  <r>
    <x v="1907"/>
    <x v="353"/>
    <x v="24"/>
    <s v="LUMINESCENT SOLAR CONCENTRATORS AND RELATED METHODS OF MANUFACTURING"/>
    <x v="1190"/>
    <s v="08/27/2018"/>
    <x v="0"/>
    <s v=""/>
    <x v="1"/>
    <x v="1"/>
    <x v="191"/>
    <x v="193"/>
    <x v="0"/>
  </r>
  <r>
    <x v="1908"/>
    <x v="353"/>
    <x v="24"/>
    <s v="DIRECTIONAL AND COUPLED LUMINOPHORE EMISSION IN NANOSTRUCTURED OPTICAL ENVIROMENTS"/>
    <x v="1"/>
    <s v=""/>
    <x v="0"/>
    <s v=""/>
    <x v="1"/>
    <x v="1"/>
    <x v="191"/>
    <x v="193"/>
    <x v="0"/>
  </r>
  <r>
    <x v="1909"/>
    <x v="354"/>
    <x v="161"/>
    <s v="TRANSPARENT OPTICAL COUPLER ACTIVE MATRIX ARRAY"/>
    <x v="1191"/>
    <s v="04/28/2017"/>
    <x v="0"/>
    <s v=""/>
    <x v="1"/>
    <x v="1"/>
    <x v="328"/>
    <x v="326"/>
    <x v="0"/>
  </r>
  <r>
    <x v="1910"/>
    <x v="354"/>
    <x v="161"/>
    <s v="A HIGH REGISTRATION PARTICLES TRANSFERING SYSTEM"/>
    <x v="1192"/>
    <s v="05/10/2017"/>
    <x v="0"/>
    <s v=""/>
    <x v="1"/>
    <x v="1"/>
    <x v="328"/>
    <x v="326"/>
    <x v="0"/>
  </r>
  <r>
    <x v="1911"/>
    <x v="354"/>
    <x v="161"/>
    <s v="REGISTERED VACUUM TRANSFER"/>
    <x v="1"/>
    <s v=""/>
    <x v="0"/>
    <s v=""/>
    <x v="1"/>
    <x v="1"/>
    <x v="328"/>
    <x v="326"/>
    <x v="0"/>
  </r>
  <r>
    <x v="1912"/>
    <x v="354"/>
    <x v="161"/>
    <s v="PARALLED 2D MATERIAL ASSEMBLY USDING SACRIFICIAL CHIPLETS"/>
    <x v="1"/>
    <s v=""/>
    <x v="0"/>
    <s v=""/>
    <x v="1"/>
    <x v="1"/>
    <x v="328"/>
    <x v="326"/>
    <x v="0"/>
  </r>
  <r>
    <x v="1913"/>
    <x v="355"/>
    <x v="261"/>
    <s v="MULTIPLE LAYER OPTICS FOR LIGHT COLLECTING AND EMITTING APPARATUS"/>
    <x v="1193"/>
    <s v="12/08/2016"/>
    <x v="0"/>
    <s v=""/>
    <x v="1"/>
    <x v="1"/>
    <x v="329"/>
    <x v="327"/>
    <x v="0"/>
  </r>
  <r>
    <x v="1914"/>
    <x v="355"/>
    <x v="261"/>
    <s v="MULTIPLE LAYER OPTICS FOR LIGHT COLLECTING AND EMITTING APPARATUS"/>
    <x v="1193"/>
    <s v="12/08/2016"/>
    <x v="0"/>
    <s v=""/>
    <x v="1"/>
    <x v="1"/>
    <x v="329"/>
    <x v="327"/>
    <x v="0"/>
  </r>
  <r>
    <x v="1915"/>
    <x v="356"/>
    <x v="244"/>
    <s v="THERMAL AND MECHANICAL DESIGN OF ENERGY STORAGE DEVICE"/>
    <x v="1"/>
    <s v=""/>
    <x v="0"/>
    <s v=""/>
    <x v="1"/>
    <x v="1"/>
    <x v="210"/>
    <x v="328"/>
    <x v="0"/>
  </r>
  <r>
    <x v="1916"/>
    <x v="356"/>
    <x v="244"/>
    <s v="NOVEL ELECTROCHEMICAL ENERGY STORAGE DEVICE"/>
    <x v="1"/>
    <s v=""/>
    <x v="0"/>
    <s v=""/>
    <x v="1"/>
    <x v="1"/>
    <x v="210"/>
    <x v="328"/>
    <x v="0"/>
  </r>
  <r>
    <x v="1917"/>
    <x v="357"/>
    <x v="262"/>
    <s v=" POLYMER AEROGELS WITH DECOUPLED PORE SIZE AND PROSITY "/>
    <x v="1"/>
    <s v=""/>
    <x v="0"/>
    <s v=""/>
    <x v="1"/>
    <x v="1"/>
    <x v="330"/>
    <x v="329"/>
    <x v="0"/>
  </r>
  <r>
    <x v="1918"/>
    <x v="357"/>
    <x v="262"/>
    <s v=" A RECUPERATING COAXIAL BURNING OPERATION INSIDE OF A CYLINDRICAL HEAT EXCHANGER"/>
    <x v="1"/>
    <s v=""/>
    <x v="0"/>
    <s v=""/>
    <x v="1"/>
    <x v="1"/>
    <x v="330"/>
    <x v="329"/>
    <x v="0"/>
  </r>
  <r>
    <x v="1919"/>
    <x v="358"/>
    <x v="237"/>
    <s v="DUAL GENERATOR CO-ROTATING OLDHAM RING SCROLL COMPRESSOR"/>
    <x v="1"/>
    <s v=""/>
    <x v="0"/>
    <s v=""/>
    <x v="1"/>
    <x v="1"/>
    <x v="331"/>
    <x v="330"/>
    <x v="0"/>
  </r>
  <r>
    <x v="1920"/>
    <x v="358"/>
    <x v="237"/>
    <s v="SCROLL COMPRESSOR, EXPANDER OR VACUM PUMP WITH CANNED MOTOR OR GENERATOR"/>
    <x v="1"/>
    <s v=""/>
    <x v="0"/>
    <s v=""/>
    <x v="1"/>
    <x v="1"/>
    <x v="331"/>
    <x v="330"/>
    <x v="0"/>
  </r>
  <r>
    <x v="1921"/>
    <x v="359"/>
    <x v="263"/>
    <s v="REACTOR FOR HYDROTHERMAL GROWTH OF STRUCTURED MATERIALS"/>
    <x v="1194"/>
    <s v="12/28/2018"/>
    <x v="0"/>
    <s v=""/>
    <x v="1"/>
    <x v="1"/>
    <x v="332"/>
    <x v="331"/>
    <x v="0"/>
  </r>
  <r>
    <x v="1922"/>
    <x v="359"/>
    <x v="263"/>
    <s v="PROCESS AND APPARATUS FOR CONTINUOUS PRODUCTION OF POROUS STRUCTURES"/>
    <x v="1195"/>
    <s v="12/28/2018"/>
    <x v="0"/>
    <s v=""/>
    <x v="1"/>
    <x v="1"/>
    <x v="332"/>
    <x v="331"/>
    <x v="0"/>
  </r>
  <r>
    <x v="1923"/>
    <x v="360"/>
    <x v="261"/>
    <s v="HYBRID ELECTROLYTES FOR SOLID STATE LITHIUM BATTERIES"/>
    <x v="1"/>
    <s v=""/>
    <x v="0"/>
    <s v=""/>
    <x v="1"/>
    <x v="1"/>
    <x v="333"/>
    <x v="332"/>
    <x v="0"/>
  </r>
  <r>
    <x v="1924"/>
    <x v="360"/>
    <x v="261"/>
    <s v="PHYSICAL MODEL-GUIDED MACHINE LEARNING FRAMEWORK FOR ENERGY MANAGEMENT OF RANGE-EXTENDED HYBRID ELECTRIC DELIVERY VEHICLE "/>
    <x v="1196"/>
    <s v="10/09/2018"/>
    <x v="0"/>
    <s v=""/>
    <x v="1"/>
    <x v="1"/>
    <x v="333"/>
    <x v="332"/>
    <x v="0"/>
  </r>
  <r>
    <x v="1925"/>
    <x v="361"/>
    <x v="100"/>
    <s v="STABLE SOLID STATE ELECTROLYTE FOR SODIUM BATTERY"/>
    <x v="1"/>
    <s v=""/>
    <x v="0"/>
    <s v=""/>
    <x v="1"/>
    <x v="1"/>
    <x v="334"/>
    <x v="333"/>
    <x v="0"/>
  </r>
  <r>
    <x v="1926"/>
    <x v="362"/>
    <x v="264"/>
    <s v="ADAPTIVE PLATOONING FOR FAST WARM-UP THERMAL MANAGEMENT"/>
    <x v="1197"/>
    <s v="10/31/2017"/>
    <x v="0"/>
    <s v=""/>
    <x v="1"/>
    <x v="1"/>
    <x v="335"/>
    <x v="334"/>
    <x v="0"/>
  </r>
  <r>
    <x v="1927"/>
    <x v="362"/>
    <x v="264"/>
    <s v="ALUMINUM ALLOYS PISTON BODY WITH CAST IN CROWN INSERT AND INSULATING CORE I"/>
    <x v="1"/>
    <s v=""/>
    <x v="0"/>
    <s v=""/>
    <x v="1"/>
    <x v="1"/>
    <x v="335"/>
    <x v="334"/>
    <x v="0"/>
  </r>
  <r>
    <x v="1928"/>
    <x v="362"/>
    <x v="264"/>
    <s v="STEP-FILLED PISTON HEAD DESIGN"/>
    <x v="1"/>
    <s v=""/>
    <x v="0"/>
    <s v=""/>
    <x v="1"/>
    <x v="1"/>
    <x v="335"/>
    <x v="334"/>
    <x v="0"/>
  </r>
  <r>
    <x v="1929"/>
    <x v="362"/>
    <x v="264"/>
    <s v="CAPPED PISTON WITH FOUR BOLT DESIGN AND LOW THERMAL CONDUCTIVITY"/>
    <x v="1"/>
    <s v=""/>
    <x v="0"/>
    <s v=""/>
    <x v="1"/>
    <x v="1"/>
    <x v="335"/>
    <x v="334"/>
    <x v="0"/>
  </r>
  <r>
    <x v="1930"/>
    <x v="362"/>
    <x v="264"/>
    <s v="EXHAUST WATER INJECTION TO REDUCE TURBOCHARGER TURBINE INLET TEMPERATURES"/>
    <x v="1"/>
    <s v=""/>
    <x v="0"/>
    <s v=""/>
    <x v="1"/>
    <x v="1"/>
    <x v="335"/>
    <x v="334"/>
    <x v="0"/>
  </r>
  <r>
    <x v="1930"/>
    <x v="362"/>
    <x v="264"/>
    <s v="EXHAUST WATER INJECTION TO REDUCE TURBOCHARGER TURBINE INLET TEMPERATURES"/>
    <x v="1"/>
    <s v=""/>
    <x v="0"/>
    <s v=""/>
    <x v="1"/>
    <x v="1"/>
    <x v="335"/>
    <x v="334"/>
    <x v="0"/>
  </r>
  <r>
    <x v="1931"/>
    <x v="363"/>
    <x v="265"/>
    <s v="OPPOSED PISTON AIR SYSTEM LAYOUT PACKAGED WITHIN A VEHICLE ENGINE BAY"/>
    <x v="1198"/>
    <s v="05/16/2019"/>
    <x v="0"/>
    <s v=""/>
    <x v="1"/>
    <x v="1"/>
    <x v="336"/>
    <x v="335"/>
    <x v="0"/>
  </r>
  <r>
    <x v="1932"/>
    <x v="363"/>
    <x v="265"/>
    <s v="OPPOSED PISTON ENGINE IN LIGHT-DUTY TRUCK"/>
    <x v="1199"/>
    <s v="07/02/2018"/>
    <x v="0"/>
    <s v=""/>
    <x v="1"/>
    <x v="1"/>
    <x v="336"/>
    <x v="335"/>
    <x v="0"/>
  </r>
  <r>
    <x v="1933"/>
    <x v="363"/>
    <x v="265"/>
    <s v="GEAR TRAIN FOR OPPOSED-PISTON ENGINES"/>
    <x v="1200"/>
    <s v="10/17/2017"/>
    <x v="0"/>
    <s v=""/>
    <x v="376"/>
    <x v="348"/>
    <x v="336"/>
    <x v="335"/>
    <x v="0"/>
  </r>
  <r>
    <x v="1934"/>
    <x v="363"/>
    <x v="265"/>
    <s v="GEAR TRAIN FOR OPPOSED-PISTON ENGINES"/>
    <x v="1201"/>
    <s v="04/11/2019"/>
    <x v="0"/>
    <s v=""/>
    <x v="204"/>
    <x v="184"/>
    <x v="336"/>
    <x v="335"/>
    <x v="0"/>
  </r>
  <r>
    <x v="1935"/>
    <x v="363"/>
    <x v="265"/>
    <s v="PISTON COMBINATIONS FOR OPPOSED-PISTON ENGINES"/>
    <x v="1202"/>
    <s v="06/19/2019"/>
    <x v="0"/>
    <s v=""/>
    <x v="205"/>
    <x v="185"/>
    <x v="336"/>
    <x v="335"/>
    <x v="0"/>
  </r>
  <r>
    <x v="1936"/>
    <x v="363"/>
    <x v="265"/>
    <s v="OPPOSED PISTON AIR SYSTEM LAYOUT PACKAGED WITHIN A VEHICLE ENGINE BAY"/>
    <x v="1203"/>
    <s v="05/16/2019"/>
    <x v="0"/>
    <s v=""/>
    <x v="377"/>
    <x v="319"/>
    <x v="336"/>
    <x v="335"/>
    <x v="0"/>
  </r>
  <r>
    <x v="1937"/>
    <x v="363"/>
    <x v="265"/>
    <s v="SHROUDED/INERTIAL TYPE CRANK CASE VENTILATION OIL SEPARATOR INTEGRATED IN TAIL OF CRANKSHAFT"/>
    <x v="1"/>
    <s v=""/>
    <x v="0"/>
    <s v=""/>
    <x v="1"/>
    <x v="1"/>
    <x v="336"/>
    <x v="335"/>
    <x v="0"/>
  </r>
  <r>
    <x v="1938"/>
    <x v="363"/>
    <x v="265"/>
    <s v="A VARIETY OF PORT DESIGNS"/>
    <x v="1"/>
    <s v=""/>
    <x v="0"/>
    <s v=""/>
    <x v="1"/>
    <x v="1"/>
    <x v="336"/>
    <x v="335"/>
    <x v="0"/>
  </r>
  <r>
    <x v="1939"/>
    <x v="363"/>
    <x v="265"/>
    <s v="OVAL PULLEY FOR AN OPPOSED-PISTON ENGINE"/>
    <x v="1"/>
    <s v=""/>
    <x v="0"/>
    <s v=""/>
    <x v="1"/>
    <x v="1"/>
    <x v="336"/>
    <x v="335"/>
    <x v="0"/>
  </r>
  <r>
    <x v="1940"/>
    <x v="363"/>
    <x v="265"/>
    <s v="LIPLESS PISTON BOWL SHAPE IN AN OPPOSED-PISTON ENGINE"/>
    <x v="1"/>
    <s v=""/>
    <x v="0"/>
    <s v=""/>
    <x v="1"/>
    <x v="1"/>
    <x v="336"/>
    <x v="335"/>
    <x v="0"/>
  </r>
  <r>
    <x v="1941"/>
    <x v="363"/>
    <x v="265"/>
    <s v="GASOLINE COMPRESSION IGNITION ENGINE COMBUSTION NOISE COUTERMEASURE"/>
    <x v="1"/>
    <s v=""/>
    <x v="0"/>
    <s v=""/>
    <x v="1"/>
    <x v="1"/>
    <x v="336"/>
    <x v="335"/>
    <x v="0"/>
  </r>
  <r>
    <x v="1942"/>
    <x v="363"/>
    <x v="265"/>
    <s v="THREE PIECE BI-AXIAL BEARING SHELL"/>
    <x v="1"/>
    <s v=""/>
    <x v="0"/>
    <s v=""/>
    <x v="1"/>
    <x v="1"/>
    <x v="336"/>
    <x v="335"/>
    <x v="0"/>
  </r>
  <r>
    <x v="1943"/>
    <x v="363"/>
    <x v="265"/>
    <s v="2-SPEED SUPERCHARGER NBELT DRIVE"/>
    <x v="1"/>
    <s v=""/>
    <x v="0"/>
    <s v=""/>
    <x v="1"/>
    <x v="1"/>
    <x v="336"/>
    <x v="335"/>
    <x v="0"/>
  </r>
  <r>
    <x v="1944"/>
    <x v="363"/>
    <x v="265"/>
    <s v="CYLINDER PORT (ROOF AND FLOOR) DESIGN IN OPPOSED-PISTON TWO-STROKE ENGINES"/>
    <x v="1"/>
    <s v=""/>
    <x v="0"/>
    <s v=""/>
    <x v="1"/>
    <x v="1"/>
    <x v="336"/>
    <x v="335"/>
    <x v="0"/>
  </r>
  <r>
    <x v="1945"/>
    <x v="363"/>
    <x v="265"/>
    <s v="ECU CONTROLLED OPPOSED-PISTON THERMAL MANAGEMENT SYSTEM"/>
    <x v="1"/>
    <s v=""/>
    <x v="0"/>
    <s v=""/>
    <x v="1"/>
    <x v="1"/>
    <x v="336"/>
    <x v="335"/>
    <x v="0"/>
  </r>
  <r>
    <x v="1946"/>
    <x v="363"/>
    <x v="265"/>
    <s v="UNFILTERED PISTON COOLING OIL LAYOUT"/>
    <x v="1"/>
    <s v=""/>
    <x v="0"/>
    <s v=""/>
    <x v="1"/>
    <x v="1"/>
    <x v="336"/>
    <x v="335"/>
    <x v="0"/>
  </r>
  <r>
    <x v="1947"/>
    <x v="363"/>
    <x v="265"/>
    <s v="CYLINDER LINER TANGENTIAL FLOW GEOMETRY"/>
    <x v="1"/>
    <s v=""/>
    <x v="0"/>
    <s v=""/>
    <x v="1"/>
    <x v="1"/>
    <x v="336"/>
    <x v="335"/>
    <x v="0"/>
  </r>
  <r>
    <x v="1948"/>
    <x v="363"/>
    <x v="265"/>
    <s v="PISTON UNDERCROWN COOLING FEATURE FOR UNIFORM RING GROOVE TEMPERATURES"/>
    <x v="1"/>
    <s v=""/>
    <x v="0"/>
    <s v=""/>
    <x v="1"/>
    <x v="1"/>
    <x v="336"/>
    <x v="335"/>
    <x v="0"/>
  </r>
  <r>
    <x v="1949"/>
    <x v="363"/>
    <x v="265"/>
    <s v="INDIVIDUAL PLUNGER PUMP LAYOUT ON OP ENGINES"/>
    <x v="1"/>
    <s v=""/>
    <x v="0"/>
    <s v=""/>
    <x v="1"/>
    <x v="1"/>
    <x v="336"/>
    <x v="335"/>
    <x v="0"/>
  </r>
  <r>
    <x v="1950"/>
    <x v="363"/>
    <x v="265"/>
    <s v="CYLINDER LINER PORT BRIDGE OPENING SHAPE IN OP25 ENGINES"/>
    <x v="1"/>
    <s v=""/>
    <x v="0"/>
    <s v=""/>
    <x v="1"/>
    <x v="1"/>
    <x v="336"/>
    <x v="335"/>
    <x v="0"/>
  </r>
  <r>
    <x v="1951"/>
    <x v="364"/>
    <x v="266"/>
    <s v="AUTONOMOUS VEHICLE FOR MARINE OPERATIONS"/>
    <x v="1204"/>
    <s v="02/09/2017"/>
    <x v="0"/>
    <s v=""/>
    <x v="1"/>
    <x v="1"/>
    <x v="337"/>
    <x v="336"/>
    <x v="0"/>
  </r>
  <r>
    <x v="1952"/>
    <x v="364"/>
    <x v="266"/>
    <s v="AUTONOMOUS UNDERWATER VEHICLES  "/>
    <x v="1"/>
    <s v=""/>
    <x v="0"/>
    <s v=""/>
    <x v="1"/>
    <x v="1"/>
    <x v="337"/>
    <x v="336"/>
    <x v="0"/>
  </r>
  <r>
    <x v="1953"/>
    <x v="364"/>
    <x v="92"/>
    <s v="NOISE REDUCTION AT BLADE RATE FREQUENCY USING CLOCKING OF ACOUSTIC SOURCES"/>
    <x v="1"/>
    <s v=""/>
    <x v="0"/>
    <s v=""/>
    <x v="1"/>
    <x v="1"/>
    <x v="337"/>
    <x v="336"/>
    <x v="0"/>
  </r>
  <r>
    <x v="1954"/>
    <x v="365"/>
    <x v="267"/>
    <s v="DEVELOPMENT OF AN EPISOMAL PLASMID (MINICIRCLE) PLANT ENGINEERING SYSTEM"/>
    <x v="1"/>
    <s v=""/>
    <x v="0"/>
    <s v=""/>
    <x v="1"/>
    <x v="1"/>
    <x v="178"/>
    <x v="181"/>
    <x v="0"/>
  </r>
  <r>
    <x v="1955"/>
    <x v="366"/>
    <x v="179"/>
    <s v="WAFER-SCALE ALD STANDOFFS FOR MICROGAP THERMIONIC ENERGY CONVERSION"/>
    <x v="1205"/>
    <s v="07/24/2017"/>
    <x v="0"/>
    <s v=""/>
    <x v="1"/>
    <x v="1"/>
    <x v="338"/>
    <x v="337"/>
    <x v="0"/>
  </r>
  <r>
    <x v="1956"/>
    <x v="366"/>
    <x v="179"/>
    <s v="SMALL GAP DEVICE SYSTEM AND METHOD OF FABRICATION"/>
    <x v="1206"/>
    <s v="07/24/2018"/>
    <x v="0"/>
    <s v=""/>
    <x v="1"/>
    <x v="1"/>
    <x v="338"/>
    <x v="337"/>
    <x v="0"/>
  </r>
  <r>
    <x v="1957"/>
    <x v="366"/>
    <x v="179"/>
    <s v="SMALL GAP DEVICE SYSTEM AND METHOD OF FABRICATION"/>
    <x v="1207"/>
    <s v="07/24/2018"/>
    <x v="0"/>
    <s v=""/>
    <x v="112"/>
    <x v="96"/>
    <x v="338"/>
    <x v="337"/>
    <x v="0"/>
  </r>
  <r>
    <x v="1958"/>
    <x v="366"/>
    <x v="179"/>
    <s v="SMALL GAP DEVICE SYSTEM AND METHOD OF FABRICATION"/>
    <x v="1208"/>
    <s v="06/29/2018"/>
    <x v="0"/>
    <s v=""/>
    <x v="1"/>
    <x v="1"/>
    <x v="338"/>
    <x v="337"/>
    <x v="0"/>
  </r>
  <r>
    <x v="1959"/>
    <x v="366"/>
    <x v="179"/>
    <s v="SMALL GAP DEVICE SYSTEM AND METHOD OF FABRICATON "/>
    <x v="1"/>
    <s v=""/>
    <x v="0"/>
    <s v=""/>
    <x v="1"/>
    <x v="1"/>
    <x v="338"/>
    <x v="337"/>
    <x v="0"/>
  </r>
  <r>
    <x v="1960"/>
    <x v="366"/>
    <x v="179"/>
    <s v="LIQUID METAL DROPLETS FOR MICROSCALE DROPLET SPRING INTERCONNECTS"/>
    <x v="1"/>
    <s v=""/>
    <x v="0"/>
    <s v=""/>
    <x v="1"/>
    <x v="1"/>
    <x v="338"/>
    <x v="337"/>
    <x v="0"/>
  </r>
  <r>
    <x v="1961"/>
    <x v="366"/>
    <x v="179"/>
    <s v="MEMS VACUUM SEAL RING"/>
    <x v="1"/>
    <s v=""/>
    <x v="0"/>
    <s v=""/>
    <x v="1"/>
    <x v="1"/>
    <x v="338"/>
    <x v="337"/>
    <x v="0"/>
  </r>
  <r>
    <x v="1962"/>
    <x v="366"/>
    <x v="179"/>
    <s v="SYSTEM AND METHOD FOR THERMIONIC ENERGY CONVERSION"/>
    <x v="1"/>
    <s v=""/>
    <x v="0"/>
    <s v=""/>
    <x v="1"/>
    <x v="1"/>
    <x v="338"/>
    <x v="337"/>
    <x v="0"/>
  </r>
  <r>
    <x v="1963"/>
    <x v="366"/>
    <x v="268"/>
    <s v="SYSTEM AND METHOD FOR WORK FUNCTION REDUCTION AND THERMIONIC ENERGY CONVERSION"/>
    <x v="1"/>
    <s v=""/>
    <x v="0"/>
    <s v=""/>
    <x v="1"/>
    <x v="1"/>
    <x v="338"/>
    <x v="337"/>
    <x v="0"/>
  </r>
  <r>
    <x v="1964"/>
    <x v="366"/>
    <x v="268"/>
    <s v="SYSTEM AND METHOD FOR WORK FUNCTION REDUCTION AND THERMIONIC ENERGY CONVERSION"/>
    <x v="1"/>
    <s v=""/>
    <x v="0"/>
    <s v=""/>
    <x v="1"/>
    <x v="1"/>
    <x v="338"/>
    <x v="337"/>
    <x v="0"/>
  </r>
  <r>
    <x v="1965"/>
    <x v="367"/>
    <x v="178"/>
    <s v="SCALABLE CONTROLLER FOR COMMUNITY-BASED MICROGRID WITH DYNMIC BOUNDARY"/>
    <x v="1"/>
    <s v=""/>
    <x v="0"/>
    <s v=""/>
    <x v="1"/>
    <x v="1"/>
    <x v="339"/>
    <x v="338"/>
    <x v="0"/>
  </r>
  <r>
    <x v="1966"/>
    <x v="367"/>
    <x v="178"/>
    <s v="PROTECTION SCHEME FOR INVERTER-DOMINATED MICROGRID WITH DYNAMIC BOUNDARIES"/>
    <x v="1"/>
    <s v=""/>
    <x v="0"/>
    <s v=""/>
    <x v="1"/>
    <x v="1"/>
    <x v="339"/>
    <x v="338"/>
    <x v="0"/>
  </r>
  <r>
    <x v="1967"/>
    <x v="367"/>
    <x v="267"/>
    <s v="A PROTECTION SCHEME FOR A MICROGRID WITH DYNAMIC POINT OF COMMON COUPLING"/>
    <x v="1"/>
    <s v=""/>
    <x v="0"/>
    <s v=""/>
    <x v="1"/>
    <x v="1"/>
    <x v="339"/>
    <x v="338"/>
    <x v="0"/>
  </r>
  <r>
    <x v="1966"/>
    <x v="367"/>
    <x v="178"/>
    <s v="PROTECTION SCHEME FOR INVERTER-DOMINATED MICROGRID WITH DYNAMIC BOUNDARIES"/>
    <x v="1"/>
    <s v=""/>
    <x v="0"/>
    <s v=""/>
    <x v="1"/>
    <x v="1"/>
    <x v="339"/>
    <x v="338"/>
    <x v="0"/>
  </r>
  <r>
    <x v="1968"/>
    <x v="367"/>
    <x v="178"/>
    <s v="A MICROGRID WITH MULTIPLE UTILITY FEEDERS AND DYNAMIC BOUNDARIES"/>
    <x v="1"/>
    <s v=""/>
    <x v="0"/>
    <s v=""/>
    <x v="1"/>
    <x v="1"/>
    <x v="339"/>
    <x v="338"/>
    <x v="0"/>
  </r>
  <r>
    <x v="1969"/>
    <x v="368"/>
    <x v="269"/>
    <s v="SUPER-RATED OPERATION OF A WIND TURBINE USING ENERGY STORAGE"/>
    <x v="1"/>
    <s v=""/>
    <x v="0"/>
    <s v=""/>
    <x v="1"/>
    <x v="1"/>
    <x v="340"/>
    <x v="339"/>
    <x v="0"/>
  </r>
  <r>
    <x v="1970"/>
    <x v="369"/>
    <x v="83"/>
    <s v="DATA ANALYTICS FOR VIRTUAL ENERGY AUDITS AND VALUE CAPTURE ASSESSMENTS OF BUILDINGS"/>
    <x v="1209"/>
    <s v="05/10/2018"/>
    <x v="0"/>
    <s v=""/>
    <x v="1"/>
    <x v="1"/>
    <x v="341"/>
    <x v="340"/>
    <x v="0"/>
  </r>
  <r>
    <x v="1971"/>
    <x v="370"/>
    <x v="196"/>
    <s v="LASER LIGHTING SYSTEM INCORPORATING ADDITIONAL SCATTERED LASER"/>
    <x v="1210"/>
    <s v="02/06/2018"/>
    <x v="0"/>
    <s v=""/>
    <x v="1"/>
    <x v="1"/>
    <x v="342"/>
    <x v="341"/>
    <x v="0"/>
  </r>
  <r>
    <x v="1972"/>
    <x v="370"/>
    <x v="196"/>
    <s v="CE:YAG/AL203 COMPOSITIES FOR LASER-EXCITED SOLID-STATE WHITE LIGHTING"/>
    <x v="1211"/>
    <s v="07/31/2017"/>
    <x v="0"/>
    <s v=""/>
    <x v="130"/>
    <x v="114"/>
    <x v="342"/>
    <x v="341"/>
    <x v="0"/>
  </r>
  <r>
    <x v="1973"/>
    <x v="370"/>
    <x v="196"/>
    <s v="CE:YAG/AL203 COMPOSITIES FOR LASER-EXCITED SOLID-STATE WHITE LIGHTING"/>
    <x v="1212"/>
    <s v="01/24/2019"/>
    <x v="0"/>
    <s v=""/>
    <x v="1"/>
    <x v="1"/>
    <x v="342"/>
    <x v="341"/>
    <x v="0"/>
  </r>
  <r>
    <x v="1974"/>
    <x v="370"/>
    <x v="196"/>
    <s v="MONOLITHIC TRANSLUCENT BAMGA11017:EU2+ PHOSPHORS FOR LASER-DRIVEN SOLID STATE LIGHTING"/>
    <x v="1213"/>
    <s v="09/07/2017"/>
    <x v="0"/>
    <s v=""/>
    <x v="355"/>
    <x v="327"/>
    <x v="342"/>
    <x v="341"/>
    <x v="0"/>
  </r>
  <r>
    <x v="1975"/>
    <x v="370"/>
    <x v="196"/>
    <s v="MONOLITHIC TRANSLUCENT BAMGA11017:EU2+ PHOSPHORS FOR LASER-DRIVEN SOLID STATE LIGHTING"/>
    <x v="1214"/>
    <s v="09/07/2016"/>
    <x v="0"/>
    <s v=""/>
    <x v="1"/>
    <x v="1"/>
    <x v="342"/>
    <x v="341"/>
    <x v="0"/>
  </r>
  <r>
    <x v="1976"/>
    <x v="370"/>
    <x v="196"/>
    <s v="LASER DIODE WITH TUNNEL JUNCTION CONTRACT SURFACE GRATING"/>
    <x v="1"/>
    <s v=""/>
    <x v="0"/>
    <s v=""/>
    <x v="1"/>
    <x v="1"/>
    <x v="342"/>
    <x v="341"/>
    <x v="0"/>
  </r>
  <r>
    <x v="1977"/>
    <x v="370"/>
    <x v="196"/>
    <s v="WAVELENGTH SELECTIVE PHOSPHOR COATING FOR LASER LIGHTING DEVICES"/>
    <x v="1"/>
    <s v=""/>
    <x v="0"/>
    <s v=""/>
    <x v="1"/>
    <x v="1"/>
    <x v="342"/>
    <x v="341"/>
    <x v="0"/>
  </r>
  <r>
    <x v="1978"/>
    <x v="370"/>
    <x v="196"/>
    <s v="DISTRIBUTED FEEDBACK LASER WITH TRANSPARENT CONDUCTING OXIDE GRATING"/>
    <x v="1"/>
    <s v=""/>
    <x v="0"/>
    <s v=""/>
    <x v="1"/>
    <x v="1"/>
    <x v="342"/>
    <x v="341"/>
    <x v="0"/>
  </r>
  <r>
    <x v="1979"/>
    <x v="370"/>
    <x v="196"/>
    <s v="WAFER BONDING FOR EMBEDDING ACTIVE REGIONS WITH RELAXED NANOFEATURES"/>
    <x v="1"/>
    <s v=""/>
    <x v="0"/>
    <s v=""/>
    <x v="1"/>
    <x v="1"/>
    <x v="342"/>
    <x v="341"/>
    <x v="0"/>
  </r>
  <r>
    <x v="1972"/>
    <x v="370"/>
    <x v="196"/>
    <s v="CE:YAG/AL203 COMPOSITIES FOR LASER-EXCITED SOLID-STATE WHITE LIGHTING"/>
    <x v="1"/>
    <s v=""/>
    <x v="0"/>
    <s v=""/>
    <x v="1"/>
    <x v="1"/>
    <x v="342"/>
    <x v="341"/>
    <x v="0"/>
  </r>
  <r>
    <x v="1980"/>
    <x v="370"/>
    <x v="196"/>
    <s v="LASER SYSTEM FOR HORTICULTURAL LIGHTING"/>
    <x v="1"/>
    <s v=""/>
    <x v="0"/>
    <s v=""/>
    <x v="1"/>
    <x v="1"/>
    <x v="342"/>
    <x v="341"/>
    <x v="0"/>
  </r>
  <r>
    <x v="1981"/>
    <x v="371"/>
    <x v="196"/>
    <s v="QUANTUM DOT LASERS AND METHODS FOR MAKING THE SAME"/>
    <x v="1215"/>
    <s v="05/24/2019"/>
    <x v="0"/>
    <s v=""/>
    <x v="1"/>
    <x v="1"/>
    <x v="343"/>
    <x v="342"/>
    <x v="0"/>
  </r>
  <r>
    <x v="1982"/>
    <x v="371"/>
    <x v="196"/>
    <s v="MONOLITHIC INTEGRATED QUANTUM DOT PHOTONIC INTEGRATED CIRCUITS"/>
    <x v="1216"/>
    <s v="05/24/2019"/>
    <x v="0"/>
    <s v=""/>
    <x v="1"/>
    <x v="1"/>
    <x v="343"/>
    <x v="342"/>
    <x v="0"/>
  </r>
  <r>
    <x v="1983"/>
    <x v="371"/>
    <x v="196"/>
    <s v="MONOLITHIC INTEGRATED QUANTUM DOT PHOTONIC INTEGRATED CIRCUITS"/>
    <x v="1217"/>
    <s v="05/24/2018"/>
    <x v="0"/>
    <s v=""/>
    <x v="1"/>
    <x v="1"/>
    <x v="343"/>
    <x v="342"/>
    <x v="0"/>
  </r>
  <r>
    <x v="1984"/>
    <x v="371"/>
    <x v="196"/>
    <s v="QUANTUM DOT LASERS AND METHODS FOR MAKING THE SAME"/>
    <x v="1218"/>
    <s v="05/24/2018"/>
    <x v="0"/>
    <s v=""/>
    <x v="1"/>
    <x v="1"/>
    <x v="343"/>
    <x v="342"/>
    <x v="0"/>
  </r>
  <r>
    <x v="1985"/>
    <x v="372"/>
    <x v="86"/>
    <s v="SYSTEM AND METHODS FOR CHARGE BALANCED SUPER-JUNCTION SEMICONDUCTOR POWER DEVICES WITH FAST SWITCHING CAPABILITY"/>
    <x v="1219"/>
    <s v="09/21/2017"/>
    <x v="0"/>
    <s v=""/>
    <x v="1"/>
    <x v="1"/>
    <x v="344"/>
    <x v="343"/>
    <x v="0"/>
  </r>
  <r>
    <x v="1986"/>
    <x v="372"/>
    <x v="86"/>
    <s v="SYSTEMS AND METHOD FOR CHARGE BALANCED SEMICONDUCTOR POWER DEVICES WITH FAST SWITCHING CAPABILITY"/>
    <x v="1220"/>
    <s v="04/13/2018"/>
    <x v="0"/>
    <s v=""/>
    <x v="1"/>
    <x v="1"/>
    <x v="344"/>
    <x v="343"/>
    <x v="0"/>
  </r>
  <r>
    <x v="1987"/>
    <x v="372"/>
    <x v="86"/>
    <s v="METHOD OF MASKING HIGH ENERGY IMPLANATION INTO SIC LAYER"/>
    <x v="1"/>
    <s v=""/>
    <x v="0"/>
    <s v=""/>
    <x v="1"/>
    <x v="1"/>
    <x v="344"/>
    <x v="343"/>
    <x v="0"/>
  </r>
  <r>
    <x v="1988"/>
    <x v="373"/>
    <x v="68"/>
    <s v="IMPLEMENTATION OF NON-STOICHIOMETRIC A103 TO METAL-INSULATOR-METAL INFRARED RECTENNAS"/>
    <x v="1221"/>
    <s v="05/13/2019"/>
    <x v="0"/>
    <s v=""/>
    <x v="1"/>
    <x v="1"/>
    <x v="345"/>
    <x v="344"/>
    <x v="0"/>
  </r>
  <r>
    <x v="1989"/>
    <x v="373"/>
    <x v="44"/>
    <s v="METHANE SENSOR FOR GAS WELL PUMP HEADS"/>
    <x v="1"/>
    <s v=""/>
    <x v="0"/>
    <s v=""/>
    <x v="1"/>
    <x v="1"/>
    <x v="345"/>
    <x v="344"/>
    <x v="0"/>
  </r>
  <r>
    <x v="1990"/>
    <x v="373"/>
    <x v="44"/>
    <s v="TRANSITION METAL OXIDE NANOWIRE TERAERTZ (THZ) RECTIFIERS"/>
    <x v="1"/>
    <s v=""/>
    <x v="0"/>
    <s v=""/>
    <x v="1"/>
    <x v="1"/>
    <x v="345"/>
    <x v="344"/>
    <x v="0"/>
  </r>
  <r>
    <x v="1991"/>
    <x v="374"/>
    <x v="270"/>
    <s v="DC TO DC ELECTRICAL TRANSFORMER"/>
    <x v="1222"/>
    <s v="05/22/2017"/>
    <x v="0"/>
    <s v=""/>
    <x v="1"/>
    <x v="1"/>
    <x v="346"/>
    <x v="345"/>
    <x v="0"/>
  </r>
  <r>
    <x v="1992"/>
    <x v="374"/>
    <x v="270"/>
    <s v="THREE-PHASE AC TO DC ELECTRICAL TRANSFORMER"/>
    <x v="1223"/>
    <s v="05/23/2017"/>
    <x v="0"/>
    <s v=""/>
    <x v="1"/>
    <x v="1"/>
    <x v="346"/>
    <x v="345"/>
    <x v="0"/>
  </r>
  <r>
    <x v="1993"/>
    <x v="374"/>
    <x v="270"/>
    <s v="A VISION OF AN ELECTROCHEMICAL  CELL TO PRODUCE CLEAN TITANIUM "/>
    <x v="1224"/>
    <s v="10/31/2016"/>
    <x v="0"/>
    <s v=""/>
    <x v="1"/>
    <x v="1"/>
    <x v="346"/>
    <x v="345"/>
    <x v="0"/>
  </r>
  <r>
    <x v="1994"/>
    <x v="374"/>
    <x v="270"/>
    <s v="DC-DC ELECTRICAL TRANSFORMER"/>
    <x v="1225"/>
    <s v="10/27/2016"/>
    <x v="0"/>
    <s v=""/>
    <x v="1"/>
    <x v="1"/>
    <x v="346"/>
    <x v="345"/>
    <x v="0"/>
  </r>
  <r>
    <x v="1995"/>
    <x v="374"/>
    <x v="270"/>
    <s v="DC-AC ELECTRICAL TRANSFORMER"/>
    <x v="1226"/>
    <s v="10/28/2016"/>
    <x v="0"/>
    <s v=""/>
    <x v="1"/>
    <x v="1"/>
    <x v="346"/>
    <x v="345"/>
    <x v="0"/>
  </r>
  <r>
    <x v="1996"/>
    <x v="375"/>
    <x v="152"/>
    <s v="MICROSCALE CORONA REACTOR"/>
    <x v="1227"/>
    <s v="04/10/2017"/>
    <x v="0"/>
    <s v=""/>
    <x v="1"/>
    <x v="1"/>
    <x v="347"/>
    <x v="346"/>
    <x v="0"/>
  </r>
  <r>
    <x v="1997"/>
    <x v="376"/>
    <x v="145"/>
    <s v="RECIPROCATING ENGINE AS CHEMICAL REACTOR OR SEPARATOR"/>
    <x v="1"/>
    <s v=""/>
    <x v="0"/>
    <s v=""/>
    <x v="1"/>
    <x v="1"/>
    <x v="348"/>
    <x v="347"/>
    <x v="0"/>
  </r>
  <r>
    <x v="1998"/>
    <x v="377"/>
    <x v="24"/>
    <s v="CONTROL OF POLYMER ARCHITECTURES BY LIVING RING-OPENING METATHESIS COPOLYMERIZATION "/>
    <x v="1228"/>
    <s v="03/07/2018"/>
    <x v="0"/>
    <s v=""/>
    <x v="1"/>
    <x v="1"/>
    <x v="349"/>
    <x v="348"/>
    <x v="0"/>
  </r>
  <r>
    <x v="1999"/>
    <x v="377"/>
    <x v="68"/>
    <s v="ORGANIC PHOTOCATALYSTS FOR THE SYNTHESIS OF MOLECULES AND MATERIALS"/>
    <x v="1229"/>
    <s v="10/21/2016"/>
    <x v="0"/>
    <s v=""/>
    <x v="132"/>
    <x v="116"/>
    <x v="349"/>
    <x v="348"/>
    <x v="0"/>
  </r>
  <r>
    <x v="2000"/>
    <x v="377"/>
    <x v="68"/>
    <s v="COMPOSITIONS AND METHODS OF PROMOTING ORGANIC PHOTOCATALYSIS"/>
    <x v="1230"/>
    <s v="04/23/2018"/>
    <x v="0"/>
    <s v=""/>
    <x v="1"/>
    <x v="1"/>
    <x v="349"/>
    <x v="348"/>
    <x v="0"/>
  </r>
  <r>
    <x v="2001"/>
    <x v="377"/>
    <x v="68"/>
    <s v="COMPOSITIONS AND METHODS OF PROMOTING ORGANIC PHOTOCATALYSIS"/>
    <x v="1229"/>
    <s v="10/21/2016"/>
    <x v="0"/>
    <s v=""/>
    <x v="132"/>
    <x v="116"/>
    <x v="349"/>
    <x v="348"/>
    <x v="0"/>
  </r>
  <r>
    <x v="2002"/>
    <x v="377"/>
    <x v="68"/>
    <s v="PHOTOCATALYST-FREE LIGHT-INDUCED CROSS-COUPLING REACTIONS"/>
    <x v="1231"/>
    <s v="06/27/2018"/>
    <x v="0"/>
    <s v=""/>
    <x v="1"/>
    <x v="1"/>
    <x v="349"/>
    <x v="348"/>
    <x v="0"/>
  </r>
  <r>
    <x v="1999"/>
    <x v="377"/>
    <x v="68"/>
    <s v="COMPOSITIONS AND METHODS OF PROMOTING ORGANIC PHOTOCATALYSIS"/>
    <x v="1229"/>
    <s v="10/21/2016"/>
    <x v="0"/>
    <s v=""/>
    <x v="132"/>
    <x v="116"/>
    <x v="349"/>
    <x v="348"/>
    <x v="0"/>
  </r>
  <r>
    <x v="2003"/>
    <x v="377"/>
    <x v="68"/>
    <s v="STRUCTURE-PROPERTY RELATIONSHIPS FOR TAILORING PHENOXAZINES AS REDUCING PHOTOREDOX CATALYSTS"/>
    <x v="1"/>
    <s v=""/>
    <x v="0"/>
    <s v=""/>
    <x v="1"/>
    <x v="1"/>
    <x v="349"/>
    <x v="348"/>
    <x v="0"/>
  </r>
  <r>
    <x v="2004"/>
    <x v="378"/>
    <x v="197"/>
    <s v="WATER ELECTROLYZERS EMPLOYING ANION EXCHANGE MEMBRANES"/>
    <x v="1232"/>
    <s v="03/15/2018"/>
    <x v="0"/>
    <s v=""/>
    <x v="1"/>
    <x v="1"/>
    <x v="198"/>
    <x v="200"/>
    <x v="0"/>
  </r>
  <r>
    <x v="2005"/>
    <x v="378"/>
    <x v="197"/>
    <s v="CATALYST LAYERS AND ELECTROLYZERS"/>
    <x v="1233"/>
    <s v="02/28/2018"/>
    <x v="0"/>
    <s v=""/>
    <x v="1"/>
    <x v="1"/>
    <x v="198"/>
    <x v="200"/>
    <x v="0"/>
  </r>
  <r>
    <x v="2006"/>
    <x v="378"/>
    <x v="197"/>
    <s v="WATER ELECTROLYZERS EMPLOYING  EXCHANGE MEMBRANES"/>
    <x v="1234"/>
    <s v="04/27/2018"/>
    <x v="0"/>
    <s v=""/>
    <x v="1"/>
    <x v="1"/>
    <x v="198"/>
    <x v="200"/>
    <x v="0"/>
  </r>
  <r>
    <x v="2007"/>
    <x v="378"/>
    <x v="197"/>
    <s v="WATER ELECTROLYZERS"/>
    <x v="1"/>
    <s v=""/>
    <x v="0"/>
    <s v=""/>
    <x v="1"/>
    <x v="1"/>
    <x v="198"/>
    <x v="200"/>
    <x v="0"/>
  </r>
  <r>
    <x v="2008"/>
    <x v="378"/>
    <x v="197"/>
    <s v="ELECTROCATALYTIC PROCESS FOR CO2 CONVERSION"/>
    <x v="1235"/>
    <s v="01/06/2017"/>
    <x v="313"/>
    <s v="11/14/2017"/>
    <x v="1"/>
    <x v="1"/>
    <x v="198"/>
    <x v="200"/>
    <x v="0"/>
  </r>
  <r>
    <x v="2009"/>
    <x v="378"/>
    <x v="197"/>
    <s v="METHOD AND SYSTEM FROM CARBON DIOXIDE"/>
    <x v="1"/>
    <s v=""/>
    <x v="0"/>
    <s v=""/>
    <x v="1"/>
    <x v="1"/>
    <x v="198"/>
    <x v="200"/>
    <x v="0"/>
  </r>
  <r>
    <x v="2010"/>
    <x v="378"/>
    <x v="197"/>
    <s v="DEVICES FOR ELECTROCATALYTIC CONVERSION OF CARBON DIOXIDE"/>
    <x v="1"/>
    <s v=""/>
    <x v="0"/>
    <s v=""/>
    <x v="1"/>
    <x v="1"/>
    <x v="198"/>
    <x v="200"/>
    <x v="0"/>
  </r>
  <r>
    <x v="2011"/>
    <x v="379"/>
    <x v="271"/>
    <s v="PREMOVAL OF GASEOUS NH3 FROM AN NH3 REACTOR PRODUCT STREAM"/>
    <x v="1236"/>
    <s v="05/25/2018"/>
    <x v="0"/>
    <s v=""/>
    <x v="113"/>
    <x v="97"/>
    <x v="350"/>
    <x v="349"/>
    <x v="0"/>
  </r>
  <r>
    <x v="2012"/>
    <x v="379"/>
    <x v="271"/>
    <s v="CATALYST, NH3 REMOVAL METHODS, AND INTEGRATED HEAT EXHANGER FOR A NH3 SYNTHESIS APPARATUS"/>
    <x v="1237"/>
    <s v="11/21/2018"/>
    <x v="0"/>
    <s v=""/>
    <x v="114"/>
    <x v="98"/>
    <x v="350"/>
    <x v="349"/>
    <x v="0"/>
  </r>
  <r>
    <x v="2013"/>
    <x v="379"/>
    <x v="271"/>
    <s v="METAL-DECORATED BARIUM CALCIUM ALUINUM OXIDE CATALYST FOR CRACKING NH3"/>
    <x v="1238"/>
    <s v="01/31/2019"/>
    <x v="0"/>
    <s v=""/>
    <x v="1"/>
    <x v="1"/>
    <x v="350"/>
    <x v="349"/>
    <x v="0"/>
  </r>
  <r>
    <x v="2014"/>
    <x v="379"/>
    <x v="271"/>
    <s v="PREMOVAL OF GASEOUS NH3 FROM AN NH3 REACTOR PRODUCT STREAM"/>
    <x v="1239"/>
    <s v="05/26/2017"/>
    <x v="0"/>
    <s v=""/>
    <x v="1"/>
    <x v="1"/>
    <x v="350"/>
    <x v="349"/>
    <x v="0"/>
  </r>
  <r>
    <x v="2015"/>
    <x v="379"/>
    <x v="271"/>
    <s v="CATALYST, NH3 REMOVAL METHODS, AND INTEGRATED HEAT EXHANGER FOR A NH3 SYNTHESIS APPARATUS"/>
    <x v="1240"/>
    <s v="11/25/2017"/>
    <x v="0"/>
    <s v=""/>
    <x v="1"/>
    <x v="1"/>
    <x v="350"/>
    <x v="349"/>
    <x v="0"/>
  </r>
  <r>
    <x v="2016"/>
    <x v="379"/>
    <x v="271"/>
    <s v="METAL MONOLITH SUPPORTED CATALYSTS FOR NH3 SYNTHESIS AND CRACKING "/>
    <x v="1241"/>
    <s v="02/05/2019"/>
    <x v="0"/>
    <s v=""/>
    <x v="1"/>
    <x v="1"/>
    <x v="350"/>
    <x v="349"/>
    <x v="0"/>
  </r>
  <r>
    <x v="2017"/>
    <x v="379"/>
    <x v="272"/>
    <s v="ELECTRICALLY ENHANCED HABER-BOSCH (EEHB) ANHYDROUS AMMONIA SYNTHESIS"/>
    <x v="1242"/>
    <s v="03/01/2017"/>
    <x v="0"/>
    <s v=""/>
    <x v="115"/>
    <x v="99"/>
    <x v="350"/>
    <x v="349"/>
    <x v="0"/>
  </r>
  <r>
    <x v="2018"/>
    <x v="379"/>
    <x v="272"/>
    <s v="ELECTRICALLY ENHANCED HABER-BOSCH (EEHB) ANHYDROUS AMMONIA SYNTHESIS"/>
    <x v="1243"/>
    <s v="11/14/2016"/>
    <x v="0"/>
    <s v=""/>
    <x v="1"/>
    <x v="1"/>
    <x v="350"/>
    <x v="349"/>
    <x v="0"/>
  </r>
  <r>
    <x v="2019"/>
    <x v="379"/>
    <x v="272"/>
    <s v="ELECTRICALLY ENHANCED HABER-BOSCH (EEHB) ANHYDROUS AMMONIA SYNTHESIS"/>
    <x v="1244"/>
    <s v="03/01/2016"/>
    <x v="0"/>
    <s v=""/>
    <x v="1"/>
    <x v="1"/>
    <x v="350"/>
    <x v="349"/>
    <x v="0"/>
  </r>
  <r>
    <x v="2020"/>
    <x v="379"/>
    <x v="271"/>
    <s v="BARIUM CALCIUM ALUMINUM OXIDE CATALYST SUPPORT FOR NH3 SYNTHESIS"/>
    <x v="1"/>
    <s v=""/>
    <x v="0"/>
    <s v=""/>
    <x v="1"/>
    <x v="1"/>
    <x v="350"/>
    <x v="349"/>
    <x v="0"/>
  </r>
  <r>
    <x v="2021"/>
    <x v="380"/>
    <x v="211"/>
    <s v="METHOD AND APPARATUS FOR EFFICIENT METAL DISTILLATION AND RELATED PRIMARY PRODUCTION PROCESS"/>
    <x v="1245"/>
    <s v="07/30/2019"/>
    <x v="0"/>
    <s v=""/>
    <x v="1"/>
    <x v="1"/>
    <x v="227"/>
    <x v="226"/>
    <x v="0"/>
  </r>
  <r>
    <x v="2022"/>
    <x v="381"/>
    <x v="273"/>
    <s v="LIQUID BINDER FOR CALCIUM OXIDE BASED REFRACTORIES"/>
    <x v="1"/>
    <s v=""/>
    <x v="0"/>
    <s v=""/>
    <x v="1"/>
    <x v="1"/>
    <x v="351"/>
    <x v="350"/>
    <x v="0"/>
  </r>
  <r>
    <x v="2023"/>
    <x v="382"/>
    <x v="274"/>
    <s v="A DECENTRALIZED APPROACH FOR AVOIDING LOAD SPIKES AND SYNCHRONIZATION CAUSED BY CURTAILED DISTRIBUTED"/>
    <x v="1"/>
    <s v=""/>
    <x v="0"/>
    <s v=""/>
    <x v="1"/>
    <x v="1"/>
    <x v="352"/>
    <x v="351"/>
    <x v="0"/>
  </r>
  <r>
    <x v="2024"/>
    <x v="383"/>
    <x v="9"/>
    <s v="THE INDUCED MARKOV CHAIN FORECASTING MODEL AND AUTOMATIC PARAMETER SELECTION PROCEDURE"/>
    <x v="1246"/>
    <s v="08/29/2019"/>
    <x v="0"/>
    <s v=""/>
    <x v="286"/>
    <x v="263"/>
    <x v="353"/>
    <x v="352"/>
    <x v="0"/>
  </r>
  <r>
    <x v="2025"/>
    <x v="383"/>
    <x v="9"/>
    <s v="THE INDUCED MARKOV CHAIN FORECASTING MODEL AND AUTOMATIC PARAMETER SELECTION PROCEDURE"/>
    <x v="1247"/>
    <s v="09/20/2017"/>
    <x v="0"/>
    <s v=""/>
    <x v="287"/>
    <x v="264"/>
    <x v="353"/>
    <x v="352"/>
    <x v="0"/>
  </r>
  <r>
    <x v="2026"/>
    <x v="384"/>
    <x v="179"/>
    <s v="SMART DIM FUSE; ELECTRICAL LOAD FLEXIBILITY CONTROLLER USING SUB-CIRCUIT VOLTAGE MODULATION AND LOAD SENSING"/>
    <x v="1"/>
    <s v=""/>
    <x v="0"/>
    <s v=""/>
    <x v="1"/>
    <x v="1"/>
    <x v="354"/>
    <x v="353"/>
    <x v="0"/>
  </r>
  <r>
    <x v="2027"/>
    <x v="385"/>
    <x v="86"/>
    <s v="A METHOD AND SYSTEM FOR POWER SYSTM LOAD FLEXIBILITY FORECASTING"/>
    <x v="1248"/>
    <s v="04/03/2017"/>
    <x v="0"/>
    <s v=""/>
    <x v="1"/>
    <x v="1"/>
    <x v="355"/>
    <x v="354"/>
    <x v="0"/>
  </r>
  <r>
    <x v="2028"/>
    <x v="385"/>
    <x v="86"/>
    <s v="SCALABLE FLEXIBILITY CONTROL OF DISTRIBUTED LOADS IN A POWER GRID"/>
    <x v="1249"/>
    <s v="03/17/2017"/>
    <x v="0"/>
    <s v=""/>
    <x v="1"/>
    <x v="1"/>
    <x v="355"/>
    <x v="354"/>
    <x v="0"/>
  </r>
  <r>
    <x v="2029"/>
    <x v="385"/>
    <x v="86"/>
    <s v="SYSTEMS AND METHODS FOR RAPIDLY RESPONDING TO COMMANDED POWER PROFILES"/>
    <x v="1250"/>
    <s v="09/13/2018"/>
    <x v="0"/>
    <s v=""/>
    <x v="1"/>
    <x v="1"/>
    <x v="355"/>
    <x v="354"/>
    <x v="0"/>
  </r>
  <r>
    <x v="2030"/>
    <x v="385"/>
    <x v="86"/>
    <s v="FAST RESPONSE INITIATION FOR COMMAND TRACKING IN DISTRIBUTED ENERGY RESOURCES CONTROL"/>
    <x v="1"/>
    <s v=""/>
    <x v="0"/>
    <s v=""/>
    <x v="1"/>
    <x v="1"/>
    <x v="355"/>
    <x v="354"/>
    <x v="0"/>
  </r>
  <r>
    <x v="2031"/>
    <x v="385"/>
    <x v="86"/>
    <s v="A METHOD AND SYSTEM FOR PARAMETRIC SYSTEM IDENTIFICATION OF DYNAMIC SYSTEMS USING DEEP LEARNING"/>
    <x v="1"/>
    <s v=""/>
    <x v="0"/>
    <s v=""/>
    <x v="1"/>
    <x v="1"/>
    <x v="355"/>
    <x v="354"/>
    <x v="0"/>
  </r>
  <r>
    <x v="2032"/>
    <x v="385"/>
    <x v="86"/>
    <s v="A METHOD FOR DAY-AHEAD SCHEDULING OF FLEXIBLE LOADS &amp; DERS"/>
    <x v="1"/>
    <s v=""/>
    <x v="0"/>
    <s v=""/>
    <x v="1"/>
    <x v="1"/>
    <x v="355"/>
    <x v="354"/>
    <x v="0"/>
  </r>
  <r>
    <x v="2033"/>
    <x v="386"/>
    <x v="102"/>
    <s v="CONTROL SYSTEM FOR ADVANCED DEMAND RESPONSE"/>
    <x v="1"/>
    <s v=""/>
    <x v="0"/>
    <s v=""/>
    <x v="1"/>
    <x v="1"/>
    <x v="62"/>
    <x v="62"/>
    <x v="0"/>
  </r>
  <r>
    <x v="2034"/>
    <x v="387"/>
    <x v="275"/>
    <s v="COORDINATED NET-LOAD MANAGEMENT SYSTEM"/>
    <x v="1251"/>
    <s v="03/11/2019"/>
    <x v="0"/>
    <s v=""/>
    <x v="1"/>
    <x v="1"/>
    <x v="356"/>
    <x v="355"/>
    <x v="0"/>
  </r>
  <r>
    <x v="2035"/>
    <x v="388"/>
    <x v="151"/>
    <s v="SYNTHETIC CLOUD-BASED REGULATION RESERVE CONTROL USING RESIDENTIAL AIR CONDITIONING LOADS"/>
    <x v="1"/>
    <s v=""/>
    <x v="0"/>
    <s v=""/>
    <x v="1"/>
    <x v="1"/>
    <x v="357"/>
    <x v="356"/>
    <x v="0"/>
  </r>
  <r>
    <x v="2036"/>
    <x v="388"/>
    <x v="151"/>
    <s v="SYNTHETIC CLOUD-BASED REGULATION RESERVE CONTROL FOR WATER HEATER LOADS"/>
    <x v="1"/>
    <s v=""/>
    <x v="0"/>
    <s v=""/>
    <x v="1"/>
    <x v="1"/>
    <x v="357"/>
    <x v="356"/>
    <x v="0"/>
  </r>
  <r>
    <x v="2037"/>
    <x v="389"/>
    <x v="276"/>
    <s v="CERAMIC ARTICLE FORMING IN SITU REGENERALBE STEAM-RESISTANT COATING"/>
    <x v="1"/>
    <s v=""/>
    <x v="0"/>
    <s v=""/>
    <x v="1"/>
    <x v="1"/>
    <x v="358"/>
    <x v="357"/>
    <x v="0"/>
  </r>
  <r>
    <x v="2038"/>
    <x v="389"/>
    <x v="276"/>
    <s v="LIQUID PHASE SINTERED SiC WITH INTEGRATED SURFACE OXIDES FOR OXIDATION RESISTANCE"/>
    <x v="1"/>
    <s v=""/>
    <x v="0"/>
    <s v=""/>
    <x v="1"/>
    <x v="1"/>
    <x v="358"/>
    <x v="357"/>
    <x v="0"/>
  </r>
  <r>
    <x v="2039"/>
    <x v="390"/>
    <x v="259"/>
    <s v="MEASUREMENT OF SURFACE AREAS FOR POROUS AND PARTICULATE MATERIALS"/>
    <x v="1252"/>
    <s v="11/14/2018"/>
    <x v="0"/>
    <s v=""/>
    <x v="1"/>
    <x v="1"/>
    <x v="359"/>
    <x v="358"/>
    <x v="0"/>
  </r>
  <r>
    <x v="2040"/>
    <x v="390"/>
    <x v="259"/>
    <s v="NANOCERIA SUPPORTED ATOMIC PLATINUM CATALYSTS FOR DIRECT METHANE CONVERSION"/>
    <x v="1253"/>
    <s v="02/19/2019"/>
    <x v="0"/>
    <s v=""/>
    <x v="378"/>
    <x v="349"/>
    <x v="359"/>
    <x v="358"/>
    <x v="0"/>
  </r>
  <r>
    <x v="2041"/>
    <x v="390"/>
    <x v="259"/>
    <s v="NANOCERIA SUPPORTED ATOMIC PLATINUM CATALYSTS FOR DIRECT METHANE CONVERSION"/>
    <x v="1254"/>
    <s v="02/20/2018"/>
    <x v="0"/>
    <s v=""/>
    <x v="1"/>
    <x v="1"/>
    <x v="359"/>
    <x v="358"/>
    <x v="0"/>
  </r>
  <r>
    <x v="2042"/>
    <x v="390"/>
    <x v="259"/>
    <s v="PREPARATION AND PRETREATMENT TECHNIQUES OF Cu/Ce02 CATALYSTS FOR LOW TERMPERATURE DIRECT DECOMPOSITION OF NOX EXHAUS GAS"/>
    <x v="1"/>
    <s v=""/>
    <x v="0"/>
    <s v=""/>
    <x v="1"/>
    <x v="1"/>
    <x v="359"/>
    <x v="358"/>
    <x v="0"/>
  </r>
  <r>
    <x v="2043"/>
    <x v="391"/>
    <x v="247"/>
    <s v="METHOD AND DEVICE FOR NON-INVASIVE ROOT PHENOTYPING"/>
    <x v="1255"/>
    <s v="11/02/2016"/>
    <x v="0"/>
    <s v=""/>
    <x v="1"/>
    <x v="1"/>
    <x v="360"/>
    <x v="359"/>
    <x v="0"/>
  </r>
  <r>
    <x v="2044"/>
    <x v="392"/>
    <x v="229"/>
    <s v="PHOTOVOLTAIC RETROFIT DEVICE FOR ENHANCING POWER OUTPUT OF CONCENTRATING SOLAR THERMAL POWER PLANTS"/>
    <x v="1"/>
    <s v=""/>
    <x v="0"/>
    <s v=""/>
    <x v="1"/>
    <x v="1"/>
    <x v="361"/>
    <x v="256"/>
    <x v="0"/>
  </r>
  <r>
    <x v="2045"/>
    <x v="393"/>
    <x v="161"/>
    <s v="METHOD TO PRODUCE COLORLES HIGH POROSITY TRANSPARENT POLYMER AEROGELS"/>
    <x v="1256"/>
    <s v="07/26/2018"/>
    <x v="0"/>
    <s v=""/>
    <x v="1"/>
    <x v="1"/>
    <x v="362"/>
    <x v="360"/>
    <x v="0"/>
  </r>
  <r>
    <x v="2046"/>
    <x v="393"/>
    <x v="161"/>
    <s v="METHOD TO PRODUCE TRANSPARENT POLYMER AEROGELS USING CHAIN TRANSFER AGENTS"/>
    <x v="1"/>
    <s v=""/>
    <x v="0"/>
    <s v=""/>
    <x v="1"/>
    <x v="1"/>
    <x v="362"/>
    <x v="360"/>
    <x v="0"/>
  </r>
  <r>
    <x v="2047"/>
    <x v="393"/>
    <x v="161"/>
    <s v="TRANSPARENT, COLORLESS POROUS POLYMERS DERIVED FROM  BIPHASIC POLYMER NETWORKS WITH ETCHABLE DOMAINS"/>
    <x v="1"/>
    <s v=""/>
    <x v="0"/>
    <s v=""/>
    <x v="1"/>
    <x v="1"/>
    <x v="362"/>
    <x v="360"/>
    <x v="0"/>
  </r>
  <r>
    <x v="2048"/>
    <x v="393"/>
    <x v="161"/>
    <s v=" POLYMER AEROGELS WITH DECOUPLED PORE SIZE AND PROSITY "/>
    <x v="1"/>
    <s v=""/>
    <x v="0"/>
    <s v=""/>
    <x v="1"/>
    <x v="1"/>
    <x v="362"/>
    <x v="360"/>
    <x v="0"/>
  </r>
  <r>
    <x v="2049"/>
    <x v="393"/>
    <x v="161"/>
    <s v="HIGH OPTICAL TRANSPARENCY POLYMER AEROGELS USING LOW REFRACTIVE INDEX MONOMERS"/>
    <x v="1"/>
    <s v=""/>
    <x v="0"/>
    <s v=""/>
    <x v="1"/>
    <x v="1"/>
    <x v="362"/>
    <x v="360"/>
    <x v="0"/>
  </r>
  <r>
    <x v="2050"/>
    <x v="393"/>
    <x v="161"/>
    <s v="HIGH POROSITY POLYMER AEROGELS  WITH POROSITY TEMPLATED BY FREE POLYMER CHAINS "/>
    <x v="1"/>
    <s v=""/>
    <x v="0"/>
    <s v=""/>
    <x v="1"/>
    <x v="1"/>
    <x v="362"/>
    <x v="360"/>
    <x v="0"/>
  </r>
  <r>
    <x v="2051"/>
    <x v="394"/>
    <x v="121"/>
    <s v="POLYMER/WOOD FLOUR COMPOSITE AEROGELS SYNTHESIZED BY AMBIENT AND FREEZE-DRYING"/>
    <x v="1257"/>
    <s v="06/01/2018"/>
    <x v="0"/>
    <s v=""/>
    <x v="1"/>
    <x v="1"/>
    <x v="363"/>
    <x v="361"/>
    <x v="0"/>
  </r>
  <r>
    <x v="2052"/>
    <x v="394"/>
    <x v="121"/>
    <s v="FABRICATION OF AEROGELS AND AEROGEL COMPOSITES BY AMBIENT PRESSURE SUBLIMATION OF FROZEN SOLVENTS"/>
    <x v="1258"/>
    <s v="06/28/2019"/>
    <x v="0"/>
    <s v=""/>
    <x v="1"/>
    <x v="1"/>
    <x v="363"/>
    <x v="361"/>
    <x v="0"/>
  </r>
  <r>
    <x v="2053"/>
    <x v="394"/>
    <x v="121"/>
    <s v="POLYMER/WOOD FLOUR COMPOSITE AEROGELS SYNTHESIZED BY AMBIENT AND FREEZE-DRYING"/>
    <x v="1259"/>
    <s v="05/31/2019"/>
    <x v="0"/>
    <s v=""/>
    <x v="1"/>
    <x v="1"/>
    <x v="363"/>
    <x v="361"/>
    <x v="0"/>
  </r>
  <r>
    <x v="2054"/>
    <x v="395"/>
    <x v="244"/>
    <s v="STABILIZED SOLID-GAP MULTILAYERS"/>
    <x v="1"/>
    <s v=""/>
    <x v="0"/>
    <s v=""/>
    <x v="1"/>
    <x v="1"/>
    <x v="219"/>
    <x v="220"/>
    <x v="0"/>
  </r>
  <r>
    <x v="2054"/>
    <x v="395"/>
    <x v="244"/>
    <s v="STABILIZED SOLID-GAP MULTILAYERS"/>
    <x v="1"/>
    <s v=""/>
    <x v="0"/>
    <s v=""/>
    <x v="1"/>
    <x v="1"/>
    <x v="219"/>
    <x v="220"/>
    <x v="0"/>
  </r>
  <r>
    <x v="2055"/>
    <x v="396"/>
    <x v="96"/>
    <s v="LOW DENSITY, OPTICALLY TRANSPARENT, THERMALLY INSULATING NANOPOROUS AMBIGELS"/>
    <x v="1260"/>
    <s v="07/11/2018"/>
    <x v="0"/>
    <s v=""/>
    <x v="1"/>
    <x v="1"/>
    <x v="364"/>
    <x v="362"/>
    <x v="0"/>
  </r>
  <r>
    <x v="2056"/>
    <x v="396"/>
    <x v="96"/>
    <s v="OPTICALLY-CLEAR THERMALY-INSULATING PROPOUS NANOPARTICLE AGGREGATE SLABS"/>
    <x v="1261"/>
    <s v="06/25/2018"/>
    <x v="0"/>
    <s v=""/>
    <x v="1"/>
    <x v="1"/>
    <x v="364"/>
    <x v="362"/>
    <x v="0"/>
  </r>
  <r>
    <x v="2057"/>
    <x v="396"/>
    <x v="96"/>
    <s v="MEMS-ACTUATED PROGRAMMABLE VERTICAL COUPLER ARRAY FOR AGILE BEAMESTEERING"/>
    <x v="1"/>
    <s v=""/>
    <x v="0"/>
    <s v=""/>
    <x v="1"/>
    <x v="1"/>
    <x v="364"/>
    <x v="362"/>
    <x v="0"/>
  </r>
  <r>
    <x v="2058"/>
    <x v="396"/>
    <x v="96"/>
    <s v="THERMALLY-RESISTIVE, HIGH VISIBLE TRANSMITTANCE, LOW-EMISSIVITY WINDOW ACCESSORY SYSTEM"/>
    <x v="1"/>
    <s v=""/>
    <x v="0"/>
    <s v=""/>
    <x v="1"/>
    <x v="1"/>
    <x v="364"/>
    <x v="362"/>
    <x v="0"/>
  </r>
  <r>
    <x v="2059"/>
    <x v="397"/>
    <x v="68"/>
    <s v="NANOCELLULOSE BIOFILMS FOR INSULATING AND STRUCTURAL GAS"/>
    <x v="1262"/>
    <s v="06/13/2019"/>
    <x v="0"/>
    <s v=""/>
    <x v="1"/>
    <x v="1"/>
    <x v="365"/>
    <x v="363"/>
    <x v="0"/>
  </r>
  <r>
    <x v="2060"/>
    <x v="397"/>
    <x v="68"/>
    <s v="METHODS FOR THE FABRICATION OF NANOCELLULOSE XEROGELS WITH SOLVENT EXCHANGE PROCEDURES UNDER AMBIENT"/>
    <x v="1263"/>
    <s v="06/13/2019"/>
    <x v="0"/>
    <s v=""/>
    <x v="1"/>
    <x v="1"/>
    <x v="365"/>
    <x v="363"/>
    <x v="0"/>
  </r>
  <r>
    <x v="2061"/>
    <x v="397"/>
    <x v="68"/>
    <s v="STRUCTURE INCLUDING A THIN-FLIM LAYER AND FLASH-SINTERING METHOD OF FORMING SAME"/>
    <x v="1264"/>
    <s v="09/19/2018"/>
    <x v="0"/>
    <s v=""/>
    <x v="1"/>
    <x v="1"/>
    <x v="365"/>
    <x v="363"/>
    <x v="0"/>
  </r>
  <r>
    <x v="2062"/>
    <x v="397"/>
    <x v="68"/>
    <s v="CHOLESTERICALY ORDERED NANOCELLULOSE FILMS FOR THE REFLECTION OF RADIATION AND POLYMER TEMPLATING "/>
    <x v="1"/>
    <s v=""/>
    <x v="0"/>
    <s v=""/>
    <x v="1"/>
    <x v="1"/>
    <x v="365"/>
    <x v="363"/>
    <x v="0"/>
  </r>
  <r>
    <x v="2063"/>
    <x v="397"/>
    <x v="68"/>
    <s v="ADVANCING INSULATION RETROFITS FROM FLEXIBLE INEXPENSIVE LUCID MATERIALS (AIR FILMS) USING TRANSPARENT"/>
    <x v="1"/>
    <s v=""/>
    <x v="0"/>
    <s v=""/>
    <x v="1"/>
    <x v="1"/>
    <x v="365"/>
    <x v="363"/>
    <x v="0"/>
  </r>
  <r>
    <x v="2064"/>
    <x v="397"/>
    <x v="68"/>
    <s v="NANOCELLULOSE GELS AS FILTER MEMBRANES AND ADSORBENTS"/>
    <x v="1"/>
    <s v=""/>
    <x v="0"/>
    <s v=""/>
    <x v="1"/>
    <x v="1"/>
    <x v="365"/>
    <x v="363"/>
    <x v="0"/>
  </r>
  <r>
    <x v="2065"/>
    <x v="398"/>
    <x v="202"/>
    <s v="SEE-THROUGH PLASTIC CHAMBER INSULATORS"/>
    <x v="1"/>
    <s v=""/>
    <x v="0"/>
    <s v=""/>
    <x v="1"/>
    <x v="1"/>
    <x v="366"/>
    <x v="364"/>
    <x v="0"/>
  </r>
  <r>
    <x v="2066"/>
    <x v="398"/>
    <x v="202"/>
    <s v="POLYMER NANOPARTICLE THERMAL INSULATORS"/>
    <x v="1"/>
    <s v=""/>
    <x v="0"/>
    <s v=""/>
    <x v="1"/>
    <x v="1"/>
    <x v="366"/>
    <x v="364"/>
    <x v="0"/>
  </r>
  <r>
    <x v="2067"/>
    <x v="399"/>
    <x v="96"/>
    <s v=" THERMOCHROMIC LOW-EMISSIVITY FILM"/>
    <x v="1"/>
    <s v=""/>
    <x v="0"/>
    <s v=""/>
    <x v="1"/>
    <x v="1"/>
    <x v="367"/>
    <x v="365"/>
    <x v="0"/>
  </r>
  <r>
    <x v="2068"/>
    <x v="400"/>
    <x v="176"/>
    <s v="ORGANIZED NANOPARTICULATE AND MICROPARTICULATE COATINGS AND METHODS OF MAKING AND USING SAME"/>
    <x v="1265"/>
    <s v="12/12/2016"/>
    <x v="0"/>
    <s v=""/>
    <x v="76"/>
    <x v="63"/>
    <x v="368"/>
    <x v="366"/>
    <x v="0"/>
  </r>
  <r>
    <x v="2069"/>
    <x v="400"/>
    <x v="176"/>
    <s v="LAMINATED COMPOSITE SEPARATOR METHOD AND APPLICATION "/>
    <x v="1266"/>
    <s v="12/21/2015"/>
    <x v="0"/>
    <s v=""/>
    <x v="1"/>
    <x v="1"/>
    <x v="368"/>
    <x v="366"/>
    <x v="0"/>
  </r>
  <r>
    <x v="2070"/>
    <x v="400"/>
    <x v="176"/>
    <s v="ORGANIZED NANOPARTICULATE AND MICROPARTICULATE COATINGS AND METHODS OF MAKING AND USING SAME"/>
    <x v="1267"/>
    <s v="06/08/2018"/>
    <x v="0"/>
    <s v=""/>
    <x v="1"/>
    <x v="1"/>
    <x v="368"/>
    <x v="366"/>
    <x v="0"/>
  </r>
  <r>
    <x v="2071"/>
    <x v="400"/>
    <x v="176"/>
    <s v="LAMINATED COMPOSITE SEPARATOR METHOD AND APPLICATION "/>
    <x v="1268"/>
    <s v="07/03/2014"/>
    <x v="0"/>
    <s v=""/>
    <x v="77"/>
    <x v="64"/>
    <x v="368"/>
    <x v="366"/>
    <x v="0"/>
  </r>
  <r>
    <x v="2072"/>
    <x v="400"/>
    <x v="176"/>
    <s v="SURFACE PROTECTED ACTIVE METAL ELECTRODES FOR HYBRID ENERGY STORAGE"/>
    <x v="1"/>
    <s v=""/>
    <x v="0"/>
    <s v=""/>
    <x v="1"/>
    <x v="1"/>
    <x v="368"/>
    <x v="366"/>
    <x v="0"/>
  </r>
  <r>
    <x v="2073"/>
    <x v="400"/>
    <x v="176"/>
    <s v="AN AQUEOUS RECHARGEABLE ALUMINUM BATTERY"/>
    <x v="1"/>
    <s v=""/>
    <x v="0"/>
    <s v=""/>
    <x v="1"/>
    <x v="1"/>
    <x v="368"/>
    <x v="366"/>
    <x v="0"/>
  </r>
  <r>
    <x v="2074"/>
    <x v="400"/>
    <x v="176"/>
    <s v="ELECTROLYTE AND INTERPHASE ENGINEERING FOR STABLE RECHARGEABLE BATTERIES"/>
    <x v="1"/>
    <s v=""/>
    <x v="0"/>
    <s v=""/>
    <x v="1"/>
    <x v="1"/>
    <x v="368"/>
    <x v="366"/>
    <x v="0"/>
  </r>
  <r>
    <x v="2075"/>
    <x v="400"/>
    <x v="176"/>
    <s v="CONVERSION OF CO2 USING AQUEOUS METAL-GAS ELECTROCHEMICAL CELLS"/>
    <x v="1"/>
    <s v=""/>
    <x v="0"/>
    <s v=""/>
    <x v="1"/>
    <x v="1"/>
    <x v="368"/>
    <x v="366"/>
    <x v="0"/>
  </r>
  <r>
    <x v="2076"/>
    <x v="400"/>
    <x v="176"/>
    <s v="IN-SITU FORMATION OF SOLID-STATE  POLYMER ELECTROLYTES FOR SECONDARY LITHIUM BATTERIES"/>
    <x v="1"/>
    <s v=""/>
    <x v="0"/>
    <s v=""/>
    <x v="1"/>
    <x v="1"/>
    <x v="368"/>
    <x v="366"/>
    <x v="0"/>
  </r>
  <r>
    <x v="2077"/>
    <x v="400"/>
    <x v="176"/>
    <s v="SURFACE PROTECTED ACTIVE METAL ELECTRODES FOR RECHARGEABLE BATTERIES"/>
    <x v="1"/>
    <s v=""/>
    <x v="0"/>
    <s v=""/>
    <x v="1"/>
    <x v="1"/>
    <x v="368"/>
    <x v="366"/>
    <x v="0"/>
  </r>
  <r>
    <x v="2078"/>
    <x v="400"/>
    <x v="176"/>
    <s v="MATERIALS AND METHODS FOR STABILIZING ELECTRODEPOSITION OF METALS AND EXTENDING LIFETIME OF RECHARGEABLE"/>
    <x v="1"/>
    <s v=""/>
    <x v="0"/>
    <s v=""/>
    <x v="1"/>
    <x v="1"/>
    <x v="368"/>
    <x v="366"/>
    <x v="0"/>
  </r>
  <r>
    <x v="2079"/>
    <x v="401"/>
    <x v="20"/>
    <s v="SYSTEMS, DEVICES, AND METHODS FOR MOLECULAR SEPARATION"/>
    <x v="1269"/>
    <s v="08/28/2017"/>
    <x v="0"/>
    <s v=""/>
    <x v="1"/>
    <x v="1"/>
    <x v="369"/>
    <x v="367"/>
    <x v="0"/>
  </r>
  <r>
    <x v="2080"/>
    <x v="401"/>
    <x v="20"/>
    <s v="APPARATUS METHODS AND SYSTEMS FOR FABRICATING THIN NANOPOROUS"/>
    <x v="1270"/>
    <s v="05/04/2018"/>
    <x v="0"/>
    <s v=""/>
    <x v="1"/>
    <x v="1"/>
    <x v="369"/>
    <x v="367"/>
    <x v="0"/>
  </r>
  <r>
    <x v="2081"/>
    <x v="401"/>
    <x v="20"/>
    <s v="SCALABLE ONE-STEP GEL CONVERSION ROUTE TO HIGH-PERFORMANCE ZEOLITE HOLLOW FIBER MEMBRANES AND MODULES"/>
    <x v="1271"/>
    <s v="05/28/2019"/>
    <x v="0"/>
    <s v=""/>
    <x v="1"/>
    <x v="1"/>
    <x v="369"/>
    <x v="367"/>
    <x v="0"/>
  </r>
  <r>
    <x v="2082"/>
    <x v="402"/>
    <x v="156"/>
    <s v="IRON ALUMINUM BORIDE-BASED MATERIALS FOR THERMOMAGNETIC ENERGY MANAGEMENT APPLICATIONS"/>
    <x v="1272"/>
    <s v="08/11/2017"/>
    <x v="0"/>
    <s v=""/>
    <x v="1"/>
    <x v="1"/>
    <x v="107"/>
    <x v="107"/>
    <x v="0"/>
  </r>
  <r>
    <x v="2083"/>
    <x v="402"/>
    <x v="156"/>
    <s v="IRON ALUMINUM BORIDE-BASED MATERIALS FOR THERMOMAGNETIC ENERGY MANAGEMENT APPLICATIONS"/>
    <x v="1273"/>
    <s v="06/13/2017"/>
    <x v="0"/>
    <s v=""/>
    <x v="1"/>
    <x v="1"/>
    <x v="107"/>
    <x v="107"/>
    <x v="0"/>
  </r>
  <r>
    <x v="2084"/>
    <x v="403"/>
    <x v="147"/>
    <s v="CURABLE POLYSILOXANE COMPOITIONS AND SLIPPERY MATERIALS AND COATINGS AND ARTICLES MADE THEREFROM"/>
    <x v="1"/>
    <s v=""/>
    <x v="0"/>
    <s v=""/>
    <x v="1"/>
    <x v="1"/>
    <x v="370"/>
    <x v="368"/>
    <x v="0"/>
  </r>
  <r>
    <x v="2085"/>
    <x v="403"/>
    <x v="147"/>
    <s v="CURABLE POLYSILOXANE COMPOITIONS AND SLIPPERY MATERIALS AND COATINGS AND ARTICLES MADE THEREFROM"/>
    <x v="1"/>
    <s v=""/>
    <x v="0"/>
    <s v=""/>
    <x v="1"/>
    <x v="1"/>
    <x v="370"/>
    <x v="368"/>
    <x v="0"/>
  </r>
  <r>
    <x v="2086"/>
    <x v="403"/>
    <x v="147"/>
    <s v="CURABLE POLYSILOXANE COMPOITIONS AND SLIPPERY MATERIALS AND COATINGS AND ARTICLES MADE THEREFROM"/>
    <x v="1"/>
    <s v=""/>
    <x v="0"/>
    <s v=""/>
    <x v="1"/>
    <x v="1"/>
    <x v="370"/>
    <x v="368"/>
    <x v="0"/>
  </r>
  <r>
    <x v="2087"/>
    <x v="403"/>
    <x v="147"/>
    <s v="CURABLE POLYSILOXANE COMPOITIONS AND SLIPPERY MATERIALS AND COATINGS AND ARTICLES MADE THEREFROM"/>
    <x v="1"/>
    <s v=""/>
    <x v="0"/>
    <s v=""/>
    <x v="1"/>
    <x v="1"/>
    <x v="370"/>
    <x v="368"/>
    <x v="0"/>
  </r>
  <r>
    <x v="2088"/>
    <x v="403"/>
    <x v="147"/>
    <s v="CURABLE POLYSILOXANE COMPOITIONS AND SLIPPERY MATERIALS AND COATINGS AND ARTICLES MADE THEREFROM"/>
    <x v="1"/>
    <s v=""/>
    <x v="0"/>
    <s v=""/>
    <x v="1"/>
    <x v="1"/>
    <x v="370"/>
    <x v="368"/>
    <x v="0"/>
  </r>
  <r>
    <x v="2089"/>
    <x v="404"/>
    <x v="145"/>
    <s v="PRODUCTION OF LIQUIDS AND REDUCED SULFUR GASEOUS PRODUCTS FROM SOUR NATURAL GAS "/>
    <x v="1274"/>
    <s v="01/11/2018"/>
    <x v="0"/>
    <s v=""/>
    <x v="1"/>
    <x v="1"/>
    <x v="371"/>
    <x v="369"/>
    <x v="0"/>
  </r>
  <r>
    <x v="2090"/>
    <x v="404"/>
    <x v="145"/>
    <s v="PRODUCTION OF LIQUIDS AND REDUCED SULFUR GASEOUS PRODUCTS FROM SOUR NATURAL GAS "/>
    <x v="1275"/>
    <s v="01/11/2018"/>
    <x v="0"/>
    <s v=""/>
    <x v="120"/>
    <x v="104"/>
    <x v="371"/>
    <x v="369"/>
    <x v="0"/>
  </r>
  <r>
    <x v="2091"/>
    <x v="405"/>
    <x v="247"/>
    <s v="BIOLOGICAL SYNTHESIS OF AMMONIA AND UREA THROUGH INTEGRATED METHANE BIO-OXIDATION AND NITROGEN FIXATION"/>
    <x v="1"/>
    <s v=""/>
    <x v="0"/>
    <s v=""/>
    <x v="1"/>
    <x v="1"/>
    <x v="372"/>
    <x v="370"/>
    <x v="0"/>
  </r>
  <r>
    <x v="2092"/>
    <x v="406"/>
    <x v="92"/>
    <s v="SALT-CERAMIC COMPOSITES AND MANUFACTURE THEREOF"/>
    <x v="1276"/>
    <s v="04/05/2019"/>
    <x v="0"/>
    <s v=""/>
    <x v="1"/>
    <x v="1"/>
    <x v="373"/>
    <x v="371"/>
    <x v="0"/>
  </r>
  <r>
    <x v="2093"/>
    <x v="407"/>
    <x v="143"/>
    <s v="PBI GEL MEMBRANES FOR FLOW BATTERIES"/>
    <x v="1277"/>
    <s v="09/13/2019"/>
    <x v="0"/>
    <s v=""/>
    <x v="1"/>
    <x v="1"/>
    <x v="90"/>
    <x v="90"/>
    <x v="0"/>
  </r>
  <r>
    <x v="2094"/>
    <x v="407"/>
    <x v="143"/>
    <s v="LOW PERMEABILITY PBI GEL MEMRANES FOR FLOW BATTERIES"/>
    <x v="1278"/>
    <s v="09/13/2019"/>
    <x v="0"/>
    <s v=""/>
    <x v="1"/>
    <x v="1"/>
    <x v="90"/>
    <x v="90"/>
    <x v="0"/>
  </r>
  <r>
    <x v="2095"/>
    <x v="407"/>
    <x v="143"/>
    <s v="PBI GEL MEMBRANES FOR FLOW BATTERIES"/>
    <x v="1279"/>
    <s v="09/13/2019"/>
    <x v="0"/>
    <s v=""/>
    <x v="1"/>
    <x v="1"/>
    <x v="90"/>
    <x v="90"/>
    <x v="0"/>
  </r>
  <r>
    <x v="2096"/>
    <x v="408"/>
    <x v="162"/>
    <s v="COMPOSITE MEMBRANE CONSISTING OF ANION EXCHANGE IONOMER (AEMS) DOPED WITH SUITABLE, CHEMICALLY INERT OXIDE"/>
    <x v="1"/>
    <s v=""/>
    <x v="0"/>
    <s v=""/>
    <x v="1"/>
    <x v="1"/>
    <x v="374"/>
    <x v="372"/>
    <x v="0"/>
  </r>
  <r>
    <x v="2097"/>
    <x v="408"/>
    <x v="162"/>
    <s v="REINFORED ANION EXCHANGE MEMBRANES"/>
    <x v="1"/>
    <s v=""/>
    <x v="0"/>
    <s v=""/>
    <x v="1"/>
    <x v="1"/>
    <x v="374"/>
    <x v="372"/>
    <x v="0"/>
  </r>
  <r>
    <x v="2098"/>
    <x v="408"/>
    <x v="162"/>
    <s v="TRIBLOCK COPOLYMER BASED ANION MEMBRANES (AEMS) AS SEPARATGORS IN ELECTROCHEMICAL DEVICES"/>
    <x v="1280"/>
    <s v="07/30/2019"/>
    <x v="0"/>
    <s v=""/>
    <x v="1"/>
    <x v="1"/>
    <x v="374"/>
    <x v="372"/>
    <x v="0"/>
  </r>
  <r>
    <x v="2099"/>
    <x v="408"/>
    <x v="162"/>
    <s v="TRIBLOCK COPOLYMER BASED ANION MEMBRANES (AEMS) AS SEPARATGORS IN ELECTROCHEMICAL DEVICES"/>
    <x v="1281"/>
    <s v="08/31/2018"/>
    <x v="0"/>
    <s v=""/>
    <x v="1"/>
    <x v="1"/>
    <x v="374"/>
    <x v="372"/>
    <x v="0"/>
  </r>
  <r>
    <x v="2100"/>
    <x v="408"/>
    <x v="162"/>
    <s v="AN ELECTRODE-DECOUPLED TITANIUM-CERIUM REDOX FLOW BATTERY"/>
    <x v="1282"/>
    <s v="03/12/2019"/>
    <x v="0"/>
    <s v=""/>
    <x v="1"/>
    <x v="1"/>
    <x v="374"/>
    <x v="372"/>
    <x v="0"/>
  </r>
  <r>
    <x v="2101"/>
    <x v="408"/>
    <x v="162"/>
    <s v="TRIBLOCK COPOLYMER BASED ANION  EXCHANGE MEMBRANES (AEMS) AS SEPARATGORS IN ELECTROCHEMICAL DEVICES"/>
    <x v="1283"/>
    <s v="08/02/2018"/>
    <x v="0"/>
    <s v=""/>
    <x v="1"/>
    <x v="1"/>
    <x v="374"/>
    <x v="372"/>
    <x v="0"/>
  </r>
  <r>
    <x v="2102"/>
    <x v="409"/>
    <x v="20"/>
    <s v="POLYNORBORNENE ANION EXCHANGE MEMBRANE"/>
    <x v="1284"/>
    <s v="08/16/2018"/>
    <x v="0"/>
    <s v=""/>
    <x v="1"/>
    <x v="1"/>
    <x v="375"/>
    <x v="373"/>
    <x v="0"/>
  </r>
  <r>
    <x v="2103"/>
    <x v="409"/>
    <x v="20"/>
    <s v="POLYNORBORNENE ANION EXCHANGE MEMBRANE"/>
    <x v="1285"/>
    <s v="03/27/2018"/>
    <x v="0"/>
    <s v=""/>
    <x v="1"/>
    <x v="1"/>
    <x v="375"/>
    <x v="373"/>
    <x v="0"/>
  </r>
  <r>
    <x v="2104"/>
    <x v="409"/>
    <x v="20"/>
    <s v="POLYNORBORNENE ANION EXCHANGE MEMBRANE"/>
    <x v="1286"/>
    <s v="03/27/2019"/>
    <x v="0"/>
    <s v=""/>
    <x v="379"/>
    <x v="350"/>
    <x v="375"/>
    <x v="373"/>
    <x v="0"/>
  </r>
  <r>
    <x v="2105"/>
    <x v="409"/>
    <x v="138"/>
    <s v="CATLYTIC IONIC FUNCTIONAL OF AROMATIC POLYMERS WITH HALOALKENES"/>
    <x v="1287"/>
    <s v="04/03/2018"/>
    <x v="0"/>
    <s v=""/>
    <x v="1"/>
    <x v="1"/>
    <x v="375"/>
    <x v="373"/>
    <x v="0"/>
  </r>
  <r>
    <x v="2106"/>
    <x v="409"/>
    <x v="138"/>
    <s v="IONIC FUNCTIONALIZATION OF AROMATIC POLYMERS WITH HALOGENATED ALCOHOLS USING ACID CATALYST"/>
    <x v="1288"/>
    <s v="04/03/2018"/>
    <x v="0"/>
    <s v=""/>
    <x v="1"/>
    <x v="1"/>
    <x v="375"/>
    <x v="373"/>
    <x v="0"/>
  </r>
  <r>
    <x v="2107"/>
    <x v="409"/>
    <x v="138"/>
    <s v="IONIC FUNCTIONALIZATION OF AROMATIC POLYMERS USING ALCOHOLS BY ACID CATALYST"/>
    <x v="1289"/>
    <s v="02/14/2017"/>
    <x v="0"/>
    <s v=""/>
    <x v="1"/>
    <x v="1"/>
    <x v="375"/>
    <x v="373"/>
    <x v="0"/>
  </r>
  <r>
    <x v="2108"/>
    <x v="409"/>
    <x v="138"/>
    <s v="IONIC FUNCTIONALIZATION OF AROMATIC POLYMERS USING ALCOHOLS BY ACID CATALYST"/>
    <x v="1290"/>
    <s v="03/26/2018"/>
    <x v="0"/>
    <s v=""/>
    <x v="1"/>
    <x v="1"/>
    <x v="375"/>
    <x v="373"/>
    <x v="0"/>
  </r>
  <r>
    <x v="2109"/>
    <x v="409"/>
    <x v="138"/>
    <s v="IONIC FUNCTIONALIZATION OF AROMATIC POLYMERS USING ALCOHOLS BY ACID CATALYST"/>
    <x v="1291"/>
    <s v="07/05/2018"/>
    <x v="0"/>
    <s v=""/>
    <x v="157"/>
    <x v="140"/>
    <x v="375"/>
    <x v="373"/>
    <x v="0"/>
  </r>
  <r>
    <x v="2110"/>
    <x v="409"/>
    <x v="138"/>
    <s v="CROSSLINKING OF AROMATIC POLYMERS FOR IONOMER AND ANION EXCHANGE MEMBRANES"/>
    <x v="1292"/>
    <s v="04/24/2019"/>
    <x v="0"/>
    <s v=""/>
    <x v="158"/>
    <x v="141"/>
    <x v="375"/>
    <x v="373"/>
    <x v="0"/>
  </r>
  <r>
    <x v="2111"/>
    <x v="409"/>
    <x v="138"/>
    <s v="CROSSLINKING OF AROMATIC POLYMERS FOR IONOMER AND ANION EXCHANGE MEMBRANES"/>
    <x v="1293"/>
    <s v="04/24/2018"/>
    <x v="0"/>
    <s v=""/>
    <x v="1"/>
    <x v="1"/>
    <x v="375"/>
    <x v="373"/>
    <x v="0"/>
  </r>
  <r>
    <x v="2112"/>
    <x v="409"/>
    <x v="138"/>
    <s v="DRY COOLING SYSTEM USING THERMALLY INDUCED VAPOR POLYMERIZATION"/>
    <x v="1294"/>
    <s v="12/06/2016"/>
    <x v="314"/>
    <s v="07/11/2017"/>
    <x v="1"/>
    <x v="1"/>
    <x v="375"/>
    <x v="373"/>
    <x v="0"/>
  </r>
  <r>
    <x v="2113"/>
    <x v="409"/>
    <x v="138"/>
    <s v="IMPROVED SYNTHESIS OF AROMATIC ANIONIC POLYMERS FOR IONOMER AND ANION EXCHANGE MEMBRANES"/>
    <x v="1"/>
    <s v=""/>
    <x v="0"/>
    <s v=""/>
    <x v="1"/>
    <x v="1"/>
    <x v="375"/>
    <x v="373"/>
    <x v="0"/>
  </r>
  <r>
    <x v="2114"/>
    <x v="409"/>
    <x v="138"/>
    <s v="DRY COOLING SYSTEM USING THERMALLY INDUCED VAPOR POLYMERIZATION"/>
    <x v="1295"/>
    <s v="12/07/2016"/>
    <x v="315"/>
    <s v="07/11/2017"/>
    <x v="380"/>
    <x v="351"/>
    <x v="375"/>
    <x v="373"/>
    <x v="0"/>
  </r>
  <r>
    <x v="2115"/>
    <x v="409"/>
    <x v="20"/>
    <s v="GAN BASED THRESHOLD SWITCHING DEVICE AND MEMORY DIODE"/>
    <x v="1"/>
    <s v=""/>
    <x v="0"/>
    <s v=""/>
    <x v="1"/>
    <x v="1"/>
    <x v="375"/>
    <x v="373"/>
    <x v="0"/>
  </r>
  <r>
    <x v="2116"/>
    <x v="409"/>
    <x v="138"/>
    <s v="NOVEL PHOSPHATE ANION-QUATERNARY AMMONIUM ION PAIR COORDINATED POLYMER MEMBRANES FOR HUMIDITY TOLERANT"/>
    <x v="1"/>
    <s v=""/>
    <x v="0"/>
    <s v=""/>
    <x v="1"/>
    <x v="1"/>
    <x v="375"/>
    <x v="373"/>
    <x v="0"/>
  </r>
  <r>
    <x v="2117"/>
    <x v="410"/>
    <x v="6"/>
    <s v="ANION AND HYDRIOXIDE EXCHANGE MEMBRANES AND IONOMERS BASED ON POLY-NORBORNENE-PYROLIDINIUM"/>
    <x v="1296"/>
    <s v="10/17/2018"/>
    <x v="0"/>
    <s v=""/>
    <x v="135"/>
    <x v="119"/>
    <x v="199"/>
    <x v="4"/>
    <x v="0"/>
  </r>
  <r>
    <x v="2118"/>
    <x v="410"/>
    <x v="6"/>
    <s v="ELECTROCHEMICAL CARBON DIOXIDE SEPARATOR"/>
    <x v="1297"/>
    <s v="02/18/2019"/>
    <x v="0"/>
    <s v=""/>
    <x v="1"/>
    <x v="1"/>
    <x v="199"/>
    <x v="4"/>
    <x v="0"/>
  </r>
  <r>
    <x v="2119"/>
    <x v="410"/>
    <x v="6"/>
    <s v="ELECTROCHEMICAL CARBON DIOXIDE SEPARATOR"/>
    <x v="1"/>
    <s v=""/>
    <x v="0"/>
    <s v=""/>
    <x v="1"/>
    <x v="1"/>
    <x v="199"/>
    <x v="4"/>
    <x v="0"/>
  </r>
  <r>
    <x v="2120"/>
    <x v="411"/>
    <x v="41"/>
    <s v="SURFACE ENCAPSULATERD SULFIDE GLASS SOLID ELECTROLYTE"/>
    <x v="1298"/>
    <s v="04/12/2019"/>
    <x v="0"/>
    <s v=""/>
    <x v="1"/>
    <x v="1"/>
    <x v="33"/>
    <x v="33"/>
    <x v="0"/>
  </r>
  <r>
    <x v="2121"/>
    <x v="411"/>
    <x v="41"/>
    <s v="EXTRUDION OF ULTRA-CLEAN LITHIUM DIRECTLY INTO A VACCUM HOUSING"/>
    <x v="1299"/>
    <s v="04/12/2019"/>
    <x v="0"/>
    <s v=""/>
    <x v="1"/>
    <x v="1"/>
    <x v="33"/>
    <x v="33"/>
    <x v="0"/>
  </r>
  <r>
    <x v="2122"/>
    <x v="411"/>
    <x v="41"/>
    <s v="ALUMINA ENCAPSULATED SULFIDE GLASS SEPARATOR SHEETS"/>
    <x v="1300"/>
    <s v="06/09/2018"/>
    <x v="0"/>
    <s v=""/>
    <x v="1"/>
    <x v="1"/>
    <x v="33"/>
    <x v="33"/>
    <x v="0"/>
  </r>
  <r>
    <x v="2123"/>
    <x v="411"/>
    <x v="41"/>
    <s v="SOLID-STATE LAMINATE ELECTRODE ASSEMBLIES AND METHODS OF MAKING INCLUDING EVAPORORATION, ENCAPSULATION AND/OR ALD"/>
    <x v="1301"/>
    <s v="07/19/2017"/>
    <x v="0"/>
    <s v=""/>
    <x v="1"/>
    <x v="1"/>
    <x v="33"/>
    <x v="33"/>
    <x v="0"/>
  </r>
  <r>
    <x v="2124"/>
    <x v="411"/>
    <x v="41"/>
    <s v="SOLID-STATE LAMINATE ELECTRODE ASSEMBLIES AND METHODS OF MAKING "/>
    <x v="1302"/>
    <s v="01/23/2018"/>
    <x v="0"/>
    <s v=""/>
    <x v="1"/>
    <x v="1"/>
    <x v="33"/>
    <x v="33"/>
    <x v="0"/>
  </r>
  <r>
    <x v="2125"/>
    <x v="411"/>
    <x v="41"/>
    <s v="LITHIUM ION CONDUCTING GLASS FRABRICATION"/>
    <x v="1303"/>
    <s v=""/>
    <x v="0"/>
    <s v=""/>
    <x v="1"/>
    <x v="1"/>
    <x v="33"/>
    <x v="33"/>
    <x v="0"/>
  </r>
  <r>
    <x v="2126"/>
    <x v="411"/>
    <x v="41"/>
    <s v="METHODS OF MAKING ION CONDUCTIVE SULFIDE GLASS"/>
    <x v="1304"/>
    <s v="07/11/2019"/>
    <x v="0"/>
    <s v=""/>
    <x v="1"/>
    <x v="1"/>
    <x v="33"/>
    <x v="33"/>
    <x v="0"/>
  </r>
  <r>
    <x v="2127"/>
    <x v="411"/>
    <x v="41"/>
    <s v="METHODS OF MAKING LITHIUM ION CONDUCTING SULFIDE GLASS USING WALL SEALED VESSELS"/>
    <x v="1305"/>
    <s v="10/29/2018"/>
    <x v="0"/>
    <s v=""/>
    <x v="1"/>
    <x v="1"/>
    <x v="33"/>
    <x v="33"/>
    <x v="0"/>
  </r>
  <r>
    <x v="2128"/>
    <x v="411"/>
    <x v="41"/>
    <s v="PROTECTED LITHIUM ELECTRODES HAVING A POROUS ELECTROLYTE INTERLAYER AND ASSOCIATED BATTERY CELLS"/>
    <x v="1306"/>
    <s v="04/13/2017"/>
    <x v="0"/>
    <s v=""/>
    <x v="1"/>
    <x v="1"/>
    <x v="33"/>
    <x v="33"/>
    <x v="0"/>
  </r>
  <r>
    <x v="2124"/>
    <x v="411"/>
    <x v="41"/>
    <s v="SOLID-STATE LAMINATE ELECTRODE ASSEMBLIES AND METHODS OF MAKING INCLUDING EVAPORATION, ENCAPSULATION AND/OR ALD"/>
    <x v="1302"/>
    <s v="01/23/2018"/>
    <x v="0"/>
    <s v=""/>
    <x v="1"/>
    <x v="1"/>
    <x v="33"/>
    <x v="33"/>
    <x v="0"/>
  </r>
  <r>
    <x v="2129"/>
    <x v="411"/>
    <x v="41"/>
    <s v="SOLID-STATE LAMINATE ELECTRODE ASSEMBLIES AND METHODS OF MAKING INCLUDING EVAPORATION, ENCAPSULATION AND/OR ALD"/>
    <x v="1301"/>
    <s v="07/19/2017"/>
    <x v="0"/>
    <s v=""/>
    <x v="1"/>
    <x v="1"/>
    <x v="33"/>
    <x v="33"/>
    <x v="0"/>
  </r>
  <r>
    <x v="2130"/>
    <x v="411"/>
    <x v="41"/>
    <s v="SOLID-STATE ELECTRODE ASSEMBLIES AND METHODS OF MAKING"/>
    <x v="1307"/>
    <s v="05/10/2017"/>
    <x v="0"/>
    <s v=""/>
    <x v="1"/>
    <x v="1"/>
    <x v="33"/>
    <x v="33"/>
    <x v="0"/>
  </r>
  <r>
    <x v="2131"/>
    <x v="411"/>
    <x v="41"/>
    <s v="PROTECTED LITHIUM ELECTRODES HAVING A POROUS ELECTROLYTE INTERLAYER AND ASSOCIATED BATTERY CELLS"/>
    <x v="1308"/>
    <s v="05/09/2016"/>
    <x v="316"/>
    <s v="05/30/2017"/>
    <x v="1"/>
    <x v="1"/>
    <x v="33"/>
    <x v="33"/>
    <x v="0"/>
  </r>
  <r>
    <x v="2132"/>
    <x v="411"/>
    <x v="41"/>
    <s v="ENCAPSULATED LITHIUM ION CONDUCTING SULFIED GLASS SOLID ELECTROLYTE STRUCTURES"/>
    <x v="1"/>
    <s v=""/>
    <x v="0"/>
    <s v=""/>
    <x v="1"/>
    <x v="1"/>
    <x v="33"/>
    <x v="33"/>
    <x v="0"/>
  </r>
  <r>
    <x v="2133"/>
    <x v="411"/>
    <x v="41"/>
    <s v="SOLID-STATE LAMINATE ELECTRODE ASSEMBLIES USING ALD ENCAPSULATION AND EVAPORATION"/>
    <x v="1"/>
    <s v=""/>
    <x v="0"/>
    <s v=""/>
    <x v="1"/>
    <x v="1"/>
    <x v="33"/>
    <x v="33"/>
    <x v="0"/>
  </r>
  <r>
    <x v="2134"/>
    <x v="411"/>
    <x v="41"/>
    <s v="SOLID-STATE LAMINATE ELECTRODE ASSEMBLIES AND METHODS OF MAKINGINCLUDING EVAPORATION, ENCAPSULATION AND/OR ALD"/>
    <x v="1"/>
    <s v=""/>
    <x v="0"/>
    <s v=""/>
    <x v="1"/>
    <x v="1"/>
    <x v="33"/>
    <x v="33"/>
    <x v="0"/>
  </r>
  <r>
    <x v="2135"/>
    <x v="411"/>
    <x v="41"/>
    <s v="SOLID-STATE LAMINATE ELECTRODE ASSEMBLIES AND METHODS OF MAKINGINCLUDING EVAPORATION, ENCAPSULATION AND/OR ALD"/>
    <x v="1"/>
    <s v=""/>
    <x v="0"/>
    <s v=""/>
    <x v="1"/>
    <x v="1"/>
    <x v="33"/>
    <x v="33"/>
    <x v="0"/>
  </r>
  <r>
    <x v="2136"/>
    <x v="412"/>
    <x v="177"/>
    <s v="NEW METHOD OF FUNCTIONALIZING FLUOROPOLYMERS WITH ACIDIC SIDE CHAINS EXHIBTING IMPROVED PROPERTIES"/>
    <x v="1309"/>
    <s v="08/25/2017"/>
    <x v="0"/>
    <s v=""/>
    <x v="1"/>
    <x v="1"/>
    <x v="376"/>
    <x v="374"/>
    <x v="0"/>
  </r>
  <r>
    <x v="2137"/>
    <x v="412"/>
    <x v="177"/>
    <s v="NEW METHOD OF FUNCTIONALIZING FLUOROPOLYMERS WITH ACIDIC SIDE CHAINS EXHIBTING IMPROVED PROPERTIES, THE FLUOROPOLYMERS THEREOF, AND METHODS OF USING"/>
    <x v="1310"/>
    <s v="08/27/2018"/>
    <x v="0"/>
    <s v=""/>
    <x v="1"/>
    <x v="1"/>
    <x v="376"/>
    <x v="374"/>
    <x v="0"/>
  </r>
  <r>
    <x v="2138"/>
    <x v="412"/>
    <x v="177"/>
    <s v="POLYOXOMETALLATE MODIFIED SEMICONDUCTOR ELECTRODES FOR PHOTOELECTROCHEMICAL WATER SPLITTING"/>
    <x v="1"/>
    <s v=""/>
    <x v="0"/>
    <s v=""/>
    <x v="1"/>
    <x v="1"/>
    <x v="376"/>
    <x v="374"/>
    <x v="0"/>
  </r>
  <r>
    <x v="2139"/>
    <x v="413"/>
    <x v="277"/>
    <s v="HYDROCARBON POLYMERS CONTAINING AMONIUM FUNCTIONALITY"/>
    <x v="1"/>
    <s v=""/>
    <x v="0"/>
    <s v=""/>
    <x v="1"/>
    <x v="1"/>
    <x v="377"/>
    <x v="375"/>
    <x v="0"/>
  </r>
  <r>
    <x v="2140"/>
    <x v="413"/>
    <x v="277"/>
    <s v="ANION EXCHANGE MEMBRANES BASED ON POLYMERIZATION OF LONG CHAIN ALPHA OLEFINS"/>
    <x v="1"/>
    <s v=""/>
    <x v="0"/>
    <s v=""/>
    <x v="1"/>
    <x v="1"/>
    <x v="377"/>
    <x v="375"/>
    <x v="0"/>
  </r>
  <r>
    <x v="2141"/>
    <x v="413"/>
    <x v="277"/>
    <s v="CATIONIC POLYMERS FOR USE AS ANION EXCHANGE POLYELECTROLYTES"/>
    <x v="1"/>
    <s v=""/>
    <x v="0"/>
    <s v=""/>
    <x v="1"/>
    <x v="1"/>
    <x v="377"/>
    <x v="375"/>
    <x v="0"/>
  </r>
  <r>
    <x v="2142"/>
    <x v="413"/>
    <x v="277"/>
    <s v="SELECTIVE AMINOMETHYLATION OF POLYBUTADIENE) AND POLY(BUTADIENE)  COPOLYMERS"/>
    <x v="1"/>
    <s v=""/>
    <x v="0"/>
    <s v=""/>
    <x v="1"/>
    <x v="1"/>
    <x v="377"/>
    <x v="375"/>
    <x v="0"/>
  </r>
  <r>
    <x v="2143"/>
    <x v="413"/>
    <x v="277"/>
    <s v="HYDROCARBON POLYMERS CONTAINING AMONIUM FUNCTIONALITY"/>
    <x v="1"/>
    <s v=""/>
    <x v="0"/>
    <s v=""/>
    <x v="1"/>
    <x v="1"/>
    <x v="377"/>
    <x v="375"/>
    <x v="0"/>
  </r>
  <r>
    <x v="2144"/>
    <x v="414"/>
    <x v="68"/>
    <s v="METHOD OF FORMING A SINTERED COMPOUND AND COMPOUND FORMED USING THE METHOD"/>
    <x v="1311"/>
    <s v="09/19/2018"/>
    <x v="0"/>
    <s v=""/>
    <x v="1"/>
    <x v="1"/>
    <x v="378"/>
    <x v="376"/>
    <x v="0"/>
  </r>
  <r>
    <x v="2145"/>
    <x v="414"/>
    <x v="68"/>
    <s v="FLASH-SINTERED COMPOSITE MATERIALS AND METHODS OF FORMING THE SAME"/>
    <x v="1312"/>
    <s v="09/19/2018"/>
    <x v="0"/>
    <s v=""/>
    <x v="1"/>
    <x v="1"/>
    <x v="378"/>
    <x v="376"/>
    <x v="0"/>
  </r>
  <r>
    <x v="2146"/>
    <x v="414"/>
    <x v="68"/>
    <s v="ONE STEP CURRENT CONTROLLED FLASH SINTERING"/>
    <x v="1"/>
    <s v=""/>
    <x v="0"/>
    <s v=""/>
    <x v="1"/>
    <x v="1"/>
    <x v="378"/>
    <x v="376"/>
    <x v="0"/>
  </r>
  <r>
    <x v="2147"/>
    <x v="415"/>
    <x v="278"/>
    <s v="SYSTEMS AND METHODS FOR RANDOMIZED, PACKET-BASED POWER MANAGEMENT OF CONDITIONALY-CONTROLLED LOADS AND BI-DIRECTIONAL DISTRIBUTED ENERGY STORAGE SYSTEMS"/>
    <x v="1"/>
    <s v=""/>
    <x v="0"/>
    <s v=""/>
    <x v="1"/>
    <x v="1"/>
    <x v="379"/>
    <x v="377"/>
    <x v="0"/>
  </r>
  <r>
    <x v="2148"/>
    <x v="416"/>
    <x v="244"/>
    <s v="INCREASED DATA-RATE USING A PI-MODULATOR"/>
    <x v="1"/>
    <s v=""/>
    <x v="0"/>
    <s v=""/>
    <x v="1"/>
    <x v="1"/>
    <x v="380"/>
    <x v="378"/>
    <x v="0"/>
  </r>
  <r>
    <x v="2149"/>
    <x v="416"/>
    <x v="68"/>
    <s v="SELF FORMING BATTERIES"/>
    <x v="1"/>
    <s v=""/>
    <x v="0"/>
    <s v=""/>
    <x v="1"/>
    <x v="1"/>
    <x v="380"/>
    <x v="378"/>
    <x v="0"/>
  </r>
  <r>
    <x v="2150"/>
    <x v="416"/>
    <x v="68"/>
    <s v="POLYMER COMPOSITE PHOTONIC CRYSTAL MATERIALS FOR OPTICAL COATINGS"/>
    <x v="1"/>
    <s v=""/>
    <x v="0"/>
    <s v=""/>
    <x v="1"/>
    <x v="1"/>
    <x v="380"/>
    <x v="378"/>
    <x v="0"/>
  </r>
  <r>
    <x v="2151"/>
    <x v="416"/>
    <x v="244"/>
    <s v="A LAYERED STRUCTURE FOR SOLID-STATE METAL BATTERIES"/>
    <x v="1"/>
    <s v=""/>
    <x v="0"/>
    <s v=""/>
    <x v="1"/>
    <x v="1"/>
    <x v="380"/>
    <x v="378"/>
    <x v="0"/>
  </r>
  <r>
    <x v="2152"/>
    <x v="417"/>
    <x v="267"/>
    <s v="ARENEDIAZONIUM TETRAFLUOROBORATE BUILDING BLOCKS USED TO COVALENTLY CONECT COMPONENTS OR LAYERS "/>
    <x v="1"/>
    <s v=""/>
    <x v="0"/>
    <s v=""/>
    <x v="1"/>
    <x v="1"/>
    <x v="381"/>
    <x v="379"/>
    <x v="0"/>
  </r>
  <r>
    <x v="2153"/>
    <x v="418"/>
    <x v="177"/>
    <s v="CATALYTIC MEMBRANE REACTOR, METHODS OF MAKING THE SAME AND METHODS OF USING THE SAME"/>
    <x v="1"/>
    <s v=""/>
    <x v="0"/>
    <s v=""/>
    <x v="1"/>
    <x v="1"/>
    <x v="382"/>
    <x v="380"/>
    <x v="0"/>
  </r>
  <r>
    <x v="2154"/>
    <x v="419"/>
    <x v="279"/>
    <s v="REAL-TIME OPERATING MODE SELECTION WITH OPTIMAL MODE PATH PLANNING"/>
    <x v="1"/>
    <s v=""/>
    <x v="0"/>
    <s v=""/>
    <x v="1"/>
    <x v="1"/>
    <x v="383"/>
    <x v="381"/>
    <x v="0"/>
  </r>
  <r>
    <x v="2155"/>
    <x v="419"/>
    <x v="279"/>
    <s v="REAL-TIME NONLINEAR MODEL PREDICTIVE CONTROL (NMPC) FOR MULTI-MODE HYBRID ELECTRIC VEHICLE POWERTRAIN"/>
    <x v="1"/>
    <s v=""/>
    <x v="0"/>
    <s v=""/>
    <x v="1"/>
    <x v="1"/>
    <x v="383"/>
    <x v="381"/>
    <x v="0"/>
  </r>
  <r>
    <x v="2156"/>
    <x v="419"/>
    <x v="279"/>
    <s v="REDUCED ORDER MODEL FOR PROPULSION SYSTEM DYNAMICS AND CONTROLS"/>
    <x v="1"/>
    <s v=""/>
    <x v="0"/>
    <s v=""/>
    <x v="1"/>
    <x v="1"/>
    <x v="383"/>
    <x v="381"/>
    <x v="0"/>
  </r>
  <r>
    <x v="2148"/>
    <x v="419"/>
    <x v="279"/>
    <s v="PROPULSION SYSTEM BLENDED MODE DETERMINATION"/>
    <x v="1"/>
    <s v=""/>
    <x v="0"/>
    <s v=""/>
    <x v="1"/>
    <x v="1"/>
    <x v="383"/>
    <x v="381"/>
    <x v="0"/>
  </r>
  <r>
    <x v="2157"/>
    <x v="419"/>
    <x v="279"/>
    <s v="REAL-TIME DETERMINATION OF VEHICLE ROAD LOAD CHARACTERISTICS"/>
    <x v="1"/>
    <s v=""/>
    <x v="0"/>
    <s v=""/>
    <x v="1"/>
    <x v="1"/>
    <x v="383"/>
    <x v="381"/>
    <x v="0"/>
  </r>
  <r>
    <x v="2158"/>
    <x v="419"/>
    <x v="279"/>
    <s v="ECO-ROUTING WITH CUSTOMER ANNOYANCE FACTOR AND IMPROVED EV RANGE ESTIMATOR APPLICATION FOR INTEGRATED"/>
    <x v="1"/>
    <s v=""/>
    <x v="0"/>
    <s v=""/>
    <x v="1"/>
    <x v="1"/>
    <x v="383"/>
    <x v="381"/>
    <x v="0"/>
  </r>
  <r>
    <x v="2159"/>
    <x v="420"/>
    <x v="263"/>
    <s v="METHOD _x000d_AND SYSTEM FOR ROUTING BASED ON A PREDICTED CONNECTIVITY QUALITY"/>
    <x v="1313"/>
    <s v="01/26/2018"/>
    <x v="0"/>
    <s v=""/>
    <x v="1"/>
    <x v="1"/>
    <x v="384"/>
    <x v="382"/>
    <x v="0"/>
  </r>
  <r>
    <x v="2160"/>
    <x v="420"/>
    <x v="263"/>
    <s v="METHOD TO CONTROLLING A VEHICLE TO ADJUST PERCEPTION SYSTEM ENERGY USAGE"/>
    <x v="1314"/>
    <s v="04/03/2018"/>
    <x v="0"/>
    <s v=""/>
    <x v="1"/>
    <x v="1"/>
    <x v="384"/>
    <x v="382"/>
    <x v="0"/>
  </r>
  <r>
    <x v="2161"/>
    <x v="420"/>
    <x v="263"/>
    <s v="INTELLIGENT MOTOR VEHICLES, SYSTEMS, AND CONTROL LOGIC FOR REAL-TIME ECO-ROUTING AND ADAPTIVE DRIVING CONTROL"/>
    <x v="1315"/>
    <s v="09/13/2018"/>
    <x v="0"/>
    <s v=""/>
    <x v="1"/>
    <x v="1"/>
    <x v="384"/>
    <x v="382"/>
    <x v="0"/>
  </r>
  <r>
    <x v="2162"/>
    <x v="420"/>
    <x v="263"/>
    <s v="ECO-CRUISE CONTROL FOR CONNECTED AND AUTOMATED VEHICLES (CAVs)"/>
    <x v="1316"/>
    <s v="04/10/2019"/>
    <x v="0"/>
    <s v=""/>
    <x v="1"/>
    <x v="1"/>
    <x v="384"/>
    <x v="382"/>
    <x v="0"/>
  </r>
  <r>
    <x v="2163"/>
    <x v="420"/>
    <x v="263"/>
    <s v="INFORICH DCO-AUTONOUS DRIVING (IREAD) SYSTEM ARCHITECTURE"/>
    <x v="1"/>
    <s v=""/>
    <x v="0"/>
    <s v=""/>
    <x v="1"/>
    <x v="1"/>
    <x v="384"/>
    <x v="382"/>
    <x v="0"/>
  </r>
  <r>
    <x v="2164"/>
    <x v="420"/>
    <x v="263"/>
    <s v="TEMPORARY DOOR-LOCK CONTROL FOR SAFETY"/>
    <x v="1"/>
    <s v=""/>
    <x v="0"/>
    <s v=""/>
    <x v="1"/>
    <x v="1"/>
    <x v="384"/>
    <x v="382"/>
    <x v="0"/>
  </r>
  <r>
    <x v="2165"/>
    <x v="420"/>
    <x v="263"/>
    <s v="ROBUST 2-STAGE ECO-APPROACH WITH REAL-TIME VEHICLE COAST DOWN SPEED PREDICTION"/>
    <x v="1"/>
    <s v=""/>
    <x v="0"/>
    <s v=""/>
    <x v="1"/>
    <x v="1"/>
    <x v="384"/>
    <x v="382"/>
    <x v="0"/>
  </r>
  <r>
    <x v="2166"/>
    <x v="421"/>
    <x v="64"/>
    <s v="SYSYEM AND METHODS TO IMPROVE PLUG-IN HYBRID ELECTRIC VEHICLE ENERGY PERFORMANCE BY USING V2C CONNECTIVITY"/>
    <x v="1"/>
    <s v=""/>
    <x v="0"/>
    <s v=""/>
    <x v="1"/>
    <x v="1"/>
    <x v="385"/>
    <x v="383"/>
    <x v="0"/>
  </r>
  <r>
    <x v="2167"/>
    <x v="422"/>
    <x v="264"/>
    <s v="A CONTROL ARCHITECTURE FOR PREDICTIVE AND OPTIMAL VEHICLE OPERATIONS IN SINGLE VEHICLE OR PLATOONING ENVIRONMENT"/>
    <x v="1317"/>
    <s v="10/31/2017"/>
    <x v="0"/>
    <s v=""/>
    <x v="1"/>
    <x v="1"/>
    <x v="386"/>
    <x v="384"/>
    <x v="0"/>
  </r>
  <r>
    <x v="2168"/>
    <x v="422"/>
    <x v="280"/>
    <s v="INTELLIGENT ADAPTIVE CRUISE CONTROL FOR PLATOONING"/>
    <x v="1318"/>
    <s v="04/04/2018"/>
    <x v="0"/>
    <s v=""/>
    <x v="1"/>
    <x v="1"/>
    <x v="386"/>
    <x v="384"/>
    <x v="0"/>
  </r>
  <r>
    <x v="2169"/>
    <x v="422"/>
    <x v="280"/>
    <s v="ENGINE POWER SHAPING BASED ON PLATOONS AND SURROUNDING VEHICLES"/>
    <x v="1319"/>
    <s v="03/30/2018"/>
    <x v="0"/>
    <s v=""/>
    <x v="1"/>
    <x v="1"/>
    <x v="386"/>
    <x v="384"/>
    <x v="0"/>
  </r>
  <r>
    <x v="2170"/>
    <x v="422"/>
    <x v="281"/>
    <s v="NEUTRAL COASTING OR INTELLIGENT COASTING MANAGEMENT (ICM) FOR FOLLOWING VEHICLES"/>
    <x v="1320"/>
    <s v="08/08/2019"/>
    <x v="0"/>
    <s v=""/>
    <x v="1"/>
    <x v="1"/>
    <x v="386"/>
    <x v="384"/>
    <x v="0"/>
  </r>
  <r>
    <x v="2171"/>
    <x v="422"/>
    <x v="281"/>
    <s v="ORDERING OF VEHICLES IN A PLATOON BASED ON POWERTRAIN TYPE"/>
    <x v="1"/>
    <s v=""/>
    <x v="0"/>
    <s v=""/>
    <x v="1"/>
    <x v="1"/>
    <x v="386"/>
    <x v="384"/>
    <x v="0"/>
  </r>
  <r>
    <x v="2172"/>
    <x v="422"/>
    <x v="281"/>
    <s v="MACHINE LEARNING TRAINING APPROACH FOR INCORPORATING DP CONTROL STRATEGY FOR FUEL ECONOMY"/>
    <x v="1"/>
    <s v=""/>
    <x v="0"/>
    <s v=""/>
    <x v="1"/>
    <x v="1"/>
    <x v="386"/>
    <x v="384"/>
    <x v="0"/>
  </r>
  <r>
    <x v="2173"/>
    <x v="422"/>
    <x v="281"/>
    <s v="SYSTEMS AND METHODS FOR DYNAMIC VEHICLE SPEED CONTROL ON DOWNHILLS TO IMPROVE DRIVEABILITY"/>
    <x v="1"/>
    <s v=""/>
    <x v="0"/>
    <s v=""/>
    <x v="1"/>
    <x v="1"/>
    <x v="386"/>
    <x v="384"/>
    <x v="0"/>
  </r>
  <r>
    <x v="2174"/>
    <x v="422"/>
    <x v="280"/>
    <s v="ENGINE CALIBRATION BASED ON VEHICLE LOSS AND MISSION CHARACTERISTICS "/>
    <x v="1"/>
    <s v=""/>
    <x v="0"/>
    <s v=""/>
    <x v="1"/>
    <x v="1"/>
    <x v="386"/>
    <x v="384"/>
    <x v="0"/>
  </r>
  <r>
    <x v="2175"/>
    <x v="423"/>
    <x v="14"/>
    <s v="METHODS TO REDUCE COMPUTATION TIME OF DYNAMIC PROGRAMMING"/>
    <x v="1"/>
    <s v=""/>
    <x v="0"/>
    <s v=""/>
    <x v="1"/>
    <x v="1"/>
    <x v="387"/>
    <x v="385"/>
    <x v="0"/>
  </r>
  <r>
    <x v="2176"/>
    <x v="423"/>
    <x v="14"/>
    <s v="METHODS TFOR VEHICLE DYNAMICS, AND POWERTRAIN CONTROL USING MULTIPLE HORIZON OPTIMIZATION"/>
    <x v="1"/>
    <s v=""/>
    <x v="0"/>
    <s v=""/>
    <x v="1"/>
    <x v="1"/>
    <x v="387"/>
    <x v="385"/>
    <x v="0"/>
  </r>
  <r>
    <x v="2177"/>
    <x v="423"/>
    <x v="14"/>
    <s v="COMPREHENSIVE HARDWARE-TRAFFIC-V2V&amp;CV2I COMMUNICATION-VEHICLE-IN THE LOOP AND VEHICLE INVIRTUAL PLATOON"/>
    <x v="1"/>
    <s v=""/>
    <x v="0"/>
    <s v=""/>
    <x v="1"/>
    <x v="1"/>
    <x v="387"/>
    <x v="385"/>
    <x v="0"/>
  </r>
  <r>
    <x v="2178"/>
    <x v="423"/>
    <x v="14"/>
    <s v="INTELLIGENT DRIVING: TORQUE SPLIT ARBTRATION LOGIC"/>
    <x v="1"/>
    <s v=""/>
    <x v="0"/>
    <s v=""/>
    <x v="1"/>
    <x v="1"/>
    <x v="387"/>
    <x v="385"/>
    <x v="0"/>
  </r>
  <r>
    <x v="2179"/>
    <x v="423"/>
    <x v="14"/>
    <s v="INTERFACE FOR OPTIMIZING AUTOMOTIVE PROPULSION SYSTEM OPERATION"/>
    <x v="1"/>
    <s v=""/>
    <x v="0"/>
    <s v=""/>
    <x v="1"/>
    <x v="1"/>
    <x v="387"/>
    <x v="385"/>
    <x v="0"/>
  </r>
  <r>
    <x v="2180"/>
    <x v="423"/>
    <x v="14"/>
    <s v="INTELLIGENT DRIVING DRIVER AIDS TO REDUCE VEHICLE FUEL CONSUMPTION"/>
    <x v="1"/>
    <s v=""/>
    <x v="0"/>
    <s v=""/>
    <x v="1"/>
    <x v="1"/>
    <x v="387"/>
    <x v="385"/>
    <x v="0"/>
  </r>
  <r>
    <x v="2181"/>
    <x v="424"/>
    <x v="115"/>
    <s v="A DEEP REINFORCEMENT LEARNING FRAMEWORK FOR ENERGY MANAGEMENT OF RANGE-EXTENDED HYBRID ELECTRIC"/>
    <x v="1"/>
    <s v=""/>
    <x v="0"/>
    <s v=""/>
    <x v="1"/>
    <x v="1"/>
    <x v="388"/>
    <x v="386"/>
    <x v="0"/>
  </r>
  <r>
    <x v="2182"/>
    <x v="424"/>
    <x v="115"/>
    <s v="DATA-INFORMED ENERGY MANAGEMENT STRATEGY FOR CHARGE PREDICTION IN BATTERY ELECTRIC VEHICLES"/>
    <x v="1"/>
    <s v=""/>
    <x v="0"/>
    <s v=""/>
    <x v="1"/>
    <x v="1"/>
    <x v="388"/>
    <x v="386"/>
    <x v="0"/>
  </r>
  <r>
    <x v="1459"/>
    <x v="425"/>
    <x v="92"/>
    <s v="A SYSTEM FOR DECENTRALIZED TRAFFIC SYNCHRONIZATION USING KURAMTO FEEDBACK"/>
    <x v="1"/>
    <s v=""/>
    <x v="0"/>
    <s v=""/>
    <x v="1"/>
    <x v="1"/>
    <x v="157"/>
    <x v="160"/>
    <x v="0"/>
  </r>
  <r>
    <x v="2183"/>
    <x v="426"/>
    <x v="115"/>
    <s v="STABLE AMMONIA ABSORBENTS"/>
    <x v="1321"/>
    <s v="05/24/2018"/>
    <x v="0"/>
    <s v=""/>
    <x v="1"/>
    <x v="1"/>
    <x v="389"/>
    <x v="387"/>
    <x v="0"/>
  </r>
  <r>
    <x v="2184"/>
    <x v="426"/>
    <x v="115"/>
    <s v="STABLE AMMONIA ABSORBENTS"/>
    <x v="1322"/>
    <s v="11/02/2017"/>
    <x v="0"/>
    <s v=""/>
    <x v="1"/>
    <x v="1"/>
    <x v="389"/>
    <x v="387"/>
    <x v="0"/>
  </r>
  <r>
    <x v="2185"/>
    <x v="426"/>
    <x v="115"/>
    <s v="INTEGRATED APPARATUS FOR PRODUCING AMMONIA"/>
    <x v="1323"/>
    <s v="04/15/2019"/>
    <x v="0"/>
    <s v=""/>
    <x v="1"/>
    <x v="1"/>
    <x v="389"/>
    <x v="387"/>
    <x v="0"/>
  </r>
  <r>
    <x v="2186"/>
    <x v="427"/>
    <x v="138"/>
    <s v="HIGHLY EFFICIENT PRODUCTION OF HIGH PURITY METHANOL FROM CO2 HYDROGENATION USING NaA MEMBRANE REACTOR"/>
    <x v="1"/>
    <s v=""/>
    <x v="0"/>
    <s v=""/>
    <x v="1"/>
    <x v="1"/>
    <x v="138"/>
    <x v="388"/>
    <x v="0"/>
  </r>
  <r>
    <x v="2187"/>
    <x v="428"/>
    <x v="258"/>
    <s v="MICROWAVE CATALYTIC PROCESSING FOR AMONIA SYNTHESIS UNDER MILD CONDITIONS"/>
    <x v="1"/>
    <s v=""/>
    <x v="0"/>
    <s v=""/>
    <x v="1"/>
    <x v="1"/>
    <x v="390"/>
    <x v="389"/>
    <x v="0"/>
  </r>
  <r>
    <x v="2188"/>
    <x v="429"/>
    <x v="143"/>
    <s v="MEMBRANE REACTOR FOR HYDROGEN GENERATION FROM THERMAL CATALYTIC AMMONIA DECOMPOSITION"/>
    <x v="1"/>
    <s v=""/>
    <x v="0"/>
    <s v=""/>
    <x v="1"/>
    <x v="1"/>
    <x v="62"/>
    <x v="62"/>
    <x v="0"/>
  </r>
  <r>
    <x v="2189"/>
    <x v="429"/>
    <x v="144"/>
    <s v="A NOVEL COMPACT INTENSIVE AND MODULAR NH3 DECOMPOSITION DEVICE FOR HYDROGEN GENERATION"/>
    <x v="1"/>
    <s v=""/>
    <x v="0"/>
    <s v=""/>
    <x v="1"/>
    <x v="1"/>
    <x v="62"/>
    <x v="62"/>
    <x v="0"/>
  </r>
  <r>
    <x v="2190"/>
    <x v="430"/>
    <x v="18"/>
    <s v="IN SITU CONVERSION OF MOFS INTO MONO/BI-METALLIC OXIDE CATALYSTS WITHIN MESOPOROUS SUPPORTS VIA"/>
    <x v="1"/>
    <s v=""/>
    <x v="0"/>
    <s v=""/>
    <x v="1"/>
    <x v="1"/>
    <x v="391"/>
    <x v="390"/>
    <x v="0"/>
  </r>
  <r>
    <x v="2191"/>
    <x v="431"/>
    <x v="263"/>
    <s v="ELECTROCHEMICAL DEVICE COMPRISING THIN POROUS METAL SHEET"/>
    <x v="1324"/>
    <s v="04/30/2019"/>
    <x v="0"/>
    <s v=""/>
    <x v="1"/>
    <x v="1"/>
    <x v="392"/>
    <x v="391"/>
    <x v="0"/>
  </r>
  <r>
    <x v="2192"/>
    <x v="432"/>
    <x v="204"/>
    <s v="ELECTROLYZER SYSTEM AND METHOD OF USE"/>
    <x v="1"/>
    <s v=""/>
    <x v="0"/>
    <s v=""/>
    <x v="1"/>
    <x v="1"/>
    <x v="393"/>
    <x v="392"/>
    <x v="0"/>
  </r>
  <r>
    <x v="2193"/>
    <x v="432"/>
    <x v="204"/>
    <s v="ELECTROLYZER SYSTEM AND METHOD OF USE"/>
    <x v="1"/>
    <s v=""/>
    <x v="0"/>
    <s v=""/>
    <x v="1"/>
    <x v="1"/>
    <x v="393"/>
    <x v="392"/>
    <x v="0"/>
  </r>
  <r>
    <x v="2194"/>
    <x v="432"/>
    <x v="204"/>
    <s v="ELECTROLYZER SYSTEM AND METHOD OF USE"/>
    <x v="1"/>
    <s v=""/>
    <x v="0"/>
    <s v=""/>
    <x v="1"/>
    <x v="1"/>
    <x v="393"/>
    <x v="392"/>
    <x v="0"/>
  </r>
  <r>
    <x v="2195"/>
    <x v="433"/>
    <x v="7"/>
    <s v="SELF-CONTAINED, AUTOMTED, LONG-TERM SENSOR SYSTEM FOR MONITORING OF SOIL"/>
    <x v="1325"/>
    <s v="10/25/2018"/>
    <x v="0"/>
    <s v=""/>
    <x v="1"/>
    <x v="1"/>
    <x v="394"/>
    <x v="393"/>
    <x v="0"/>
  </r>
  <r>
    <x v="2196"/>
    <x v="433"/>
    <x v="7"/>
    <s v="PROCESSING OF HIGH QUALITY NITRIDE GLASSES CONTAINING HIGH AMOUNTS OF NITROGEN"/>
    <x v="1326"/>
    <s v="03/15/2019"/>
    <x v="0"/>
    <s v=""/>
    <x v="1"/>
    <x v="1"/>
    <x v="394"/>
    <x v="393"/>
    <x v="0"/>
  </r>
  <r>
    <x v="2197"/>
    <x v="434"/>
    <x v="68"/>
    <s v="IAUTOMATED CROP ROOT SAMPLING METHOD FOR FIELD BASED RESEARCH PLOTS"/>
    <x v="1"/>
    <s v=""/>
    <x v="0"/>
    <s v=""/>
    <x v="1"/>
    <x v="1"/>
    <x v="395"/>
    <x v="394"/>
    <x v="0"/>
  </r>
  <r>
    <x v="2198"/>
    <x v="434"/>
    <x v="68"/>
    <s v="INTERFEROMETRIC DOPPLER RAMAN"/>
    <x v="1"/>
    <s v=""/>
    <x v="0"/>
    <s v=""/>
    <x v="1"/>
    <x v="1"/>
    <x v="395"/>
    <x v="394"/>
    <x v="0"/>
  </r>
  <r>
    <x v="2199"/>
    <x v="435"/>
    <x v="231"/>
    <s v="FLEXIBLE CURVED REFLECTOR ELEMENTS"/>
    <x v="1"/>
    <s v=""/>
    <x v="0"/>
    <s v=""/>
    <x v="1"/>
    <x v="1"/>
    <x v="396"/>
    <x v="395"/>
    <x v="0"/>
  </r>
  <r>
    <x v="2200"/>
    <x v="436"/>
    <x v="156"/>
    <s v="SPARSE CAPACITIVE LINK UNIVERSAL CONVERTERS AND A NOVEL CONTROL METHOD FOR CAPACITIVE LINK UNIVERSAL CONVERTERS"/>
    <x v="1327"/>
    <s v="05/18/2017"/>
    <x v="0"/>
    <s v=""/>
    <x v="1"/>
    <x v="1"/>
    <x v="397"/>
    <x v="396"/>
    <x v="0"/>
  </r>
  <r>
    <x v="2201"/>
    <x v="436"/>
    <x v="156"/>
    <s v="SPARSE CAPACITIVE LINK UNIVERSAL CONVERTERS AND A NOVEL CONTROL METHOD FOR CAPACITIVE LINK UNIVERSAL CONVERTERS"/>
    <x v="1328"/>
    <s v="10/16/2015"/>
    <x v="0"/>
    <s v=""/>
    <x v="1"/>
    <x v="1"/>
    <x v="397"/>
    <x v="396"/>
    <x v="0"/>
  </r>
  <r>
    <x v="2202"/>
    <x v="436"/>
    <x v="156"/>
    <s v="SPARSE CAPACITIVE LINK UNIVERSAL CONVERTERS AND A NOVEL CONTROL METHOD FOR CAPACITIVE LINK UNIVERSAL CONVERTERS"/>
    <x v="1"/>
    <s v=""/>
    <x v="0"/>
    <s v=""/>
    <x v="1"/>
    <x v="1"/>
    <x v="397"/>
    <x v="396"/>
    <x v="0"/>
  </r>
  <r>
    <x v="2203"/>
    <x v="437"/>
    <x v="159"/>
    <s v="ITERATIVE sHOOTING FOR OPTIONAL CONTROL OF ENERGY STORAGE IN A VEHICLE WITH MULTIPLE POWER SOURCES"/>
    <x v="1329"/>
    <s v="06/26/2018"/>
    <x v="0"/>
    <s v=""/>
    <x v="1"/>
    <x v="1"/>
    <x v="398"/>
    <x v="397"/>
    <x v="0"/>
  </r>
  <r>
    <x v="2204"/>
    <x v="438"/>
    <x v="40"/>
    <s v="TUNABLE OPTICAL FREQUENCY COMB GENERATOR IN MICRORESONATORS"/>
    <x v="1330"/>
    <s v="02/12/2019"/>
    <x v="0"/>
    <s v=""/>
    <x v="1"/>
    <x v="1"/>
    <x v="399"/>
    <x v="398"/>
    <x v="0"/>
  </r>
  <r>
    <x v="2205"/>
    <x v="438"/>
    <x v="40"/>
    <s v="SELF-INJECTION LOCKING OF FABRY-PEROT LASERS WITH SILICON BASED RESONATORS FOR HIGH POWER NARROW LINEWIDTH ON "/>
    <x v="1"/>
    <s v=""/>
    <x v="0"/>
    <s v=""/>
    <x v="1"/>
    <x v="1"/>
    <x v="399"/>
    <x v="398"/>
    <x v="0"/>
  </r>
  <r>
    <x v="2206"/>
    <x v="438"/>
    <x v="40"/>
    <s v="RECONFIGURABLE WAVELENGTH-SELECTIVE MACH - ZEHNDER SWITCH"/>
    <x v="1"/>
    <s v=""/>
    <x v="0"/>
    <s v=""/>
    <x v="1"/>
    <x v="1"/>
    <x v="399"/>
    <x v="398"/>
    <x v="0"/>
  </r>
  <r>
    <x v="2207"/>
    <x v="439"/>
    <x v="68"/>
    <s v="DC-COUPLED OPTICAL BURST-MODE RECEIVER"/>
    <x v="1331"/>
    <s v="04/21/2018"/>
    <x v="0"/>
    <s v=""/>
    <x v="1"/>
    <x v="1"/>
    <x v="400"/>
    <x v="399"/>
    <x v="0"/>
  </r>
  <r>
    <x v="2208"/>
    <x v="440"/>
    <x v="37"/>
    <s v="INTEGRATED FREEFORM  OPTICAL COUPLERS "/>
    <x v="1332"/>
    <s v="01/15/2019"/>
    <x v="0"/>
    <s v=""/>
    <x v="1"/>
    <x v="1"/>
    <x v="401"/>
    <x v="400"/>
    <x v="0"/>
  </r>
  <r>
    <x v="2209"/>
    <x v="440"/>
    <x v="37"/>
    <s v="FIBER-TO-CHIP OPTICAL COUPLERTS AND THEIR FABRICATION"/>
    <x v="1"/>
    <s v=""/>
    <x v="317"/>
    <s v="10/06/2015"/>
    <x v="1"/>
    <x v="1"/>
    <x v="401"/>
    <x v="400"/>
    <x v="0"/>
  </r>
  <r>
    <x v="2210"/>
    <x v="441"/>
    <x v="196"/>
    <s v="A METHOD FOR UNIVERSAL TWO-TAP FEED-FORWARD EQUALIZATION USING A DIFFERENTIAL ELEMENT"/>
    <x v="1"/>
    <s v=""/>
    <x v="0"/>
    <s v=""/>
    <x v="1"/>
    <x v="1"/>
    <x v="402"/>
    <x v="401"/>
    <x v="0"/>
  </r>
  <r>
    <x v="2211"/>
    <x v="441"/>
    <x v="55"/>
    <s v="SEGMENTED MODULATORS WITH SEGMENTS OF DIFFERING PROPERTIES"/>
    <x v="1"/>
    <s v=""/>
    <x v="0"/>
    <s v=""/>
    <x v="1"/>
    <x v="1"/>
    <x v="402"/>
    <x v="401"/>
    <x v="0"/>
  </r>
  <r>
    <x v="2212"/>
    <x v="442"/>
    <x v="64"/>
    <s v="WAVELENGTH DIVISION MULTIPLEXER BASED ON CASCADES BEAM SPLITTERS"/>
    <x v="1333"/>
    <s v="10/24/2018"/>
    <x v="0"/>
    <s v=""/>
    <x v="1"/>
    <x v="1"/>
    <x v="403"/>
    <x v="402"/>
    <x v="0"/>
  </r>
  <r>
    <x v="2213"/>
    <x v="442"/>
    <x v="64"/>
    <s v="LITHOGRAPHICALLY PATTERNED MOE SIZE CONVERTERS AND ARRAYS "/>
    <x v="1"/>
    <s v=""/>
    <x v="0"/>
    <s v=""/>
    <x v="1"/>
    <x v="1"/>
    <x v="403"/>
    <x v="402"/>
    <x v="0"/>
  </r>
  <r>
    <x v="2214"/>
    <x v="443"/>
    <x v="64"/>
    <s v="FIBER ATTACH ENABLED WAFER LEVEL FANOUT"/>
    <x v="1334"/>
    <s v="11/16/2018"/>
    <x v="0"/>
    <s v=""/>
    <x v="1"/>
    <x v="1"/>
    <x v="404"/>
    <x v="403"/>
    <x v="0"/>
  </r>
  <r>
    <x v="2215"/>
    <x v="443"/>
    <x v="64"/>
    <s v="WAFER- LEVEL HANDLE REPLACEMENT"/>
    <x v="1335"/>
    <s v="07/16/2019"/>
    <x v="0"/>
    <s v=""/>
    <x v="1"/>
    <x v="1"/>
    <x v="404"/>
    <x v="403"/>
    <x v="0"/>
  </r>
  <r>
    <x v="2216"/>
    <x v="444"/>
    <x v="102"/>
    <s v="BRACHING HEAT EXCHANGERS"/>
    <x v="1"/>
    <s v=""/>
    <x v="0"/>
    <s v=""/>
    <x v="1"/>
    <x v="1"/>
    <x v="405"/>
    <x v="404"/>
    <x v="0"/>
  </r>
  <r>
    <x v="2217"/>
    <x v="444"/>
    <x v="102"/>
    <s v="TOPOLOGY OPTIMIZED BRACHING HEAT EXCHANGERS"/>
    <x v="1"/>
    <s v=""/>
    <x v="0"/>
    <s v=""/>
    <x v="1"/>
    <x v="1"/>
    <x v="405"/>
    <x v="404"/>
    <x v="0"/>
  </r>
  <r>
    <x v="2218"/>
    <x v="444"/>
    <x v="102"/>
    <s v="ADAPTVE MESH REFINEMENT AND ABSTRACTION FOR MATERIAL ASSIGNMENT ON MESHES USING SATISFIABILITY THEORY"/>
    <x v="1"/>
    <s v=""/>
    <x v="0"/>
    <s v=""/>
    <x v="1"/>
    <x v="1"/>
    <x v="405"/>
    <x v="404"/>
    <x v="0"/>
  </r>
  <r>
    <x v="2219"/>
    <x v="444"/>
    <x v="102"/>
    <s v="USER-GUIDED SKETCHING OF PARTIAL SOLUTIONS FOR MATERIAL ASSIGNMENT ON MESHES USING SATISFIABILITY THEORY"/>
    <x v="1"/>
    <s v=""/>
    <x v="0"/>
    <s v=""/>
    <x v="1"/>
    <x v="1"/>
    <x v="405"/>
    <x v="404"/>
    <x v="0"/>
  </r>
  <r>
    <x v="2220"/>
    <x v="444"/>
    <x v="102"/>
    <s v="TWO FLUIDS-COUPLED HEAT TRANSFER TOPOLOGY OPTIMIZATION METHODOLOGY"/>
    <x v="1"/>
    <s v=""/>
    <x v="0"/>
    <s v=""/>
    <x v="1"/>
    <x v="1"/>
    <x v="405"/>
    <x v="404"/>
    <x v="0"/>
  </r>
  <r>
    <x v="2221"/>
    <x v="445"/>
    <x v="83"/>
    <s v="SYSTEMS AND METHODS FOR EVALUATING ELECTROLYTE WETTING AND DISTRIBUTION"/>
    <x v="1336"/>
    <s v="03/21/2019"/>
    <x v="0"/>
    <s v=""/>
    <x v="1"/>
    <x v="1"/>
    <x v="406"/>
    <x v="405"/>
    <x v="0"/>
  </r>
  <r>
    <x v="2222"/>
    <x v="446"/>
    <x v="9"/>
    <s v="Ga203 PASSIVATION FOR GaN REGROWTH TO REDUCE CONTAMINATION EFFECTS"/>
    <x v="1"/>
    <s v=""/>
    <x v="0"/>
    <s v=""/>
    <x v="1"/>
    <x v="1"/>
    <x v="407"/>
    <x v="406"/>
    <x v="0"/>
  </r>
  <r>
    <x v="2223"/>
    <x v="446"/>
    <x v="9"/>
    <s v="LOW-LEAKAGE REGROWN GaN p - n JUNCTIONS FOR GaN POWER DEVICES"/>
    <x v="1"/>
    <s v=""/>
    <x v="0"/>
    <s v=""/>
    <x v="1"/>
    <x v="1"/>
    <x v="407"/>
    <x v="406"/>
    <x v="0"/>
  </r>
  <r>
    <x v="2224"/>
    <x v="446"/>
    <x v="9"/>
    <s v="HIGH TEMPERATURE GAILLIUM NITRIDE MEMORY DEVICES"/>
    <x v="1"/>
    <s v=""/>
    <x v="0"/>
    <s v=""/>
    <x v="1"/>
    <x v="1"/>
    <x v="407"/>
    <x v="406"/>
    <x v="0"/>
  </r>
  <r>
    <x v="2225"/>
    <x v="446"/>
    <x v="9"/>
    <s v="PLASMA-BASED EDGETERMINATIONS FOR GALLIUM NITRIDE POWER DEVICES"/>
    <x v="1"/>
    <s v=""/>
    <x v="0"/>
    <s v=""/>
    <x v="1"/>
    <x v="1"/>
    <x v="407"/>
    <x v="406"/>
    <x v="0"/>
  </r>
  <r>
    <x v="2226"/>
    <x v="446"/>
    <x v="9"/>
    <s v="THICK BUFFER LAYER DESIGN FOR GaN POWER DEVICES GROWN ON BULK GaN SUBSTRATES"/>
    <x v="1"/>
    <s v=""/>
    <x v="0"/>
    <s v=""/>
    <x v="1"/>
    <x v="1"/>
    <x v="407"/>
    <x v="406"/>
    <x v="0"/>
  </r>
  <r>
    <x v="2227"/>
    <x v="446"/>
    <x v="9"/>
    <s v="STEEP SLOPE TRANSISTORS WITH THRESHOLD SWITCHING DEVICES"/>
    <x v="1"/>
    <s v=""/>
    <x v="0"/>
    <s v=""/>
    <x v="1"/>
    <x v="1"/>
    <x v="407"/>
    <x v="406"/>
    <x v="0"/>
  </r>
  <r>
    <x v="2228"/>
    <x v="446"/>
    <x v="9"/>
    <s v="GAN BASED THRESHOLD SWITCHING DEVICE AND MEMORY DIODE"/>
    <x v="1"/>
    <s v=""/>
    <x v="0"/>
    <s v=""/>
    <x v="1"/>
    <x v="1"/>
    <x v="407"/>
    <x v="406"/>
    <x v="0"/>
  </r>
  <r>
    <x v="2229"/>
    <x v="447"/>
    <x v="282"/>
    <s v="REMOVING OR PREVENTING DRY ETCH-INDUCED DAMAGE IN AL/IN/GAN FILMS BY PHOTOEOECTROCHEMICAL ETCHING"/>
    <x v="1"/>
    <s v=""/>
    <x v="0"/>
    <s v=""/>
    <x v="1"/>
    <x v="1"/>
    <x v="62"/>
    <x v="62"/>
    <x v="0"/>
  </r>
  <r>
    <x v="2230"/>
    <x v="448"/>
    <x v="283"/>
    <s v="IN-SITU ETCHING OF GAN FOR REGROWTH SELECTIVE AREA GROWTH AND DOPING"/>
    <x v="1"/>
    <s v=""/>
    <x v="0"/>
    <s v=""/>
    <x v="1"/>
    <x v="1"/>
    <x v="408"/>
    <x v="407"/>
    <x v="0"/>
  </r>
  <r>
    <x v="2231"/>
    <x v="448"/>
    <x v="283"/>
    <s v="ORGANOMETALLIC VAPOR PHASE EPITAXY (OMVPE) OF GAN AT HIGH GROWTH RATES"/>
    <x v="1"/>
    <s v=""/>
    <x v="0"/>
    <s v=""/>
    <x v="1"/>
    <x v="1"/>
    <x v="408"/>
    <x v="407"/>
    <x v="0"/>
  </r>
  <r>
    <x v="2232"/>
    <x v="449"/>
    <x v="44"/>
    <s v="LOW DEFECT HIGH QUALITY NUCLEAR TRANSMUTATION DOPING IN GaN"/>
    <x v="1"/>
    <s v=""/>
    <x v="0"/>
    <s v=""/>
    <x v="1"/>
    <x v="1"/>
    <x v="409"/>
    <x v="408"/>
    <x v="0"/>
  </r>
  <r>
    <x v="2233"/>
    <x v="450"/>
    <x v="260"/>
    <s v="METHODS FOR FORMING ARYL CARBON-NITROGEN BONDS USING LIGHT AND PHOTGOREACTORS USEFUL FOR CONDUCTING SUCH REACTIONS"/>
    <x v="1337"/>
    <s v="05/06/2019"/>
    <x v="0"/>
    <s v=""/>
    <x v="1"/>
    <x v="1"/>
    <x v="349"/>
    <x v="348"/>
    <x v="0"/>
  </r>
  <r>
    <x v="2234"/>
    <x v="450"/>
    <x v="260"/>
    <s v="SELF-ASSEMBLING PHOTONIC CRYSTALS WITH PIGMENT OR DYE ADDITIVES"/>
    <x v="1"/>
    <s v=""/>
    <x v="0"/>
    <s v=""/>
    <x v="1"/>
    <x v="1"/>
    <x v="349"/>
    <x v="348"/>
    <x v="0"/>
  </r>
  <r>
    <x v="2235"/>
    <x v="450"/>
    <x v="260"/>
    <s v="NICKEL-CATA;YZED C-N CROSS-COUPLING VIA DRECT PHOTOEXCITATION OF NICKEL-AMINE COMPLEXES"/>
    <x v="1"/>
    <s v=""/>
    <x v="0"/>
    <s v=""/>
    <x v="1"/>
    <x v="1"/>
    <x v="349"/>
    <x v="348"/>
    <x v="0"/>
  </r>
  <r>
    <x v="2236"/>
    <x v="450"/>
    <x v="260"/>
    <s v="PHASE CHANGE MATERIAL WITH TUNABLE PHASE CHANGE TEMPERATURE"/>
    <x v="1"/>
    <s v=""/>
    <x v="0"/>
    <s v=""/>
    <x v="1"/>
    <x v="1"/>
    <x v="349"/>
    <x v="348"/>
    <x v="0"/>
  </r>
  <r>
    <x v="2237"/>
    <x v="450"/>
    <x v="260"/>
    <s v="GROUP TRANSFER POLYMERIZATION OF ACRYLATES AND METRHACRYLATES INITIATED FROM NORBORNENE"/>
    <x v="1"/>
    <s v=""/>
    <x v="0"/>
    <s v=""/>
    <x v="1"/>
    <x v="1"/>
    <x v="349"/>
    <x v="348"/>
    <x v="0"/>
  </r>
  <r>
    <x v="2238"/>
    <x v="451"/>
    <x v="24"/>
    <s v="3D PRINTING OF METAL-CONTAINING STRUCTURES VIA PHOTOLITHOGRAPHY FROM A METAL -CONTAINING AQUEOUS PHOTORESIN"/>
    <x v="1"/>
    <s v=""/>
    <x v="0"/>
    <s v=""/>
    <x v="1"/>
    <x v="1"/>
    <x v="410"/>
    <x v="409"/>
    <x v="0"/>
  </r>
  <r>
    <x v="2239"/>
    <x v="452"/>
    <x v="284"/>
    <s v="SYSTEM METHOD AND COMPUTER ACCESSIBLE MEDIUM FOR REMOTE SENSING OF THE ELECTRICAL"/>
    <x v="1338"/>
    <s v="09/25/2018"/>
    <x v="0"/>
    <s v=""/>
    <x v="1"/>
    <x v="1"/>
    <x v="411"/>
    <x v="410"/>
    <x v="0"/>
  </r>
  <r>
    <x v="2240"/>
    <x v="453"/>
    <x v="145"/>
    <s v="LIGANDS FOR ONE-STEP PROCESSING OF PEROVSKITE INKS WITHOUT ANTI-SOLVENTS AND A RAPID-SCREENING METHOD FOR IDENTIFYING CANDIDATE"/>
    <x v="1339"/>
    <s v="03/06/2019"/>
    <x v="0"/>
    <s v=""/>
    <x v="1"/>
    <x v="1"/>
    <x v="412"/>
    <x v="411"/>
    <x v="0"/>
  </r>
  <r>
    <x v="2241"/>
    <x v="454"/>
    <x v="102"/>
    <s v="HIGH COMPACTNESS THREE DIMENSIONAL THERMAL MANAGEMENT AND PACKAGING FOR POWER ELECTRONICS DEVICES"/>
    <x v="1"/>
    <s v=""/>
    <x v="0"/>
    <s v=""/>
    <x v="1"/>
    <x v="1"/>
    <x v="413"/>
    <x v="412"/>
    <x v="0"/>
  </r>
  <r>
    <x v="2242"/>
    <x v="455"/>
    <x v="285"/>
    <s v="INTELLIGENT TRI-MODE SOLID STATE CIRCUIT BREAKERS"/>
    <x v="1340"/>
    <s v="06/22/2018"/>
    <x v="0"/>
    <s v=""/>
    <x v="1"/>
    <x v="1"/>
    <x v="414"/>
    <x v="413"/>
    <x v="0"/>
  </r>
  <r>
    <x v="2243"/>
    <x v="456"/>
    <x v="102"/>
    <s v="MODEL PREDICTIVE CONTROL OF MULTI-PHASE AC CONVERTERS IN CURRENT CONTROL MODE OF OPERATION"/>
    <x v="1"/>
    <s v=""/>
    <x v="0"/>
    <s v=""/>
    <x v="1"/>
    <x v="1"/>
    <x v="415"/>
    <x v="414"/>
    <x v="0"/>
  </r>
  <r>
    <x v="2244"/>
    <x v="456"/>
    <x v="102"/>
    <s v="CONTROL OF AMPLITUDE AND POSITION OF OUTPUT VOLTAGE OF A MATRIX CONVERTER IN GRID FORMING AND GRID FOLLOWING"/>
    <x v="1"/>
    <s v=""/>
    <x v="0"/>
    <s v=""/>
    <x v="1"/>
    <x v="1"/>
    <x v="415"/>
    <x v="414"/>
    <x v="0"/>
  </r>
  <r>
    <x v="2245"/>
    <x v="457"/>
    <x v="187"/>
    <s v="CURRENT SOURCE INVERTER WITH BIDIRECTIONAL SWITCHES BACKGROUND"/>
    <x v="1341"/>
    <s v="03/15/2019"/>
    <x v="0"/>
    <s v=""/>
    <x v="1"/>
    <x v="1"/>
    <x v="416"/>
    <x v="415"/>
    <x v="0"/>
  </r>
  <r>
    <x v="2246"/>
    <x v="458"/>
    <x v="151"/>
    <s v="WIRELESS POWER TRANSFER APPARATUS"/>
    <x v="1"/>
    <s v=""/>
    <x v="0"/>
    <s v=""/>
    <x v="1"/>
    <x v="1"/>
    <x v="417"/>
    <x v="416"/>
    <x v="0"/>
  </r>
  <r>
    <x v="2247"/>
    <x v="458"/>
    <x v="51"/>
    <s v="TRANSFORMER DESIGNS FOR VERY HIGH ISOLATION WITH HIGH COUPLING"/>
    <x v="1"/>
    <s v=""/>
    <x v="0"/>
    <s v=""/>
    <x v="1"/>
    <x v="1"/>
    <x v="417"/>
    <x v="416"/>
    <x v="0"/>
  </r>
  <r>
    <x v="2248"/>
    <x v="459"/>
    <x v="68"/>
    <s v="COMPOSITE DC-DC CONVERTER"/>
    <x v="1342"/>
    <s v="08/16/2019"/>
    <x v="0"/>
    <s v=""/>
    <x v="1"/>
    <x v="1"/>
    <x v="418"/>
    <x v="417"/>
    <x v="0"/>
  </r>
  <r>
    <x v="2249"/>
    <x v="459"/>
    <x v="68"/>
    <s v="COMPOSITE DC-DC CONVERTER"/>
    <x v="1"/>
    <s v=""/>
    <x v="0"/>
    <s v=""/>
    <x v="1"/>
    <x v="1"/>
    <x v="418"/>
    <x v="417"/>
    <x v="0"/>
  </r>
  <r>
    <x v="2250"/>
    <x v="460"/>
    <x v="181"/>
    <s v="POWER CONVERTERS INTERFACING WITH MULTIPLE SERIES STACKED VOLTAGE DOMAINS"/>
    <x v="1"/>
    <s v=""/>
    <x v="0"/>
    <s v=""/>
    <x v="1"/>
    <x v="1"/>
    <x v="419"/>
    <x v="418"/>
    <x v="0"/>
  </r>
  <r>
    <x v="2251"/>
    <x v="461"/>
    <x v="286"/>
    <s v="ATTACHING SEAWEED TO A LINE"/>
    <x v="1"/>
    <s v=""/>
    <x v="0"/>
    <s v=""/>
    <x v="1"/>
    <x v="1"/>
    <x v="420"/>
    <x v="419"/>
    <x v="0"/>
  </r>
  <r>
    <x v="2252"/>
    <x v="462"/>
    <x v="96"/>
    <s v=" FISH PEN ARRAY AND MOORING"/>
    <x v="1"/>
    <s v=""/>
    <x v="0"/>
    <s v=""/>
    <x v="1"/>
    <x v="1"/>
    <x v="421"/>
    <x v="420"/>
    <x v="0"/>
  </r>
  <r>
    <x v="2253"/>
    <x v="463"/>
    <x v="143"/>
    <s v="AMMONIA DECOMPOSITION CATALYST AND SYSTEM"/>
    <x v="1343"/>
    <s v="08/21/2018"/>
    <x v="0"/>
    <s v=""/>
    <x v="1"/>
    <x v="1"/>
    <x v="422"/>
    <x v="421"/>
    <x v="0"/>
  </r>
  <r>
    <x v="2254"/>
    <x v="463"/>
    <x v="143"/>
    <s v="AMMONIA DECOMPOSITION CATALYST SYSTEMS"/>
    <x v="1344"/>
    <s v="04/05/2019"/>
    <x v="0"/>
    <s v=""/>
    <x v="1"/>
    <x v="1"/>
    <x v="422"/>
    <x v="421"/>
    <x v="0"/>
  </r>
  <r>
    <x v="2255"/>
    <x v="463"/>
    <x v="144"/>
    <s v="DEVICES AND METHODS FOR HYDROGEN GENERATION VIA AMMONIA DECOMPOSITION"/>
    <x v="1"/>
    <s v=""/>
    <x v="0"/>
    <s v=""/>
    <x v="1"/>
    <x v="1"/>
    <x v="422"/>
    <x v="421"/>
    <x v="0"/>
  </r>
  <r>
    <x v="2256"/>
    <x v="464"/>
    <x v="138"/>
    <s v="PATIENT PROTECTION AND MONITORING SYSTEM"/>
    <x v="1345"/>
    <s v="03/28/2019"/>
    <x v="0"/>
    <s v=""/>
    <x v="1"/>
    <x v="1"/>
    <x v="423"/>
    <x v="422"/>
    <x v="0"/>
  </r>
  <r>
    <x v="2257"/>
    <x v="464"/>
    <x v="282"/>
    <s v="INTEGRATED BOUND MODE ANGULAR SENSORS"/>
    <x v="1346"/>
    <s v="03/15/2019"/>
    <x v="0"/>
    <s v=""/>
    <x v="1"/>
    <x v="1"/>
    <x v="423"/>
    <x v="422"/>
    <x v="0"/>
  </r>
  <r>
    <x v="2258"/>
    <x v="465"/>
    <x v="287"/>
    <s v="FUSION-BASED OCCUPANCY SENSING FOR BUILDING SYSTEMS"/>
    <x v="1347"/>
    <s v="05/23/2019"/>
    <x v="0"/>
    <s v=""/>
    <x v="1"/>
    <x v="1"/>
    <x v="424"/>
    <x v="423"/>
    <x v="0"/>
  </r>
  <r>
    <x v="2259"/>
    <x v="466"/>
    <x v="168"/>
    <s v="A SINGLE THERMOPILE POINT SENSOR APPARATUS WITH A SET OF CODING MASKS COMPRESSIVE SENSING MATRIX FOR INDOOR"/>
    <x v="1"/>
    <s v=""/>
    <x v="0"/>
    <s v=""/>
    <x v="1"/>
    <x v="1"/>
    <x v="285"/>
    <x v="424"/>
    <x v="0"/>
  </r>
  <r>
    <x v="2260"/>
    <x v="466"/>
    <x v="168"/>
    <s v="SHUTTERED PASSIVE IONFRARED SENSOR APPARATUS WITH A LOW POWER SHAPE MEMORY ALLOY DRIVING APPROACH FOR"/>
    <x v="1"/>
    <s v=""/>
    <x v="0"/>
    <s v=""/>
    <x v="1"/>
    <x v="1"/>
    <x v="285"/>
    <x v="424"/>
    <x v="0"/>
  </r>
  <r>
    <x v="2261"/>
    <x v="466"/>
    <x v="168"/>
    <s v="SHUTTERED PASSIVE IONFRARED SENSOR APPARATUS WITH A LOW POWER LAVET MOTOR DRIVING APPROACH FOR STATIONARY AND"/>
    <x v="1"/>
    <s v=""/>
    <x v="0"/>
    <s v=""/>
    <x v="1"/>
    <x v="1"/>
    <x v="285"/>
    <x v="424"/>
    <x v="0"/>
  </r>
  <r>
    <x v="2262"/>
    <x v="467"/>
    <x v="55"/>
    <s v="SECTIONED COMPACTION DEVICE TO PRODUCE LARGE PARTS OF LOW-BINDER-CONTENT COMPOSITES"/>
    <x v="1"/>
    <s v=""/>
    <x v="0"/>
    <s v=""/>
    <x v="1"/>
    <x v="1"/>
    <x v="219"/>
    <x v="220"/>
    <x v="0"/>
  </r>
  <r>
    <x v="2263"/>
    <x v="468"/>
    <x v="145"/>
    <s v="HYBRID SOLAR SYSTEM"/>
    <x v="1"/>
    <s v=""/>
    <x v="0"/>
    <s v=""/>
    <x v="1"/>
    <x v="1"/>
    <x v="425"/>
    <x v="425"/>
    <x v="0"/>
  </r>
  <r>
    <x v="2264"/>
    <x v="469"/>
    <x v="277"/>
    <s v="REINFORCED ELECTROLYZER MEMBRANES FROM POLYMERS CARRYING PENDANT A;;YLVIMIDAZOLE"/>
    <x v="1"/>
    <s v=""/>
    <x v="0"/>
    <s v=""/>
    <x v="1"/>
    <x v="1"/>
    <x v="426"/>
    <x v="426"/>
    <x v="0"/>
  </r>
  <r>
    <x v="2265"/>
    <x v="469"/>
    <x v="277"/>
    <s v="HYDROCARBON POLYMERS CONTAINING AMONIUM FUNCTIONALITY"/>
    <x v="1"/>
    <s v=""/>
    <x v="0"/>
    <s v=""/>
    <x v="1"/>
    <x v="1"/>
    <x v="426"/>
    <x v="426"/>
    <x v="0"/>
  </r>
  <r>
    <x v="2266"/>
    <x v="469"/>
    <x v="277"/>
    <s v="REINFORCED ELECTROLYZER MEMBRANES FROM POLYMERS CARRYING UV-CURABLE PENDANT (METH)ACRYLATYE GROUPS"/>
    <x v="1"/>
    <s v=""/>
    <x v="0"/>
    <s v=""/>
    <x v="1"/>
    <x v="1"/>
    <x v="426"/>
    <x v="426"/>
    <x v="0"/>
  </r>
  <r>
    <x v="2267"/>
    <x v="469"/>
    <x v="277"/>
    <s v="REINFORCED ELECTROLYZER MEMBRANES FROM POLYMERS CARRYING UV-CURABLE  PENDANT (METH) ACRYLAMIDE GROUPS"/>
    <x v="1"/>
    <s v=""/>
    <x v="0"/>
    <s v=""/>
    <x v="1"/>
    <x v="1"/>
    <x v="426"/>
    <x v="426"/>
    <x v="0"/>
  </r>
  <r>
    <x v="2268"/>
    <x v="469"/>
    <x v="277"/>
    <s v="IONOMERIC CARBOSILANE ADDITIVES FOR TOUGHER ELECTROLYZER MEMBRANES"/>
    <x v="1"/>
    <s v=""/>
    <x v="0"/>
    <s v=""/>
    <x v="1"/>
    <x v="1"/>
    <x v="426"/>
    <x v="426"/>
    <x v="0"/>
  </r>
  <r>
    <x v="2269"/>
    <x v="470"/>
    <x v="259"/>
    <s v="INCREASING RATES OF CATALTIC CHEMICAL REACTIONS BY OPERATING UNDER CONDITIONS OF ADSORPTION COMPRESSION"/>
    <x v="1348"/>
    <s v="05/13/2019"/>
    <x v="0"/>
    <s v=""/>
    <x v="1"/>
    <x v="1"/>
    <x v="359"/>
    <x v="358"/>
    <x v="0"/>
  </r>
  <r>
    <x v="2270"/>
    <x v="471"/>
    <x v="288"/>
    <s v="SOLID OXIDE FUEL CELL STACK DESIGN"/>
    <x v="1"/>
    <s v=""/>
    <x v="0"/>
    <s v=""/>
    <x v="1"/>
    <x v="1"/>
    <x v="427"/>
    <x v="427"/>
    <x v="0"/>
  </r>
  <r>
    <x v="2271"/>
    <x v="472"/>
    <x v="168"/>
    <s v="METHOD FOR FABRICATING LOW-COST SOLID-STATE THERMAL NEUTRON DETECTORS WITH EXTREMELY IGH DETECTION EFFICIENCY AND SENSITIVITY"/>
    <x v="1349"/>
    <s v="10/25/2018"/>
    <x v="0"/>
    <s v=""/>
    <x v="1"/>
    <x v="1"/>
    <x v="428"/>
    <x v="428"/>
    <x v="0"/>
  </r>
  <r>
    <x v="2272"/>
    <x v="473"/>
    <x v="0"/>
    <s v="SYSTEM AND OPERATION FOR  THERMOCHEMICAL RENEWABLE ENERGY STORAGE"/>
    <x v="1350"/>
    <s v="01/07/2019"/>
    <x v="0"/>
    <s v=""/>
    <x v="1"/>
    <x v="1"/>
    <x v="429"/>
    <x v="429"/>
    <x v="0"/>
  </r>
  <r>
    <x v="2273"/>
    <x v="474"/>
    <x v="152"/>
    <s v="FRESHWATER RECOVERY SYSTEM FOR WASTEWATER THERMALLY-ACTUATED NOZZLE-DEMISTER"/>
    <x v="1"/>
    <s v=""/>
    <x v="0"/>
    <s v=""/>
    <x v="1"/>
    <x v="1"/>
    <x v="430"/>
    <x v="430"/>
    <x v="0"/>
  </r>
  <r>
    <x v="2274"/>
    <x v="475"/>
    <x v="196"/>
    <s v="OPTICAL FREQUENCY STABILIZED PHASE LOCKED LOOP (OFS-PLL)"/>
    <x v="1"/>
    <s v=""/>
    <x v="0"/>
    <s v=""/>
    <x v="1"/>
    <x v="1"/>
    <x v="431"/>
    <x v="431"/>
    <x v="0"/>
  </r>
  <r>
    <x v="2275"/>
    <x v="476"/>
    <x v="68"/>
    <s v="DEVICES ARCHITECTURE FOR THERMOELECTRIC DEVICES BASED ON NANOPHONONIC METAMETERIALS "/>
    <x v="1"/>
    <s v=""/>
    <x v="0"/>
    <s v=""/>
    <x v="1"/>
    <x v="1"/>
    <x v="432"/>
    <x v="432"/>
    <x v="0"/>
  </r>
  <r>
    <x v="2276"/>
    <x v="382"/>
    <x v="274"/>
    <s v="SYSTEMS AND METHODS FOR RANDOMIZED, PACKET-BASED POWER MANAGEMENT OF CONDITIONALY-CONTROLLED LOADS AND BI-DIRECTIONAL DISTRIBUTED ENERGY STORAGE SYSTEMS"/>
    <x v="1351"/>
    <s v="09/21/2017"/>
    <x v="0"/>
    <s v=""/>
    <x v="381"/>
    <x v="352"/>
    <x v="352"/>
    <x v="351"/>
    <x v="8"/>
  </r>
  <r>
    <x v="2277"/>
    <x v="382"/>
    <x v="274"/>
    <s v="SYSTEMS AND METHODS FOR RANDOMIZED, PACKET-BASED POWER MANAGEMENT OF CONDITIONALY-CONTROLLED LOADS AND BI-DIRECTIONAL DISTRIBUTED ENERGY STORAGE SYSTEMS"/>
    <x v="1352"/>
    <s v="09/21/2017"/>
    <x v="0"/>
    <s v=""/>
    <x v="382"/>
    <x v="353"/>
    <x v="352"/>
    <x v="35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6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6:I312" firstHeaderRow="1" firstDataRow="1" firstDataCol="9"/>
  <pivotFields count="13">
    <pivotField axis="axisRow" outline="0" showAll="0" defaultSubtotal="0">
      <items count="2278">
        <item x="482"/>
        <item x="21"/>
        <item x="1383"/>
        <item x="1748"/>
        <item x="1749"/>
        <item x="1742"/>
        <item x="1743"/>
        <item x="1737"/>
        <item x="1747"/>
        <item x="1814"/>
        <item x="1815"/>
        <item x="1736"/>
        <item x="40"/>
        <item x="806"/>
        <item x="810"/>
        <item x="811"/>
        <item x="137"/>
        <item x="334"/>
        <item x="350"/>
        <item x="335"/>
        <item x="308"/>
        <item x="170"/>
        <item x="169"/>
        <item x="168"/>
        <item x="160"/>
        <item x="191"/>
        <item x="167"/>
        <item x="115"/>
        <item x="166"/>
        <item x="190"/>
        <item x="159"/>
        <item x="165"/>
        <item x="114"/>
        <item x="371"/>
        <item x="323"/>
        <item x="553"/>
        <item x="315"/>
        <item x="131"/>
        <item x="271"/>
        <item x="266"/>
        <item x="314"/>
        <item x="259"/>
        <item x="263"/>
        <item x="317"/>
        <item x="186"/>
        <item x="187"/>
        <item x="158"/>
        <item x="189"/>
        <item x="193"/>
        <item x="197"/>
        <item x="188"/>
        <item x="120"/>
        <item x="367"/>
        <item x="370"/>
        <item x="290"/>
        <item x="608"/>
        <item x="258"/>
        <item x="421"/>
        <item x="78"/>
        <item x="312"/>
        <item x="194"/>
        <item x="372"/>
        <item x="369"/>
        <item x="124"/>
        <item x="81"/>
        <item x="289"/>
        <item x="300"/>
        <item x="265"/>
        <item x="267"/>
        <item x="273"/>
        <item x="260"/>
        <item x="274"/>
        <item x="272"/>
        <item x="261"/>
        <item x="268"/>
        <item x="262"/>
        <item x="264"/>
        <item x="257"/>
        <item x="422"/>
        <item x="195"/>
        <item x="117"/>
        <item x="569"/>
        <item x="579"/>
        <item x="164"/>
        <item x="196"/>
        <item x="292"/>
        <item x="318"/>
        <item x="80"/>
        <item x="452"/>
        <item x="83"/>
        <item x="79"/>
        <item x="419"/>
        <item x="660"/>
        <item x="672"/>
        <item x="9"/>
        <item x="17"/>
        <item x="15"/>
        <item x="16"/>
        <item x="13"/>
        <item x="12"/>
        <item x="14"/>
        <item x="10"/>
        <item x="11"/>
        <item x="96"/>
        <item x="382"/>
        <item x="659"/>
        <item x="550"/>
        <item x="179"/>
        <item x="156"/>
        <item x="183"/>
        <item x="157"/>
        <item x="184"/>
        <item x="185"/>
        <item x="181"/>
        <item x="153"/>
        <item x="154"/>
        <item x="155"/>
        <item x="182"/>
        <item x="646"/>
        <item x="625"/>
        <item x="626"/>
        <item x="351"/>
        <item x="339"/>
        <item x="340"/>
        <item x="361"/>
        <item x="368"/>
        <item x="64"/>
        <item x="151"/>
        <item x="180"/>
        <item x="673"/>
        <item x="77"/>
        <item x="95"/>
        <item x="118"/>
        <item x="125"/>
        <item x="554"/>
        <item x="19"/>
        <item x="132"/>
        <item x="119"/>
        <item x="82"/>
        <item x="447"/>
        <item x="451"/>
        <item x="706"/>
        <item x="843"/>
        <item x="310"/>
        <item x="605"/>
        <item x="624"/>
        <item x="333"/>
        <item x="84"/>
        <item x="85"/>
        <item x="297"/>
        <item x="301"/>
        <item x="611"/>
        <item x="48"/>
        <item x="49"/>
        <item x="50"/>
        <item x="47"/>
        <item x="883"/>
        <item x="622"/>
        <item x="623"/>
        <item x="18"/>
        <item x="423"/>
        <item x="704"/>
        <item x="609"/>
        <item x="948"/>
        <item x="256"/>
        <item x="254"/>
        <item x="849"/>
        <item x="847"/>
        <item x="288"/>
        <item x="848"/>
        <item x="850"/>
        <item x="306"/>
        <item x="298"/>
        <item x="299"/>
        <item x="446"/>
        <item x="246"/>
        <item x="247"/>
        <item x="248"/>
        <item x="251"/>
        <item x="252"/>
        <item x="253"/>
        <item x="249"/>
        <item x="250"/>
        <item x="198"/>
        <item x="162"/>
        <item x="192"/>
        <item x="319"/>
        <item x="321"/>
        <item x="322"/>
        <item x="320"/>
        <item x="949"/>
        <item x="1264"/>
        <item x="1355"/>
        <item x="1208"/>
        <item x="20"/>
        <item x="543"/>
        <item x="1237"/>
        <item x="546"/>
        <item x="544"/>
        <item x="542"/>
        <item x="545"/>
        <item x="1202"/>
        <item x="1186"/>
        <item x="1187"/>
        <item x="1188"/>
        <item x="1183"/>
        <item x="1018"/>
        <item x="657"/>
        <item x="650"/>
        <item x="651"/>
        <item x="652"/>
        <item x="884"/>
        <item x="255"/>
        <item x="1067"/>
        <item x="1114"/>
        <item x="912"/>
        <item x="872"/>
        <item x="1203"/>
        <item x="670"/>
        <item x="582"/>
        <item x="578"/>
        <item x="1210"/>
        <item x="1207"/>
        <item x="882"/>
        <item x="355"/>
        <item x="287"/>
        <item x="671"/>
        <item x="1315"/>
        <item x="1092"/>
        <item x="468"/>
        <item x="373"/>
        <item x="501"/>
        <item x="1189"/>
        <item x="1190"/>
        <item x="487"/>
        <item x="661"/>
        <item x="707"/>
        <item x="469"/>
        <item x="844"/>
        <item x="336"/>
        <item x="201"/>
        <item x="456"/>
        <item x="31"/>
        <item x="522"/>
        <item x="885"/>
        <item x="887"/>
        <item x="890"/>
        <item x="888"/>
        <item x="357"/>
        <item x="414"/>
        <item x="380"/>
        <item x="789"/>
        <item x="356"/>
        <item x="29"/>
        <item x="788"/>
        <item x="533"/>
        <item x="341"/>
        <item x="207"/>
        <item x="202"/>
        <item x="1347"/>
        <item x="583"/>
        <item x="577"/>
        <item x="1013"/>
        <item x="845"/>
        <item x="1197"/>
        <item x="1316"/>
        <item x="1091"/>
        <item x="655"/>
        <item x="656"/>
        <item x="1010"/>
        <item x="654"/>
        <item x="736"/>
        <item x="741"/>
        <item x="747"/>
        <item x="644"/>
        <item x="647"/>
        <item x="648"/>
        <item x="458"/>
        <item x="841"/>
        <item x="76"/>
        <item x="200"/>
        <item x="210"/>
        <item x="122"/>
        <item x="353"/>
        <item x="399"/>
        <item x="38"/>
        <item x="1011"/>
        <item x="1009"/>
        <item x="1008"/>
        <item x="364"/>
        <item x="454"/>
        <item x="74"/>
        <item x="286"/>
        <item x="374"/>
        <item x="233"/>
        <item x="413"/>
        <item x="410"/>
        <item x="411"/>
        <item x="412"/>
        <item x="232"/>
        <item x="396"/>
        <item x="397"/>
        <item x="58"/>
        <item x="1094"/>
        <item x="1224"/>
        <item x="491"/>
        <item x="492"/>
        <item x="42"/>
        <item x="59"/>
        <item x="465"/>
        <item x="464"/>
        <item x="35"/>
        <item x="62"/>
        <item x="643"/>
        <item x="206"/>
        <item x="853"/>
        <item x="24"/>
        <item x="25"/>
        <item x="23"/>
        <item x="22"/>
        <item x="359"/>
        <item x="360"/>
        <item x="348"/>
        <item x="349"/>
        <item x="635"/>
        <item x="636"/>
        <item x="61"/>
        <item x="223"/>
        <item x="228"/>
        <item x="219"/>
        <item x="225"/>
        <item x="759"/>
        <item x="521"/>
        <item x="307"/>
        <item x="32"/>
        <item x="33"/>
        <item x="677"/>
        <item x="675"/>
        <item x="466"/>
        <item x="41"/>
        <item x="504"/>
        <item x="526"/>
        <item x="278"/>
        <item x="279"/>
        <item x="282"/>
        <item x="285"/>
        <item x="512"/>
        <item x="205"/>
        <item x="539"/>
        <item x="628"/>
        <item x="402"/>
        <item x="803"/>
        <item x="804"/>
        <item x="776"/>
        <item x="639"/>
        <item x="363"/>
        <item x="969"/>
        <item x="970"/>
        <item x="962"/>
        <item x="971"/>
        <item x="121"/>
        <item x="453"/>
        <item x="758"/>
        <item x="642"/>
        <item x="616"/>
        <item x="879"/>
        <item x="204"/>
        <item x="281"/>
        <item x="354"/>
        <item x="208"/>
        <item x="894"/>
        <item x="897"/>
        <item x="898"/>
        <item x="234"/>
        <item x="1232"/>
        <item x="649"/>
        <item x="39"/>
        <item x="695"/>
        <item x="846"/>
        <item x="385"/>
        <item x="384"/>
        <item x="455"/>
        <item x="1195"/>
        <item x="328"/>
        <item x="329"/>
        <item x="220"/>
        <item x="222"/>
        <item x="224"/>
        <item x="226"/>
        <item x="218"/>
        <item x="227"/>
        <item x="698"/>
        <item x="692"/>
        <item x="403"/>
        <item x="406"/>
        <item x="1328"/>
        <item x="497"/>
        <item x="27"/>
        <item x="123"/>
        <item x="129"/>
        <item x="128"/>
        <item x="130"/>
        <item x="73"/>
        <item x="1034"/>
        <item x="1038"/>
        <item x="332"/>
        <item x="280"/>
        <item x="387"/>
        <item x="388"/>
        <item x="830"/>
        <item x="1266"/>
        <item x="324"/>
        <item x="327"/>
        <item x="325"/>
        <item x="330"/>
        <item x="460"/>
        <item x="331"/>
        <item x="1254"/>
        <item x="86"/>
        <item x="377"/>
        <item x="376"/>
        <item x="802"/>
        <item x="366"/>
        <item x="365"/>
        <item x="1327"/>
        <item x="214"/>
        <item x="213"/>
        <item x="338"/>
        <item x="36"/>
        <item x="362"/>
        <item x="1251"/>
        <item x="1250"/>
        <item x="89"/>
        <item x="34"/>
        <item x="203"/>
        <item x="457"/>
        <item x="793"/>
        <item x="342"/>
        <item x="1040"/>
        <item x="821"/>
        <item x="398"/>
        <item x="1325"/>
        <item x="1323"/>
        <item x="640"/>
        <item x="358"/>
        <item x="395"/>
        <item x="394"/>
        <item x="88"/>
        <item x="540"/>
        <item x="393"/>
        <item x="390"/>
        <item x="391"/>
        <item x="1532"/>
        <item x="818"/>
        <item x="541"/>
        <item x="685"/>
        <item x="684"/>
        <item x="691"/>
        <item x="688"/>
        <item x="517"/>
        <item x="1288"/>
        <item x="1289"/>
        <item x="523"/>
        <item x="720"/>
        <item x="719"/>
        <item x="718"/>
        <item x="813"/>
        <item x="807"/>
        <item x="812"/>
        <item x="461"/>
        <item x="337"/>
        <item x="463"/>
        <item x="498"/>
        <item x="520"/>
        <item x="519"/>
        <item x="761"/>
        <item x="753"/>
        <item x="518"/>
        <item x="764"/>
        <item x="757"/>
        <item x="755"/>
        <item x="760"/>
        <item x="30"/>
        <item x="37"/>
        <item x="0"/>
        <item x="467"/>
        <item x="680"/>
        <item x="682"/>
        <item x="679"/>
        <item x="346"/>
        <item x="496"/>
        <item x="686"/>
        <item x="690"/>
        <item x="1533"/>
        <item x="1110"/>
        <item x="1112"/>
        <item x="1265"/>
        <item x="352"/>
        <item x="459"/>
        <item x="1215"/>
        <item x="653"/>
        <item x="1606"/>
        <item x="291"/>
        <item x="1299"/>
        <item x="1048"/>
        <item x="1313"/>
        <item x="450"/>
        <item x="694"/>
        <item x="1212"/>
        <item x="1204"/>
        <item x="952"/>
        <item x="705"/>
        <item x="1041"/>
        <item x="1312"/>
        <item x="1051"/>
        <item x="658"/>
        <item x="439"/>
        <item x="431"/>
        <item x="443"/>
        <item x="425"/>
        <item x="442"/>
        <item x="449"/>
        <item x="432"/>
        <item x="1317"/>
        <item x="1318"/>
        <item x="433"/>
        <item x="150"/>
        <item x="434"/>
        <item x="163"/>
        <item x="440"/>
        <item x="435"/>
        <item x="436"/>
        <item x="444"/>
        <item x="428"/>
        <item x="437"/>
        <item x="430"/>
        <item x="438"/>
        <item x="174"/>
        <item x="175"/>
        <item x="176"/>
        <item x="445"/>
        <item x="429"/>
        <item x="1063"/>
        <item x="814"/>
        <item x="815"/>
        <item x="1093"/>
        <item x="816"/>
        <item x="817"/>
        <item x="44"/>
        <item x="717"/>
        <item x="710"/>
        <item x="711"/>
        <item x="1049"/>
        <item x="1050"/>
        <item x="950"/>
        <item x="951"/>
        <item x="963"/>
        <item x="964"/>
        <item x="965"/>
        <item x="966"/>
        <item x="967"/>
        <item x="968"/>
        <item x="407"/>
        <item x="1104"/>
        <item x="209"/>
        <item x="212"/>
        <item x="1591"/>
        <item x="1590"/>
        <item x="235"/>
        <item x="715"/>
        <item x="1468"/>
        <item x="857"/>
        <item x="1604"/>
        <item x="961"/>
        <item x="284"/>
        <item x="713"/>
        <item x="693"/>
        <item x="618"/>
        <item x="617"/>
        <item x="488"/>
        <item x="1262"/>
        <item x="794"/>
        <item x="723"/>
        <item x="229"/>
        <item x="784"/>
        <item x="972"/>
        <item x="895"/>
        <item x="899"/>
        <item x="1598"/>
        <item x="700"/>
        <item x="800"/>
        <item x="1346"/>
        <item x="1230"/>
        <item x="637"/>
        <item x="1460"/>
        <item x="1454"/>
        <item x="1035"/>
        <item x="1223"/>
        <item x="724"/>
        <item x="699"/>
        <item x="1452"/>
        <item x="1455"/>
        <item x="1446"/>
        <item x="709"/>
        <item x="1603"/>
        <item x="60"/>
        <item x="787"/>
        <item x="277"/>
        <item x="566"/>
        <item x="667"/>
        <item x="674"/>
        <item x="1106"/>
        <item x="1175"/>
        <item x="1225"/>
        <item x="1302"/>
        <item x="375"/>
        <item x="379"/>
        <item x="378"/>
        <item x="383"/>
        <item x="381"/>
        <item x="1107"/>
        <item x="1027"/>
        <item x="1029"/>
        <item x="1030"/>
        <item x="1031"/>
        <item x="1349"/>
        <item x="662"/>
        <item x="663"/>
        <item x="664"/>
        <item x="665"/>
        <item x="666"/>
        <item x="1498"/>
        <item x="738"/>
        <item x="1296"/>
        <item x="725"/>
        <item x="1284"/>
        <item x="750"/>
        <item x="744"/>
        <item x="953"/>
        <item x="786"/>
        <item x="858"/>
        <item x="831"/>
        <item x="343"/>
        <item x="886"/>
        <item x="891"/>
        <item x="217"/>
        <item x="778"/>
        <item x="779"/>
        <item x="726"/>
        <item x="870"/>
        <item x="752"/>
        <item x="751"/>
        <item x="1196"/>
        <item x="1198"/>
        <item x="1650"/>
        <item x="1652"/>
        <item x="1236"/>
        <item x="960"/>
        <item x="1059"/>
        <item x="316"/>
        <item x="1311"/>
        <item x="940"/>
        <item x="942"/>
        <item x="1016"/>
        <item x="1055"/>
        <item x="1047"/>
        <item x="1046"/>
        <item x="1044"/>
        <item x="1054"/>
        <item x="1045"/>
        <item x="727"/>
        <item x="740"/>
        <item x="1105"/>
        <item x="737"/>
        <item x="1213"/>
        <item x="869"/>
        <item x="959"/>
        <item x="606"/>
        <item x="1205"/>
        <item x="1283"/>
        <item x="144"/>
        <item x="1469"/>
        <item x="1101"/>
        <item x="739"/>
        <item x="1398"/>
        <item x="1397"/>
        <item x="1036"/>
        <item x="1555"/>
        <item x="1554"/>
        <item x="796"/>
        <item x="389"/>
        <item x="392"/>
        <item x="1471"/>
        <item x="1037"/>
        <item x="347"/>
        <item x="712"/>
        <item x="708"/>
        <item x="714"/>
        <item x="935"/>
        <item x="938"/>
        <item x="937"/>
        <item x="936"/>
        <item x="1180"/>
        <item x="1176"/>
        <item x="1473"/>
        <item x="1399"/>
        <item x="1102"/>
        <item x="1033"/>
        <item x="716"/>
        <item x="511"/>
        <item x="513"/>
        <item x="485"/>
        <item x="775"/>
        <item x="773"/>
        <item x="1039"/>
        <item x="1684"/>
        <item x="1685"/>
        <item x="1108"/>
        <item x="516"/>
        <item x="1095"/>
        <item x="1096"/>
        <item x="839"/>
        <item x="1111"/>
        <item x="1281"/>
        <item x="820"/>
        <item x="767"/>
        <item x="1103"/>
        <item x="1676"/>
        <item x="1467"/>
        <item x="1229"/>
        <item x="842"/>
        <item x="840"/>
        <item x="827"/>
        <item x="828"/>
        <item x="1453"/>
        <item x="1456"/>
        <item x="1394"/>
        <item x="1247"/>
        <item x="126"/>
        <item x="127"/>
        <item x="294"/>
        <item x="295"/>
        <item x="304"/>
        <item x="305"/>
        <item x="302"/>
        <item x="303"/>
        <item x="296"/>
        <item x="293"/>
        <item x="731"/>
        <item x="1633"/>
        <item x="1321"/>
        <item x="1319"/>
        <item x="1393"/>
        <item x="1392"/>
        <item x="749"/>
        <item x="1587"/>
        <item x="1548"/>
        <item x="1649"/>
        <item x="1648"/>
        <item x="152"/>
        <item x="311"/>
        <item x="1228"/>
        <item x="1464"/>
        <item x="1366"/>
        <item x="1006"/>
        <item x="1005"/>
        <item x="136"/>
        <item x="313"/>
        <item x="871"/>
        <item x="1537"/>
        <item x="1"/>
        <item x="231"/>
        <item x="230"/>
        <item x="836"/>
        <item x="1246"/>
        <item x="783"/>
        <item x="781"/>
        <item x="1762"/>
        <item x="1761"/>
        <item x="1678"/>
        <item x="1221"/>
        <item x="1097"/>
        <item x="795"/>
        <item x="1631"/>
        <item x="1712"/>
        <item x="1711"/>
        <item x="1282"/>
        <item x="1060"/>
        <item x="1062"/>
        <item x="1245"/>
        <item x="1248"/>
        <item x="1249"/>
        <item x="1640"/>
        <item x="1240"/>
        <item x="1170"/>
        <item x="1826"/>
        <item x="1472"/>
        <item x="1474"/>
        <item x="404"/>
        <item x="405"/>
        <item x="864"/>
        <item x="809"/>
        <item x="805"/>
        <item x="386"/>
        <item x="408"/>
        <item x="409"/>
        <item x="420"/>
        <item x="424"/>
        <item x="415"/>
        <item x="416"/>
        <item x="417"/>
        <item x="418"/>
        <item x="610"/>
        <item x="790"/>
        <item x="861"/>
        <item x="1800"/>
        <item x="211"/>
        <item x="138"/>
        <item x="939"/>
        <item x="947"/>
        <item x="941"/>
        <item x="946"/>
        <item x="943"/>
        <item x="945"/>
        <item x="944"/>
        <item x="911"/>
        <item x="1388"/>
        <item x="1386"/>
        <item x="668"/>
        <item x="669"/>
        <item x="1605"/>
        <item x="65"/>
        <item x="66"/>
        <item x="63"/>
        <item x="604"/>
        <item x="505"/>
        <item x="2"/>
        <item x="3"/>
        <item x="4"/>
        <item x="5"/>
        <item x="6"/>
        <item x="7"/>
        <item x="8"/>
        <item x="26"/>
        <item x="43"/>
        <item x="51"/>
        <item x="52"/>
        <item x="53"/>
        <item x="54"/>
        <item x="55"/>
        <item x="57"/>
        <item x="90"/>
        <item x="91"/>
        <item x="275"/>
        <item x="276"/>
        <item x="269"/>
        <item x="270"/>
        <item x="1413"/>
        <item x="1414"/>
        <item x="1402"/>
        <item x="1408"/>
        <item x="1409"/>
        <item x="1410"/>
        <item x="1411"/>
        <item x="1412"/>
        <item x="1415"/>
        <item x="1403"/>
        <item x="1404"/>
        <item x="1405"/>
        <item x="1406"/>
        <item x="1407"/>
        <item x="875"/>
        <item x="874"/>
        <item x="873"/>
        <item x="877"/>
        <item x="876"/>
        <item x="703"/>
        <item x="701"/>
        <item x="113"/>
        <item x="916"/>
        <item x="1199"/>
        <item x="1615"/>
        <item x="880"/>
        <item x="859"/>
        <item x="1326"/>
        <item x="769"/>
        <item x="770"/>
        <item x="771"/>
        <item x="1214"/>
        <item x="909"/>
        <item x="1206"/>
        <item x="400"/>
        <item x="401"/>
        <item x="702"/>
        <item x="2037"/>
        <item x="2038"/>
        <item x="221"/>
        <item x="510"/>
        <item x="506"/>
        <item x="500"/>
        <item x="216"/>
        <item x="215"/>
        <item x="638"/>
        <item x="641"/>
        <item x="1379"/>
        <item x="1179"/>
        <item x="754"/>
        <item x="763"/>
        <item x="612"/>
        <item x="613"/>
        <item x="614"/>
        <item x="615"/>
        <item x="627"/>
        <item x="696"/>
        <item x="697"/>
        <item x="1007"/>
        <item x="837"/>
        <item x="838"/>
        <item x="881"/>
        <item x="889"/>
        <item x="893"/>
        <item x="932"/>
        <item x="933"/>
        <item x="177"/>
        <item x="173"/>
        <item x="525"/>
        <item x="178"/>
        <item x="1065"/>
        <item x="1066"/>
        <item x="896"/>
        <item x="1437"/>
        <item x="1436"/>
        <item x="860"/>
        <item x="863"/>
        <item x="862"/>
        <item x="855"/>
        <item x="854"/>
        <item x="856"/>
        <item x="620"/>
        <item x="621"/>
        <item x="619"/>
        <item x="630"/>
        <item x="1500"/>
        <item x="87"/>
        <item x="1191"/>
        <item x="1184"/>
        <item x="1192"/>
        <item x="1442"/>
        <item x="926"/>
        <item x="1353"/>
        <item x="1359"/>
        <item x="1372"/>
        <item x="1373"/>
        <item x="1380"/>
        <item x="1378"/>
        <item x="1377"/>
        <item x="1381"/>
        <item x="1376"/>
        <item x="1382"/>
        <item x="1384"/>
        <item x="1385"/>
        <item x="1395"/>
        <item x="1477"/>
        <item x="1298"/>
        <item x="1424"/>
        <item x="1425"/>
        <item x="1483"/>
        <item x="1495"/>
        <item x="1493"/>
        <item x="1494"/>
        <item x="1492"/>
        <item x="1507"/>
        <item x="1509"/>
        <item x="1512"/>
        <item x="1517"/>
        <item x="1519"/>
        <item x="1525"/>
        <item x="1541"/>
        <item x="1540"/>
        <item x="1601"/>
        <item x="1602"/>
        <item x="1609"/>
        <item x="1607"/>
        <item x="1618"/>
        <item x="1634"/>
        <item x="1682"/>
        <item x="834"/>
        <item x="835"/>
        <item x="1322"/>
        <item x="2078"/>
        <item x="1913"/>
        <item x="1449"/>
        <item x="2156"/>
        <item x="1980"/>
        <item x="1520"/>
        <item x="1793"/>
        <item x="1023"/>
        <item x="1024"/>
        <item x="2063"/>
        <item x="2255"/>
        <item x="1966"/>
        <item x="1481"/>
        <item x="1600"/>
        <item x="1518"/>
        <item x="1655"/>
        <item x="1653"/>
        <item x="1654"/>
        <item x="1657"/>
        <item x="1661"/>
        <item x="1803"/>
        <item x="765"/>
        <item x="766"/>
        <item x="791"/>
        <item x="785"/>
        <item x="808"/>
        <item x="829"/>
        <item x="1501"/>
        <item x="832"/>
        <item x="833"/>
        <item x="1233"/>
        <item x="913"/>
        <item x="918"/>
        <item x="919"/>
        <item x="905"/>
        <item x="1014"/>
        <item x="1015"/>
        <item x="1019"/>
        <item x="1020"/>
        <item x="1017"/>
        <item x="1043"/>
        <item x="1400"/>
        <item x="1042"/>
        <item x="1089"/>
        <item x="1090"/>
        <item x="1162"/>
        <item x="1148"/>
        <item x="1149"/>
        <item x="1152"/>
        <item x="1169"/>
        <item x="1154"/>
        <item x="1133"/>
        <item x="1135"/>
        <item x="1136"/>
        <item x="1137"/>
        <item x="1138"/>
        <item x="1123"/>
        <item x="1124"/>
        <item x="1125"/>
        <item x="1126"/>
        <item x="1127"/>
        <item x="1128"/>
        <item x="1129"/>
        <item x="1130"/>
        <item x="1131"/>
        <item x="1132"/>
        <item x="1261"/>
        <item x="1345"/>
        <item x="1599"/>
        <item x="1470"/>
        <item x="1529"/>
        <item x="1531"/>
        <item x="1012"/>
        <item x="927"/>
        <item x="928"/>
        <item x="929"/>
        <item x="1286"/>
        <item x="1813"/>
        <item x="1812"/>
        <item x="1883"/>
        <item x="1252"/>
        <item x="1253"/>
        <item x="1329"/>
        <item x="1435"/>
        <item x="145"/>
        <item x="148"/>
        <item x="147"/>
        <item x="1022"/>
        <item x="1433"/>
        <item x="1807"/>
        <item x="1626"/>
        <item x="1178"/>
        <item x="1624"/>
        <item x="1625"/>
        <item x="1836"/>
        <item x="1218"/>
        <item x="1177"/>
        <item x="1595"/>
        <item x="502"/>
        <item x="547"/>
        <item x="549"/>
        <item x="548"/>
        <item x="645"/>
        <item x="116"/>
        <item x="1086"/>
        <item x="1072"/>
        <item x="1073"/>
        <item x="1074"/>
        <item x="1071"/>
        <item x="1075"/>
        <item x="561"/>
        <item x="572"/>
        <item x="575"/>
        <item x="573"/>
        <item x="570"/>
        <item x="565"/>
        <item x="564"/>
        <item x="574"/>
        <item x="571"/>
        <item x="562"/>
        <item x="563"/>
        <item x="560"/>
        <item x="588"/>
        <item x="586"/>
        <item x="1670"/>
        <item x="1613"/>
        <item x="1614"/>
        <item x="1612"/>
        <item x="1516"/>
        <item x="798"/>
        <item x="799"/>
        <item x="797"/>
        <item x="1350"/>
        <item x="1352"/>
        <item x="1524"/>
        <item x="448"/>
        <item x="426"/>
        <item x="427"/>
        <item x="1478"/>
        <item x="1000"/>
        <item x="996"/>
        <item x="982"/>
        <item x="1001"/>
        <item x="981"/>
        <item x="1002"/>
        <item x="980"/>
        <item x="983"/>
        <item x="984"/>
        <item x="1003"/>
        <item x="1445"/>
        <item x="1480"/>
        <item x="1235"/>
        <item x="1234"/>
        <item x="1056"/>
        <item x="70"/>
        <item x="71"/>
        <item x="1511"/>
        <item x="1159"/>
        <item x="1117"/>
        <item x="1157"/>
        <item x="1155"/>
        <item x="1163"/>
        <item x="1120"/>
        <item x="1156"/>
        <item x="1161"/>
        <item x="1134"/>
        <item x="1145"/>
        <item x="1147"/>
        <item x="1116"/>
        <item x="1153"/>
        <item x="1150"/>
        <item x="1160"/>
        <item x="1151"/>
        <item x="1115"/>
        <item x="1146"/>
        <item x="1144"/>
        <item x="1143"/>
        <item x="1142"/>
        <item x="1118"/>
        <item x="1119"/>
        <item x="1158"/>
        <item x="772"/>
        <item x="774"/>
        <item x="1842"/>
        <item x="1479"/>
        <item x="1630"/>
        <item x="45"/>
        <item x="46"/>
        <item x="1616"/>
        <item x="1641"/>
        <item x="146"/>
        <item x="532"/>
        <item x="534"/>
        <item x="536"/>
        <item x="535"/>
        <item x="537"/>
        <item x="538"/>
        <item x="1805"/>
        <item x="587"/>
        <item x="592"/>
        <item x="593"/>
        <item x="594"/>
        <item x="595"/>
        <item x="589"/>
        <item x="596"/>
        <item x="600"/>
        <item x="601"/>
        <item x="602"/>
        <item x="603"/>
        <item x="591"/>
        <item x="590"/>
        <item x="597"/>
        <item x="598"/>
        <item x="599"/>
        <item x="1893"/>
        <item x="441"/>
        <item x="1231"/>
        <item x="1733"/>
        <item x="1726"/>
        <item x="917"/>
        <item x="1702"/>
        <item x="1087"/>
        <item x="1088"/>
        <item x="1100"/>
        <item x="1594"/>
        <item x="1732"/>
        <item x="1731"/>
        <item x="111"/>
        <item x="102"/>
        <item x="100"/>
        <item x="106"/>
        <item x="101"/>
        <item x="112"/>
        <item x="97"/>
        <item x="105"/>
        <item x="107"/>
        <item x="108"/>
        <item x="103"/>
        <item x="104"/>
        <item x="109"/>
        <item x="110"/>
        <item x="98"/>
        <item x="99"/>
        <item x="481"/>
        <item x="477"/>
        <item x="1530"/>
        <item x="921"/>
        <item x="920"/>
        <item x="923"/>
        <item x="1310"/>
        <item x="1021"/>
        <item x="1168"/>
        <item x="1167"/>
        <item x="67"/>
        <item x="68"/>
        <item x="515"/>
        <item x="925"/>
        <item x="930"/>
        <item x="924"/>
        <item x="1610"/>
        <item x="1611"/>
        <item x="1608"/>
        <item x="1226"/>
        <item x="1662"/>
        <item x="1916"/>
        <item x="1806"/>
        <item x="1637"/>
        <item x="1709"/>
        <item x="633"/>
        <item x="631"/>
        <item x="632"/>
        <item x="629"/>
        <item x="1466"/>
        <item x="1710"/>
        <item x="2019"/>
        <item x="2017"/>
        <item x="2018"/>
        <item x="1273"/>
        <item x="1274"/>
        <item x="1510"/>
        <item x="1291"/>
        <item x="1292"/>
        <item x="1290"/>
        <item x="1193"/>
        <item x="1307"/>
        <item x="1497"/>
        <item x="1588"/>
        <item x="475"/>
        <item x="473"/>
        <item x="1222"/>
        <item x="478"/>
        <item x="1632"/>
        <item x="1098"/>
        <item x="1443"/>
        <item x="782"/>
        <item x="780"/>
        <item x="1287"/>
        <item x="1242"/>
        <item x="1238"/>
        <item x="1239"/>
        <item x="1241"/>
        <item x="1646"/>
        <item x="1647"/>
        <item x="1651"/>
        <item x="1672"/>
        <item x="1671"/>
        <item x="1973"/>
        <item x="1972"/>
        <item x="1642"/>
        <item x="283"/>
        <item x="1713"/>
        <item x="1941"/>
        <item x="1707"/>
        <item x="1708"/>
        <item x="1943"/>
        <item x="1949"/>
        <item x="1942"/>
        <item x="1057"/>
        <item x="1858"/>
        <item x="529"/>
        <item x="528"/>
        <item x="527"/>
        <item x="1542"/>
        <item x="732"/>
        <item x="1597"/>
        <item x="1099"/>
        <item x="1324"/>
        <item x="2000"/>
        <item x="1999"/>
        <item x="2001"/>
        <item x="1064"/>
        <item x="1975"/>
        <item x="1974"/>
        <item x="1801"/>
        <item x="1220"/>
        <item x="1219"/>
        <item x="1309"/>
        <item x="1627"/>
        <item x="1679"/>
        <item x="1848"/>
        <item x="1496"/>
        <item x="1475"/>
        <item x="1476"/>
        <item x="1419"/>
        <item x="1420"/>
        <item x="1934"/>
        <item x="1933"/>
        <item x="1935"/>
        <item x="493"/>
        <item x="878"/>
        <item x="1776"/>
        <item x="1788"/>
        <item x="1778"/>
        <item x="1777"/>
        <item x="1028"/>
        <item x="1779"/>
        <item x="1628"/>
        <item x="1729"/>
        <item x="1728"/>
        <item x="1643"/>
        <item x="1927"/>
        <item x="1928"/>
        <item x="1929"/>
        <item x="1053"/>
        <item x="1717"/>
        <item x="139"/>
        <item x="140"/>
        <item x="141"/>
        <item x="142"/>
        <item x="133"/>
        <item x="143"/>
        <item x="134"/>
        <item x="135"/>
        <item x="75"/>
        <item x="551"/>
        <item x="552"/>
        <item x="1845"/>
        <item x="1508"/>
        <item x="1209"/>
        <item x="1200"/>
        <item x="1211"/>
        <item x="1584"/>
        <item x="1623"/>
        <item x="470"/>
        <item x="1822"/>
        <item x="1904"/>
        <item x="1903"/>
        <item x="1463"/>
        <item x="1844"/>
        <item x="1821"/>
        <item x="1820"/>
        <item x="914"/>
        <item x="1818"/>
        <item x="1808"/>
        <item x="1809"/>
        <item x="687"/>
        <item x="1993"/>
        <item x="1994"/>
        <item x="1744"/>
        <item x="1995"/>
        <item x="1719"/>
        <item x="1360"/>
        <item x="1817"/>
        <item x="1780"/>
        <item x="1620"/>
        <item x="1619"/>
        <item x="1851"/>
        <item x="1852"/>
        <item x="1849"/>
        <item x="1664"/>
        <item x="1061"/>
        <item x="823"/>
        <item x="822"/>
        <item x="1680"/>
        <item x="1681"/>
        <item x="1077"/>
        <item x="1085"/>
        <item x="1069"/>
        <item x="1076"/>
        <item x="1084"/>
        <item x="1078"/>
        <item x="1080"/>
        <item x="1070"/>
        <item x="1082"/>
        <item x="1083"/>
        <item x="1068"/>
        <item x="1079"/>
        <item x="1081"/>
        <item x="1422"/>
        <item x="1423"/>
        <item x="1416"/>
        <item x="1434"/>
        <item x="2077"/>
        <item x="1997"/>
        <item x="1841"/>
        <item x="1840"/>
        <item x="1304"/>
        <item x="1899"/>
        <item x="1894"/>
        <item x="1285"/>
        <item x="762"/>
        <item x="1843"/>
        <item x="585"/>
        <item x="584"/>
        <item x="1950"/>
        <item x="2027"/>
        <item x="1058"/>
        <item x="1792"/>
        <item x="1790"/>
        <item x="1791"/>
        <item x="1550"/>
        <item x="1551"/>
        <item x="1552"/>
        <item x="1553"/>
        <item x="1796"/>
        <item x="1794"/>
        <item x="1795"/>
        <item x="689"/>
        <item x="1506"/>
        <item x="1593"/>
        <item x="1592"/>
        <item x="2028"/>
        <item x="1909"/>
        <item x="1910"/>
        <item x="1948"/>
        <item x="1275"/>
        <item x="1276"/>
        <item x="1277"/>
        <item x="1278"/>
        <item x="1799"/>
        <item x="1549"/>
        <item x="1832"/>
        <item x="728"/>
        <item x="1760"/>
        <item x="1970"/>
        <item x="1303"/>
        <item x="1308"/>
        <item x="2008"/>
        <item x="1574"/>
        <item x="1573"/>
        <item x="1576"/>
        <item x="1580"/>
        <item x="1572"/>
        <item x="1578"/>
        <item x="1577"/>
        <item x="1575"/>
        <item x="1579"/>
        <item x="1581"/>
        <item x="1873"/>
        <item x="1874"/>
        <item x="1875"/>
        <item x="1201"/>
        <item x="922"/>
        <item x="1515"/>
        <item x="1514"/>
        <item x="1829"/>
        <item x="1718"/>
        <item x="1716"/>
        <item x="1621"/>
        <item x="1622"/>
        <item x="756"/>
        <item x="2007"/>
        <item x="1673"/>
        <item x="1523"/>
        <item x="1522"/>
        <item x="1521"/>
        <item x="1526"/>
        <item x="1528"/>
        <item x="1527"/>
        <item x="1557"/>
        <item x="1562"/>
        <item x="1564"/>
        <item x="1563"/>
        <item x="1561"/>
        <item x="1560"/>
        <item x="1567"/>
        <item x="1565"/>
        <item x="1558"/>
        <item x="1559"/>
        <item x="1566"/>
        <item x="1617"/>
        <item x="1688"/>
        <item x="1915"/>
        <item x="1305"/>
        <item x="1227"/>
        <item x="2031"/>
        <item x="676"/>
        <item x="681"/>
        <item x="2030"/>
        <item x="530"/>
        <item x="1871"/>
        <item x="1870"/>
        <item x="2054"/>
        <item x="568"/>
        <item x="580"/>
        <item x="581"/>
        <item x="576"/>
        <item x="1720"/>
        <item x="567"/>
        <item x="1689"/>
        <item x="1690"/>
        <item x="1724"/>
        <item x="1695"/>
        <item x="1486"/>
        <item x="1489"/>
        <item x="1485"/>
        <item x="1487"/>
        <item x="1488"/>
        <item x="1279"/>
        <item x="1714"/>
        <item x="1715"/>
        <item x="1004"/>
        <item x="1390"/>
        <item x="1300"/>
        <item x="722"/>
        <item x="721"/>
        <item x="1490"/>
        <item x="1491"/>
        <item x="2112"/>
        <item x="2114"/>
        <item x="2113"/>
        <item x="2111"/>
        <item x="2110"/>
        <item x="499"/>
        <item x="503"/>
        <item x="999"/>
        <item x="1706"/>
        <item x="1432"/>
        <item x="1444"/>
        <item x="1859"/>
        <item x="931"/>
        <item x="1755"/>
        <item x="1754"/>
        <item x="1389"/>
        <item x="768"/>
        <item x="1314"/>
        <item x="1451"/>
        <item x="1765"/>
        <item x="1783"/>
        <item x="1786"/>
        <item x="1387"/>
        <item x="1784"/>
        <item x="1782"/>
        <item x="973"/>
        <item x="1586"/>
        <item x="345"/>
        <item x="2188"/>
        <item x="1998"/>
        <item x="1914"/>
        <item x="1693"/>
        <item x="1692"/>
        <item x="1629"/>
        <item x="1450"/>
        <item x="1447"/>
        <item x="1448"/>
        <item x="824"/>
        <item x="483"/>
        <item x="484"/>
        <item x="1830"/>
        <item x="1831"/>
        <item x="868"/>
        <item x="866"/>
        <item x="865"/>
        <item x="1589"/>
        <item x="1968"/>
        <item x="1900"/>
        <item x="1895"/>
        <item x="1986"/>
        <item x="1985"/>
        <item x="1798"/>
        <item x="1797"/>
        <item x="1370"/>
        <item x="149"/>
        <item x="607"/>
        <item x="161"/>
        <item x="826"/>
        <item x="480"/>
        <item x="486"/>
        <item x="1185"/>
        <item x="479"/>
        <item x="1683"/>
        <item x="1991"/>
        <item x="1992"/>
        <item x="1216"/>
        <item x="1391"/>
        <item x="344"/>
        <item x="1763"/>
        <item x="2083"/>
        <item x="2082"/>
        <item x="1375"/>
        <item x="2149"/>
        <item x="1194"/>
        <item x="1850"/>
        <item x="171"/>
        <item x="1139"/>
        <item x="172"/>
        <item x="494"/>
        <item x="56"/>
        <item x="825"/>
        <item x="867"/>
        <item x="495"/>
        <item x="94"/>
        <item x="471"/>
        <item x="901"/>
        <item x="900"/>
        <item x="902"/>
        <item x="903"/>
        <item x="1750"/>
        <item x="1752"/>
        <item x="2189"/>
        <item x="892"/>
        <item x="2140"/>
        <item x="1745"/>
        <item x="2141"/>
        <item x="490"/>
        <item x="2132"/>
        <item x="489"/>
        <item x="2130"/>
        <item x="2122"/>
        <item x="2129"/>
        <item x="2123"/>
        <item x="2124"/>
        <item x="1418"/>
        <item x="1052"/>
        <item x="1545"/>
        <item x="1756"/>
        <item x="2014"/>
        <item x="2011"/>
        <item x="1735"/>
        <item x="1026"/>
        <item x="1896"/>
        <item x="954"/>
        <item x="955"/>
        <item x="956"/>
        <item x="957"/>
        <item x="958"/>
        <item x="1374"/>
        <item x="1804"/>
        <item x="2025"/>
        <item x="2024"/>
        <item x="1171"/>
        <item x="1173"/>
        <item x="2195"/>
        <item x="1901"/>
        <item x="1902"/>
        <item x="1354"/>
        <item x="1543"/>
        <item x="1544"/>
        <item x="476"/>
        <item x="474"/>
        <item x="1538"/>
        <item x="683"/>
        <item x="2072"/>
        <item x="1907"/>
        <item x="1025"/>
        <item x="1032"/>
        <item x="735"/>
        <item x="745"/>
        <item x="1113"/>
        <item x="1961"/>
        <item x="2026"/>
        <item x="1876"/>
        <item x="472"/>
        <item x="2089"/>
        <item x="2090"/>
        <item x="1891"/>
        <item x="1887"/>
        <item x="1888"/>
        <item x="1889"/>
        <item x="1890"/>
        <item x="69"/>
        <item x="72"/>
        <item x="2146"/>
        <item x="1697"/>
        <item x="1701"/>
        <item x="1869"/>
        <item x="1855"/>
        <item x="1856"/>
        <item x="1502"/>
        <item x="1503"/>
        <item x="2058"/>
        <item x="1164"/>
        <item x="1140"/>
        <item x="1165"/>
        <item x="1141"/>
        <item x="1166"/>
        <item x="1174"/>
        <item x="1172"/>
        <item x="1837"/>
        <item x="1905"/>
        <item x="1371"/>
        <item x="2010"/>
        <item x="1839"/>
        <item x="1963"/>
        <item x="1964"/>
        <item x="1854"/>
        <item x="1866"/>
        <item x="1960"/>
        <item x="1956"/>
        <item x="1957"/>
        <item x="1958"/>
        <item x="1955"/>
        <item x="1959"/>
        <item x="1258"/>
        <item x="1939"/>
        <item x="1940"/>
        <item x="1656"/>
        <item x="904"/>
        <item x="1897"/>
        <item x="1898"/>
        <item x="1989"/>
        <item x="1297"/>
        <item x="1504"/>
        <item x="1505"/>
        <item x="1758"/>
        <item x="1658"/>
        <item x="1659"/>
        <item x="1660"/>
        <item x="1263"/>
        <item x="2041"/>
        <item x="2040"/>
        <item x="1751"/>
        <item x="1753"/>
        <item x="2220"/>
        <item x="1306"/>
        <item x="1182"/>
        <item x="1396"/>
        <item x="1764"/>
        <item x="1269"/>
        <item x="1270"/>
        <item x="1271"/>
        <item x="1267"/>
        <item x="1272"/>
        <item x="1268"/>
        <item x="1785"/>
        <item x="1802"/>
        <item x="1260"/>
        <item x="1255"/>
        <item x="1256"/>
        <item x="1257"/>
        <item x="748"/>
        <item x="746"/>
        <item x="1357"/>
        <item x="1351"/>
        <item x="1816"/>
        <item x="733"/>
        <item x="734"/>
        <item x="730"/>
        <item x="915"/>
        <item x="1930"/>
        <item x="2136"/>
        <item x="2137"/>
        <item x="1920"/>
        <item x="2200"/>
        <item x="2202"/>
        <item x="2201"/>
        <item x="1919"/>
        <item x="1686"/>
        <item x="1833"/>
        <item x="1700"/>
        <item x="2043"/>
        <item x="2091"/>
        <item x="2003"/>
        <item x="2066"/>
        <item x="1638"/>
        <item x="1639"/>
        <item x="2065"/>
        <item x="1645"/>
        <item x="1644"/>
        <item x="2190"/>
        <item x="2092"/>
        <item x="2002"/>
        <item x="1789"/>
        <item x="1570"/>
        <item x="1571"/>
        <item x="1767"/>
        <item x="1768"/>
        <item x="1766"/>
        <item x="1769"/>
        <item x="1923"/>
        <item x="1924"/>
        <item x="1951"/>
        <item x="1864"/>
        <item x="1860"/>
        <item x="1863"/>
        <item x="2021"/>
        <item x="1740"/>
        <item x="1482"/>
        <item x="1741"/>
        <item x="1738"/>
        <item x="1746"/>
        <item x="1677"/>
        <item x="2139"/>
        <item x="1582"/>
        <item x="1280"/>
        <item x="1666"/>
        <item x="1663"/>
        <item x="1665"/>
        <item x="1727"/>
        <item x="1730"/>
        <item x="1971"/>
        <item x="1926"/>
        <item x="2167"/>
        <item x="1484"/>
        <item x="1547"/>
        <item x="1546"/>
        <item x="985"/>
        <item x="986"/>
        <item x="987"/>
        <item x="988"/>
        <item x="989"/>
        <item x="990"/>
        <item x="991"/>
        <item x="997"/>
        <item x="992"/>
        <item x="993"/>
        <item x="998"/>
        <item x="994"/>
        <item x="995"/>
        <item x="1674"/>
        <item x="1879"/>
        <item x="1819"/>
        <item x="1568"/>
        <item x="2045"/>
        <item x="2152"/>
        <item x="1965"/>
        <item x="2199"/>
        <item x="2135"/>
        <item x="2133"/>
        <item x="1952"/>
        <item x="1884"/>
        <item x="2159"/>
        <item x="2160"/>
        <item x="1872"/>
        <item x="199"/>
        <item x="2217"/>
        <item x="1417"/>
        <item x="2004"/>
        <item x="2005"/>
        <item x="1725"/>
        <item x="819"/>
        <item x="2100"/>
        <item x="2143"/>
        <item x="2142"/>
        <item x="934"/>
        <item x="2263"/>
        <item x="1983"/>
        <item x="1982"/>
        <item x="1984"/>
        <item x="1981"/>
        <item x="524"/>
        <item x="1996"/>
        <item x="742"/>
        <item x="1931"/>
        <item x="1936"/>
        <item x="1932"/>
        <item x="729"/>
        <item x="2166"/>
        <item x="1925"/>
        <item x="2168"/>
        <item x="2169"/>
        <item x="2174"/>
        <item x="2242"/>
        <item x="1759"/>
        <item x="743"/>
        <item x="2183"/>
        <item x="2184"/>
        <item x="240"/>
        <item x="243"/>
        <item x="244"/>
        <item x="2276"/>
        <item x="2277"/>
        <item x="2147"/>
        <item x="2023"/>
        <item x="2213"/>
        <item x="1335"/>
        <item x="1336"/>
        <item x="1333"/>
        <item x="1337"/>
        <item x="1338"/>
        <item x="1330"/>
        <item x="1556"/>
        <item x="1877"/>
        <item x="1878"/>
        <item x="239"/>
        <item x="241"/>
        <item x="236"/>
        <item x="237"/>
        <item x="238"/>
        <item x="245"/>
        <item x="242"/>
        <item x="2120"/>
        <item x="2121"/>
        <item x="2131"/>
        <item x="2128"/>
        <item x="1339"/>
        <item x="1341"/>
        <item x="1340"/>
        <item x="1332"/>
        <item x="1343"/>
        <item x="1334"/>
        <item x="1344"/>
        <item x="1342"/>
        <item x="1331"/>
        <item x="2105"/>
        <item x="2106"/>
        <item x="2049"/>
        <item x="2050"/>
        <item x="777"/>
        <item x="2097"/>
        <item x="2099"/>
        <item x="2098"/>
        <item x="2044"/>
        <item x="2032"/>
        <item x="2029"/>
        <item x="2060"/>
        <item x="2064"/>
        <item x="2062"/>
        <item x="2206"/>
        <item x="1596"/>
        <item x="1868"/>
        <item x="2096"/>
        <item x="2061"/>
        <item x="2145"/>
        <item x="2144"/>
        <item x="1886"/>
        <item x="1987"/>
        <item x="2055"/>
        <item x="2057"/>
        <item x="2056"/>
        <item x="1243"/>
        <item x="1244"/>
        <item x="1675"/>
        <item x="1363"/>
        <item x="1361"/>
        <item x="2171"/>
        <item x="1320"/>
        <item x="531"/>
        <item x="1944"/>
        <item x="1945"/>
        <item x="1946"/>
        <item x="1947"/>
        <item x="1911"/>
        <item x="2009"/>
        <item x="2006"/>
        <item x="2254"/>
        <item x="2033"/>
        <item x="2196"/>
        <item x="2051"/>
        <item x="2053"/>
        <item x="2271"/>
        <item x="1867"/>
        <item x="2253"/>
        <item x="1691"/>
        <item x="2015"/>
        <item x="2012"/>
        <item x="2020"/>
        <item x="2187"/>
        <item x="2165"/>
        <item x="2161"/>
        <item x="1838"/>
        <item x="1461"/>
        <item x="1462"/>
        <item x="1457"/>
        <item x="1458"/>
        <item x="1459"/>
        <item x="2249"/>
        <item x="2248"/>
        <item x="1734"/>
        <item x="2070"/>
        <item x="2068"/>
        <item x="1835"/>
        <item x="1834"/>
        <item x="1585"/>
        <item x="1583"/>
        <item x="1739"/>
        <item x="1667"/>
        <item x="1912"/>
        <item x="1954"/>
        <item x="2042"/>
        <item x="1513"/>
        <item x="2036"/>
        <item x="2035"/>
        <item x="2039"/>
        <item x="2127"/>
        <item x="2209"/>
        <item x="2216"/>
        <item x="1535"/>
        <item x="1536"/>
        <item x="2101"/>
        <item x="2172"/>
        <item x="1181"/>
        <item x="1853"/>
        <item x="1892"/>
        <item x="1781"/>
        <item x="1358"/>
        <item x="1364"/>
        <item x="1362"/>
        <item x="1365"/>
        <item x="2238"/>
        <item x="1775"/>
        <item x="1774"/>
        <item x="2048"/>
        <item x="1539"/>
        <item x="1918"/>
        <item x="2150"/>
        <item x="1917"/>
        <item x="1699"/>
        <item x="1698"/>
        <item x="2207"/>
        <item x="2228"/>
        <item x="2115"/>
        <item x="2134"/>
        <item x="2229"/>
        <item x="1757"/>
        <item x="1704"/>
        <item x="1705"/>
        <item x="2170"/>
        <item x="2173"/>
        <item x="2244"/>
        <item x="2186"/>
        <item x="2162"/>
        <item x="2046"/>
        <item x="2093"/>
        <item x="2095"/>
        <item x="2094"/>
        <item x="2232"/>
        <item x="1979"/>
        <item x="2227"/>
        <item x="1668"/>
        <item x="1669"/>
        <item x="1906"/>
        <item x="1978"/>
        <item x="2208"/>
        <item x="2138"/>
        <item x="2266"/>
        <item x="2125"/>
        <item x="2218"/>
        <item x="2219"/>
        <item x="1722"/>
        <item x="2084"/>
        <item x="2085"/>
        <item x="2086"/>
        <item x="2087"/>
        <item x="2088"/>
        <item x="2237"/>
        <item x="1723"/>
        <item x="1721"/>
        <item x="1696"/>
        <item x="2154"/>
        <item x="2155"/>
        <item x="2157"/>
        <item x="1846"/>
        <item x="1847"/>
        <item x="2269"/>
        <item x="2236"/>
        <item x="2047"/>
        <item x="2239"/>
        <item x="2243"/>
        <item x="2116"/>
        <item x="2204"/>
        <item x="1827"/>
        <item x="2240"/>
        <item x="1440"/>
        <item x="1439"/>
        <item x="1429"/>
        <item x="1430"/>
        <item x="1431"/>
        <item x="1295"/>
        <item x="514"/>
        <item x="1293"/>
        <item x="1294"/>
        <item x="2069"/>
        <item x="2071"/>
        <item x="1569"/>
        <item x="1499"/>
        <item x="851"/>
        <item x="852"/>
        <item x="1367"/>
        <item x="1368"/>
        <item x="907"/>
        <item x="908"/>
        <item x="910"/>
        <item x="974"/>
        <item x="975"/>
        <item x="976"/>
        <item x="906"/>
        <item x="977"/>
        <item x="978"/>
        <item x="979"/>
        <item x="634"/>
        <item x="509"/>
        <item x="507"/>
        <item x="508"/>
        <item x="558"/>
        <item x="559"/>
        <item x="556"/>
        <item x="555"/>
        <item x="557"/>
        <item x="1217"/>
        <item x="1465"/>
        <item x="1773"/>
        <item x="1787"/>
        <item x="326"/>
        <item x="93"/>
        <item x="92"/>
        <item x="2034"/>
        <item x="1369"/>
        <item x="2198"/>
        <item x="2081"/>
        <item x="2076"/>
        <item x="1441"/>
        <item x="1438"/>
        <item x="1426"/>
        <item x="1427"/>
        <item x="1428"/>
        <item x="2250"/>
        <item x="2073"/>
        <item x="2075"/>
        <item x="2074"/>
        <item x="2151"/>
        <item x="2203"/>
        <item x="2192"/>
        <item x="2194"/>
        <item x="2193"/>
        <item x="2257"/>
        <item x="2177"/>
        <item x="2164"/>
        <item x="1962"/>
        <item x="1421"/>
        <item x="2260"/>
        <item x="2261"/>
        <item x="2259"/>
        <item x="1882"/>
        <item x="2264"/>
        <item x="2022"/>
        <item x="2235"/>
        <item x="1703"/>
        <item x="2210"/>
        <item x="2274"/>
        <item x="2245"/>
        <item x="2013"/>
        <item x="2016"/>
        <item x="792"/>
        <item x="1908"/>
        <item x="309"/>
        <item x="2185"/>
        <item x="2230"/>
        <item x="2231"/>
        <item x="1259"/>
        <item x="1937"/>
        <item x="1938"/>
        <item x="1880"/>
        <item x="1881"/>
        <item x="2256"/>
        <item x="1862"/>
        <item x="1861"/>
        <item x="2272"/>
        <item x="1687"/>
        <item x="1828"/>
        <item x="2163"/>
        <item x="2191"/>
        <item x="1921"/>
        <item x="1922"/>
        <item x="2247"/>
        <item x="1823"/>
        <item x="1824"/>
        <item x="1356"/>
        <item x="2221"/>
        <item x="1988"/>
        <item x="2107"/>
        <item x="2108"/>
        <item x="2109"/>
        <item x="1825"/>
        <item x="2067"/>
        <item x="2252"/>
        <item x="2273"/>
        <item x="1865"/>
        <item x="1967"/>
        <item x="1635"/>
        <item x="1636"/>
        <item x="2148"/>
        <item x="1109"/>
        <item x="2153"/>
        <item x="2175"/>
        <item x="2176"/>
        <item x="1348"/>
        <item x="2241"/>
        <item x="2267"/>
        <item x="2268"/>
        <item x="2270"/>
        <item x="2246"/>
        <item x="2180"/>
        <item x="2178"/>
        <item x="2179"/>
        <item x="2182"/>
        <item x="2158"/>
        <item x="2181"/>
        <item x="1810"/>
        <item x="1811"/>
        <item x="2079"/>
        <item x="2080"/>
        <item x="2251"/>
        <item x="1885"/>
        <item x="1976"/>
        <item x="1694"/>
        <item x="1977"/>
        <item x="2258"/>
        <item x="1953"/>
        <item x="2197"/>
        <item x="2102"/>
        <item x="2104"/>
        <item x="2103"/>
        <item x="2262"/>
        <item x="2211"/>
        <item x="1857"/>
        <item x="1301"/>
        <item x="801"/>
        <item x="2212"/>
        <item x="2265"/>
        <item x="2059"/>
        <item x="2234"/>
        <item x="1990"/>
        <item x="2052"/>
        <item x="2275"/>
        <item x="2126"/>
        <item x="1969"/>
        <item x="2214"/>
        <item x="2215"/>
        <item x="2205"/>
        <item x="678"/>
        <item x="2223"/>
        <item x="2224"/>
        <item x="1534"/>
        <item x="2117"/>
        <item x="2118"/>
        <item x="2119"/>
        <item x="2233"/>
        <item x="2222"/>
        <item x="2225"/>
        <item x="2226"/>
        <item x="1770"/>
        <item x="1771"/>
        <item x="1772"/>
        <item x="1401"/>
        <item x="28"/>
        <item x="1122"/>
        <item x="1121"/>
        <item x="462"/>
      </items>
    </pivotField>
    <pivotField axis="axisRow" outline="0" showAll="0" defaultSubtotal="0">
      <items count="4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</items>
    </pivotField>
    <pivotField axis="axisRow" outline="0" showAll="0" defaultSubtotal="0">
      <items count="289">
        <item x="70"/>
        <item x="277"/>
        <item x="103"/>
        <item x="98"/>
        <item x="109"/>
        <item x="265"/>
        <item x="255"/>
        <item x="14"/>
        <item x="34"/>
        <item x="208"/>
        <item x="210"/>
        <item x="30"/>
        <item x="50"/>
        <item x="171"/>
        <item x="117"/>
        <item x="119"/>
        <item x="107"/>
        <item x="43"/>
        <item x="158"/>
        <item x="8"/>
        <item x="9"/>
        <item x="10"/>
        <item x="91"/>
        <item x="216"/>
        <item x="142"/>
        <item x="244"/>
        <item x="64"/>
        <item x="120"/>
        <item x="206"/>
        <item x="67"/>
        <item x="66"/>
        <item x="106"/>
        <item x="15"/>
        <item x="205"/>
        <item x="185"/>
        <item x="4"/>
        <item x="228"/>
        <item x="105"/>
        <item x="273"/>
        <item x="287"/>
        <item x="99"/>
        <item x="129"/>
        <item x="180"/>
        <item x="286"/>
        <item x="251"/>
        <item x="207"/>
        <item x="24"/>
        <item x="135"/>
        <item x="136"/>
        <item x="123"/>
        <item x="186"/>
        <item x="132"/>
        <item x="80"/>
        <item x="61"/>
        <item x="47"/>
        <item x="177"/>
        <item x="260"/>
        <item x="39"/>
        <item x="226"/>
        <item x="40"/>
        <item x="176"/>
        <item x="78"/>
        <item x="76"/>
        <item x="264"/>
        <item x="280"/>
        <item x="281"/>
        <item x="203"/>
        <item x="88"/>
        <item x="174"/>
        <item x="197"/>
        <item x="268"/>
        <item x="127"/>
        <item x="194"/>
        <item x="3"/>
        <item x="252"/>
        <item x="2"/>
        <item x="36"/>
        <item x="151"/>
        <item x="184"/>
        <item x="213"/>
        <item x="154"/>
        <item x="26"/>
        <item x="155"/>
        <item x="1"/>
        <item x="160"/>
        <item x="27"/>
        <item x="83"/>
        <item x="12"/>
        <item x="31"/>
        <item x="148"/>
        <item x="35"/>
        <item x="144"/>
        <item x="140"/>
        <item x="53"/>
        <item x="166"/>
        <item x="167"/>
        <item x="141"/>
        <item x="89"/>
        <item x="150"/>
        <item x="86"/>
        <item x="116"/>
        <item x="75"/>
        <item x="20"/>
        <item x="63"/>
        <item x="189"/>
        <item x="32"/>
        <item x="112"/>
        <item x="199"/>
        <item x="29"/>
        <item x="237"/>
        <item x="190"/>
        <item x="85"/>
        <item x="225"/>
        <item x="248"/>
        <item x="285"/>
        <item x="188"/>
        <item x="211"/>
        <item x="173"/>
        <item x="249"/>
        <item x="13"/>
        <item x="7"/>
        <item x="153"/>
        <item x="16"/>
        <item x="201"/>
        <item x="259"/>
        <item x="96"/>
        <item x="19"/>
        <item x="178"/>
        <item x="221"/>
        <item x="23"/>
        <item x="209"/>
        <item x="245"/>
        <item x="87"/>
        <item x="38"/>
        <item x="37"/>
        <item x="157"/>
        <item x="253"/>
        <item x="62"/>
        <item x="0"/>
        <item x="279"/>
        <item x="224"/>
        <item x="227"/>
        <item x="222"/>
        <item x="21"/>
        <item x="202"/>
        <item x="275"/>
        <item x="108"/>
        <item x="126"/>
        <item x="284"/>
        <item x="288"/>
        <item x="11"/>
        <item x="51"/>
        <item x="81"/>
        <item x="156"/>
        <item x="232"/>
        <item x="220"/>
        <item x="84"/>
        <item x="266"/>
        <item x="235"/>
        <item x="204"/>
        <item x="60"/>
        <item x="59"/>
        <item x="152"/>
        <item x="195"/>
        <item x="149"/>
        <item x="161"/>
        <item x="42"/>
        <item x="92"/>
        <item x="212"/>
        <item x="25"/>
        <item x="41"/>
        <item x="22"/>
        <item x="246"/>
        <item x="164"/>
        <item x="256"/>
        <item x="101"/>
        <item x="181"/>
        <item x="193"/>
        <item x="250"/>
        <item x="46"/>
        <item x="238"/>
        <item x="137"/>
        <item x="172"/>
        <item x="138"/>
        <item x="104"/>
        <item x="18"/>
        <item x="247"/>
        <item x="95"/>
        <item x="239"/>
        <item x="276"/>
        <item x="262"/>
        <item x="230"/>
        <item x="170"/>
        <item x="169"/>
        <item x="90"/>
        <item x="236"/>
        <item x="278"/>
        <item x="45"/>
        <item x="223"/>
        <item x="17"/>
        <item x="163"/>
        <item x="179"/>
        <item x="147"/>
        <item x="271"/>
        <item x="272"/>
        <item x="243"/>
        <item x="28"/>
        <item x="182"/>
        <item x="257"/>
        <item x="69"/>
        <item x="241"/>
        <item x="192"/>
        <item x="145"/>
        <item x="254"/>
        <item x="79"/>
        <item x="240"/>
        <item x="128"/>
        <item x="146"/>
        <item x="49"/>
        <item x="168"/>
        <item x="270"/>
        <item x="82"/>
        <item x="219"/>
        <item x="233"/>
        <item x="97"/>
        <item x="215"/>
        <item x="102"/>
        <item x="242"/>
        <item x="93"/>
        <item x="263"/>
        <item x="118"/>
        <item x="231"/>
        <item x="77"/>
        <item x="55"/>
        <item x="196"/>
        <item x="217"/>
        <item x="218"/>
        <item x="56"/>
        <item x="54"/>
        <item x="68"/>
        <item x="6"/>
        <item x="73"/>
        <item x="52"/>
        <item x="72"/>
        <item x="100"/>
        <item x="33"/>
        <item x="131"/>
        <item x="125"/>
        <item x="124"/>
        <item x="48"/>
        <item x="94"/>
        <item x="58"/>
        <item x="57"/>
        <item x="159"/>
        <item x="115"/>
        <item x="44"/>
        <item x="130"/>
        <item x="198"/>
        <item x="282"/>
        <item x="175"/>
        <item x="65"/>
        <item x="165"/>
        <item x="261"/>
        <item x="143"/>
        <item x="113"/>
        <item x="5"/>
        <item x="267"/>
        <item x="114"/>
        <item x="133"/>
        <item x="234"/>
        <item x="229"/>
        <item x="110"/>
        <item x="274"/>
        <item x="269"/>
        <item x="200"/>
        <item x="187"/>
        <item x="111"/>
        <item x="183"/>
        <item x="214"/>
        <item x="139"/>
        <item x="121"/>
        <item x="122"/>
        <item x="134"/>
        <item x="74"/>
        <item x="162"/>
        <item x="258"/>
        <item x="71"/>
        <item x="283"/>
        <item x="191"/>
      </items>
    </pivotField>
    <pivotField showAll="0"/>
    <pivotField axis="axisRow" outline="0" multipleItemSelectionAllowed="1" showAll="0" defaultSubtotal="0">
      <items count="1353">
        <item x="36"/>
        <item x="600"/>
        <item x="602"/>
        <item x="48"/>
        <item x="1179"/>
        <item x="737"/>
        <item x="617"/>
        <item x="496"/>
        <item x="119"/>
        <item x="120"/>
        <item x="121"/>
        <item x="125"/>
        <item x="122"/>
        <item x="25"/>
        <item x="216"/>
        <item x="150"/>
        <item x="112"/>
        <item x="81"/>
        <item x="238"/>
        <item x="558"/>
        <item x="107"/>
        <item x="26"/>
        <item x="308"/>
        <item x="206"/>
        <item x="117"/>
        <item x="218"/>
        <item x="58"/>
        <item x="272"/>
        <item x="273"/>
        <item x="202"/>
        <item x="343"/>
        <item x="425"/>
        <item x="559"/>
        <item x="80"/>
        <item x="446"/>
        <item x="83"/>
        <item x="60"/>
        <item x="230"/>
        <item x="13"/>
        <item x="415"/>
        <item x="413"/>
        <item x="497"/>
        <item x="234"/>
        <item x="236"/>
        <item x="51"/>
        <item x="2"/>
        <item x="116"/>
        <item x="147"/>
        <item x="210"/>
        <item x="146"/>
        <item x="208"/>
        <item x="90"/>
        <item x="151"/>
        <item x="399"/>
        <item x="311"/>
        <item x="78"/>
        <item x="278"/>
        <item x="188"/>
        <item x="307"/>
        <item x="310"/>
        <item x="407"/>
        <item x="92"/>
        <item x="95"/>
        <item x="93"/>
        <item x="94"/>
        <item x="59"/>
        <item x="29"/>
        <item x="50"/>
        <item x="200"/>
        <item x="133"/>
        <item x="111"/>
        <item x="108"/>
        <item x="109"/>
        <item x="105"/>
        <item x="110"/>
        <item x="136"/>
        <item x="361"/>
        <item x="56"/>
        <item x="31"/>
        <item x="103"/>
        <item x="57"/>
        <item x="6"/>
        <item x="53"/>
        <item x="259"/>
        <item x="385"/>
        <item x="191"/>
        <item x="84"/>
        <item x="76"/>
        <item x="183"/>
        <item x="312"/>
        <item x="106"/>
        <item x="61"/>
        <item x="430"/>
        <item x="102"/>
        <item x="268"/>
        <item x="262"/>
        <item x="186"/>
        <item x="86"/>
        <item x="79"/>
        <item x="91"/>
        <item x="207"/>
        <item x="448"/>
        <item x="38"/>
        <item x="55"/>
        <item x="153"/>
        <item x="65"/>
        <item x="9"/>
        <item x="64"/>
        <item x="62"/>
        <item x="187"/>
        <item x="255"/>
        <item x="248"/>
        <item x="28"/>
        <item x="340"/>
        <item x="342"/>
        <item x="350"/>
        <item x="217"/>
        <item x="371"/>
        <item x="180"/>
        <item x="52"/>
        <item x="163"/>
        <item x="484"/>
        <item x="306"/>
        <item x="261"/>
        <item x="348"/>
        <item x="184"/>
        <item x="450"/>
        <item x="583"/>
        <item x="593"/>
        <item x="204"/>
        <item x="40"/>
        <item x="344"/>
        <item x="603"/>
        <item x="901"/>
        <item x="902"/>
        <item x="232"/>
        <item x="237"/>
        <item x="367"/>
        <item x="34"/>
        <item x="30"/>
        <item x="346"/>
        <item x="41"/>
        <item x="39"/>
        <item x="114"/>
        <item x="168"/>
        <item x="356"/>
        <item x="63"/>
        <item x="115"/>
        <item x="283"/>
        <item x="104"/>
        <item x="514"/>
        <item x="447"/>
        <item x="192"/>
        <item x="193"/>
        <item x="195"/>
        <item x="495"/>
        <item x="566"/>
        <item x="126"/>
        <item x="127"/>
        <item x="128"/>
        <item x="129"/>
        <item x="196"/>
        <item x="199"/>
        <item x="194"/>
        <item x="23"/>
        <item x="44"/>
        <item x="176"/>
        <item x="503"/>
        <item x="334"/>
        <item x="335"/>
        <item x="226"/>
        <item x="618"/>
        <item x="619"/>
        <item x="586"/>
        <item x="571"/>
        <item x="378"/>
        <item x="347"/>
        <item x="222"/>
        <item x="406"/>
        <item x="113"/>
        <item x="886"/>
        <item x="345"/>
        <item x="597"/>
        <item x="767"/>
        <item x="35"/>
        <item x="68"/>
        <item x="627"/>
        <item x="1155"/>
        <item x="8"/>
        <item x="783"/>
        <item x="784"/>
        <item x="785"/>
        <item x="750"/>
        <item x="22"/>
        <item x="670"/>
        <item x="779"/>
        <item x="752"/>
        <item x="370"/>
        <item x="325"/>
        <item x="326"/>
        <item x="18"/>
        <item x="17"/>
        <item x="165"/>
        <item x="554"/>
        <item x="351"/>
        <item x="257"/>
        <item x="546"/>
        <item x="884"/>
        <item x="32"/>
        <item x="214"/>
        <item x="231"/>
        <item x="0"/>
        <item x="410"/>
        <item x="388"/>
        <item x="82"/>
        <item x="292"/>
        <item x="271"/>
        <item x="663"/>
        <item x="660"/>
        <item x="584"/>
        <item x="585"/>
        <item x="85"/>
        <item x="3"/>
        <item x="156"/>
        <item x="258"/>
        <item x="118"/>
        <item x="761"/>
        <item x="470"/>
        <item x="829"/>
        <item x="223"/>
        <item x="221"/>
        <item x="774"/>
        <item x="773"/>
        <item x="790"/>
        <item x="260"/>
        <item x="698"/>
        <item x="374"/>
        <item x="561"/>
        <item x="42"/>
        <item x="449"/>
        <item x="705"/>
        <item x="123"/>
        <item x="502"/>
        <item x="54"/>
        <item x="382"/>
        <item x="893"/>
        <item x="454"/>
        <item x="74"/>
        <item x="692"/>
        <item x="198"/>
        <item x="485"/>
        <item x="411"/>
        <item x="881"/>
        <item x="225"/>
        <item x="412"/>
        <item x="806"/>
        <item x="677"/>
        <item x="978"/>
        <item x="209"/>
        <item x="628"/>
        <item x="753"/>
        <item x="404"/>
        <item x="582"/>
        <item x="595"/>
        <item x="560"/>
        <item x="749"/>
        <item x="758"/>
        <item x="539"/>
        <item x="728"/>
        <item x="745"/>
        <item x="759"/>
        <item x="754"/>
        <item x="162"/>
        <item x="661"/>
        <item x="662"/>
        <item x="155"/>
        <item x="313"/>
        <item x="224"/>
        <item x="7"/>
        <item x="154"/>
        <item x="501"/>
        <item x="220"/>
        <item x="991"/>
        <item x="616"/>
        <item x="491"/>
        <item x="505"/>
        <item x="755"/>
        <item x="786"/>
        <item x="304"/>
        <item x="517"/>
        <item x="689"/>
        <item x="691"/>
        <item x="640"/>
        <item x="274"/>
        <item x="827"/>
        <item x="826"/>
        <item x="906"/>
        <item x="727"/>
        <item x="688"/>
        <item x="594"/>
        <item x="604"/>
        <item x="468"/>
        <item x="747"/>
        <item x="760"/>
        <item x="576"/>
        <item x="757"/>
        <item x="364"/>
        <item x="359"/>
        <item x="1016"/>
        <item x="512"/>
        <item x="894"/>
        <item x="362"/>
        <item x="565"/>
        <item x="748"/>
        <item x="228"/>
        <item x="797"/>
        <item x="842"/>
        <item x="690"/>
        <item x="883"/>
        <item x="124"/>
        <item x="336"/>
        <item x="789"/>
        <item x="695"/>
        <item x="696"/>
        <item x="923"/>
        <item x="240"/>
        <item x="598"/>
        <item x="599"/>
        <item x="19"/>
        <item x="386"/>
        <item x="277"/>
        <item x="252"/>
        <item x="16"/>
        <item x="471"/>
        <item x="426"/>
        <item x="294"/>
        <item x="477"/>
        <item x="504"/>
        <item x="266"/>
        <item x="179"/>
        <item x="429"/>
        <item x="49"/>
        <item x="379"/>
        <item x="239"/>
        <item x="295"/>
        <item x="810"/>
        <item x="814"/>
        <item x="813"/>
        <item x="811"/>
        <item x="686"/>
        <item x="251"/>
        <item x="275"/>
        <item x="871"/>
        <item x="945"/>
        <item x="243"/>
        <item x="720"/>
        <item x="420"/>
        <item x="431"/>
        <item x="1036"/>
        <item x="373"/>
        <item x="601"/>
        <item x="360"/>
        <item x="795"/>
        <item x="219"/>
        <item x="1012"/>
        <item x="580"/>
        <item x="669"/>
        <item x="1040"/>
        <item x="1034"/>
        <item x="384"/>
        <item x="743"/>
        <item x="398"/>
        <item x="572"/>
        <item x="352"/>
        <item x="43"/>
        <item x="309"/>
        <item x="1046"/>
        <item x="254"/>
        <item x="1041"/>
        <item x="596"/>
        <item x="1035"/>
        <item x="548"/>
        <item x="888"/>
        <item x="909"/>
        <item x="782"/>
        <item x="152"/>
        <item x="671"/>
        <item x="636"/>
        <item x="492"/>
        <item x="805"/>
        <item x="568"/>
        <item x="369"/>
        <item x="339"/>
        <item x="611"/>
        <item x="166"/>
        <item x="904"/>
        <item x="227"/>
        <item x="241"/>
        <item x="211"/>
        <item x="383"/>
        <item x="882"/>
        <item x="391"/>
        <item x="37"/>
        <item x="794"/>
        <item x="726"/>
        <item x="725"/>
        <item x="269"/>
        <item x="964"/>
        <item x="1047"/>
        <item x="646"/>
        <item x="368"/>
        <item x="679"/>
        <item x="341"/>
        <item x="801"/>
        <item x="922"/>
        <item x="920"/>
        <item x="919"/>
        <item x="1017"/>
        <item x="687"/>
        <item x="685"/>
        <item x="684"/>
        <item x="631"/>
        <item x="965"/>
        <item x="966"/>
        <item x="282"/>
        <item x="372"/>
        <item x="428"/>
        <item x="478"/>
        <item x="744"/>
        <item x="885"/>
        <item x="674"/>
        <item x="215"/>
        <item x="756"/>
        <item x="918"/>
        <item x="253"/>
        <item x="620"/>
        <item x="641"/>
        <item x="159"/>
        <item x="75"/>
        <item x="723"/>
        <item x="855"/>
        <item x="921"/>
        <item x="916"/>
        <item x="610"/>
        <item x="764"/>
        <item x="762"/>
        <item x="862"/>
        <item x="859"/>
        <item x="1037"/>
        <item x="1038"/>
        <item x="363"/>
        <item x="952"/>
        <item x="567"/>
        <item x="733"/>
        <item x="331"/>
        <item x="908"/>
        <item x="796"/>
        <item x="751"/>
        <item x="746"/>
        <item x="809"/>
        <item x="466"/>
        <item x="380"/>
        <item x="673"/>
        <item x="357"/>
        <item x="33"/>
        <item x="575"/>
        <item x="528"/>
        <item x="787"/>
        <item x="421"/>
        <item x="802"/>
        <item x="414"/>
        <item x="416"/>
        <item x="588"/>
        <item x="769"/>
        <item x="697"/>
        <item x="547"/>
        <item x="167"/>
        <item x="592"/>
        <item x="515"/>
        <item x="518"/>
        <item x="793"/>
        <item x="799"/>
        <item x="740"/>
        <item x="869"/>
        <item x="778"/>
        <item x="777"/>
        <item x="741"/>
        <item x="513"/>
        <item x="574"/>
        <item x="5"/>
        <item x="4"/>
        <item x="476"/>
        <item x="573"/>
        <item x="992"/>
        <item x="731"/>
        <item x="267"/>
        <item x="87"/>
        <item x="164"/>
        <item x="984"/>
        <item x="333"/>
        <item x="263"/>
        <item x="781"/>
        <item x="840"/>
        <item x="947"/>
        <item x="955"/>
        <item x="479"/>
        <item x="1266"/>
        <item x="553"/>
        <item x="556"/>
        <item x="474"/>
        <item x="265"/>
        <item x="798"/>
        <item x="846"/>
        <item x="981"/>
        <item x="465"/>
        <item x="742"/>
        <item x="982"/>
        <item x="792"/>
        <item x="791"/>
        <item x="1083"/>
        <item x="835"/>
        <item x="77"/>
        <item x="954"/>
        <item x="953"/>
        <item x="956"/>
        <item x="879"/>
        <item x="878"/>
        <item x="704"/>
        <item x="1013"/>
        <item x="985"/>
        <item x="1014"/>
        <item x="161"/>
        <item x="1147"/>
        <item x="654"/>
        <item x="256"/>
        <item x="763"/>
        <item x="1079"/>
        <item x="874"/>
        <item x="549"/>
        <item x="736"/>
        <item x="735"/>
        <item x="734"/>
        <item x="724"/>
        <item x="711"/>
        <item x="706"/>
        <item x="708"/>
        <item x="45"/>
        <item x="828"/>
        <item x="365"/>
        <item x="887"/>
        <item x="612"/>
        <item x="286"/>
        <item x="905"/>
        <item x="392"/>
        <item x="1025"/>
        <item x="808"/>
        <item x="957"/>
        <item x="1163"/>
        <item x="358"/>
        <item x="861"/>
        <item x="1028"/>
        <item x="389"/>
        <item x="390"/>
        <item x="427"/>
        <item x="912"/>
        <item x="996"/>
        <item x="1086"/>
        <item x="1063"/>
        <item x="284"/>
        <item x="483"/>
        <item x="529"/>
        <item x="589"/>
        <item x="776"/>
        <item x="917"/>
        <item x="1001"/>
        <item x="1164"/>
        <item x="1308"/>
        <item x="1134"/>
        <item x="1146"/>
        <item x="1100"/>
        <item x="632"/>
        <item x="710"/>
        <item x="605"/>
        <item x="739"/>
        <item x="655"/>
        <item x="1080"/>
        <item x="1044"/>
        <item x="578"/>
        <item x="775"/>
        <item x="577"/>
        <item x="1039"/>
        <item x="983"/>
        <item x="550"/>
        <item x="738"/>
        <item x="682"/>
        <item x="681"/>
        <item x="860"/>
        <item x="353"/>
        <item x="629"/>
        <item x="680"/>
        <item x="678"/>
        <item x="500"/>
        <item x="175"/>
        <item x="858"/>
        <item x="1166"/>
        <item x="709"/>
        <item x="1149"/>
        <item x="1148"/>
        <item x="1159"/>
        <item x="659"/>
        <item x="959"/>
        <item x="818"/>
        <item x="1068"/>
        <item x="606"/>
        <item x="987"/>
        <item x="1062"/>
        <item x="1225"/>
        <item x="1226"/>
        <item x="1224"/>
        <item x="800"/>
        <item x="915"/>
        <item x="1051"/>
        <item x="630"/>
        <item x="289"/>
        <item x="1294"/>
        <item x="1193"/>
        <item x="990"/>
        <item x="910"/>
        <item x="880"/>
        <item x="1050"/>
        <item x="480"/>
        <item x="844"/>
        <item x="213"/>
        <item x="1031"/>
        <item x="376"/>
        <item x="1235"/>
        <item x="857"/>
        <item x="1015"/>
        <item x="824"/>
        <item x="301"/>
        <item x="961"/>
        <item x="564"/>
        <item x="644"/>
        <item x="622"/>
        <item x="1167"/>
        <item x="766"/>
        <item x="899"/>
        <item x="1249"/>
        <item x="1045"/>
        <item x="853"/>
        <item x="1143"/>
        <item x="658"/>
        <item x="1248"/>
        <item x="621"/>
        <item x="1056"/>
        <item x="1306"/>
        <item x="190"/>
        <item x="519"/>
        <item x="521"/>
        <item x="540"/>
        <item x="729"/>
        <item x="825"/>
        <item x="456"/>
        <item x="913"/>
        <item x="812"/>
        <item x="721"/>
        <item x="288"/>
        <item x="863"/>
        <item x="948"/>
        <item x="815"/>
        <item x="867"/>
        <item x="958"/>
        <item x="938"/>
        <item x="819"/>
        <item x="538"/>
        <item x="665"/>
        <item x="1142"/>
        <item x="1191"/>
        <item x="877"/>
        <item x="986"/>
        <item x="1032"/>
        <item x="1192"/>
        <item x="1307"/>
        <item x="1129"/>
        <item x="1327"/>
        <item x="653"/>
        <item x="856"/>
        <item x="1222"/>
        <item x="1223"/>
        <item x="1052"/>
        <item x="944"/>
        <item x="516"/>
        <item x="1082"/>
        <item x="354"/>
        <item x="1186"/>
        <item x="1185"/>
        <item x="1007"/>
        <item x="482"/>
        <item x="481"/>
        <item x="963"/>
        <item x="694"/>
        <item x="1026"/>
        <item x="1141"/>
        <item x="1021"/>
        <item x="845"/>
        <item x="1064"/>
        <item x="1269"/>
        <item x="1165"/>
        <item x="657"/>
        <item x="1351"/>
        <item x="1168"/>
        <item x="895"/>
        <item x="700"/>
        <item x="876"/>
        <item x="693"/>
        <item x="1132"/>
        <item x="1107"/>
        <item x="1053"/>
        <item x="545"/>
        <item x="960"/>
        <item x="699"/>
        <item x="581"/>
        <item x="969"/>
        <item x="387"/>
        <item x="930"/>
        <item x="615"/>
        <item x="1004"/>
        <item x="1255"/>
        <item x="1122"/>
        <item x="639"/>
        <item x="804"/>
        <item x="675"/>
        <item x="1011"/>
        <item x="849"/>
        <item x="732"/>
        <item x="1123"/>
        <item x="834"/>
        <item x="1033"/>
        <item x="488"/>
        <item x="936"/>
        <item x="169"/>
        <item x="935"/>
        <item x="526"/>
        <item x="1008"/>
        <item x="1140"/>
        <item x="768"/>
        <item x="467"/>
        <item x="281"/>
        <item x="1274"/>
        <item x="555"/>
        <item x="551"/>
        <item x="1313"/>
        <item x="652"/>
        <item x="772"/>
        <item x="532"/>
        <item x="1027"/>
        <item x="1233"/>
        <item x="1135"/>
        <item x="1228"/>
        <item x="1232"/>
        <item x="937"/>
        <item x="1088"/>
        <item x="770"/>
        <item x="967"/>
        <item x="1314"/>
        <item x="1125"/>
        <item x="1220"/>
        <item x="831"/>
        <item x="830"/>
        <item x="832"/>
        <item x="189"/>
        <item x="875"/>
        <item x="1331"/>
        <item x="1230"/>
        <item x="649"/>
        <item x="651"/>
        <item x="648"/>
        <item x="650"/>
        <item x="1234"/>
        <item x="1270"/>
        <item x="511"/>
        <item x="1136"/>
        <item x="1006"/>
        <item x="903"/>
        <item x="707"/>
        <item x="780"/>
        <item x="656"/>
        <item x="522"/>
        <item x="173"/>
        <item x="1300"/>
        <item x="1329"/>
        <item x="1231"/>
        <item x="46"/>
        <item x="1002"/>
        <item x="463"/>
        <item x="1177"/>
        <item x="1130"/>
        <item x="730"/>
        <item x="613"/>
        <item x="1206"/>
        <item x="1256"/>
        <item x="1043"/>
        <item x="1283"/>
        <item x="1267"/>
        <item x="1121"/>
        <item x="1102"/>
        <item x="1055"/>
        <item x="890"/>
        <item x="394"/>
        <item x="393"/>
        <item x="807"/>
        <item x="1059"/>
        <item x="1069"/>
        <item x="1170"/>
        <item x="1310"/>
        <item x="1190"/>
        <item x="1187"/>
        <item x="1315"/>
        <item x="1311"/>
        <item x="1312"/>
        <item x="1264"/>
        <item x="900"/>
        <item x="1349"/>
        <item x="1317"/>
        <item x="157"/>
        <item x="1158"/>
        <item x="719"/>
        <item x="712"/>
        <item x="715"/>
        <item x="489"/>
        <item x="1151"/>
        <item x="490"/>
        <item x="1169"/>
        <item x="1195"/>
        <item x="1194"/>
        <item x="1183"/>
        <item x="1133"/>
        <item x="1116"/>
        <item x="1297"/>
        <item x="1282"/>
        <item x="1251"/>
        <item x="542"/>
        <item x="850"/>
        <item x="1212"/>
        <item x="1065"/>
        <item x="1298"/>
        <item x="1299"/>
        <item x="1084"/>
        <item x="1341"/>
        <item x="1344"/>
        <item x="1276"/>
        <item x="1030"/>
        <item x="1316"/>
        <item x="1201"/>
        <item x="1054"/>
        <item x="1324"/>
        <item x="1337"/>
        <item x="1198"/>
        <item x="1347"/>
        <item x="591"/>
        <item x="1202"/>
        <item x="88"/>
        <item x="1189"/>
        <item x="1114"/>
        <item x="1304"/>
        <item x="1335"/>
        <item x="1246"/>
        <item x="1277"/>
        <item x="1049"/>
        <item x="1340"/>
        <item x="934"/>
        <item x="142"/>
        <item x="12"/>
        <item x="141"/>
        <item x="27"/>
        <item x="318"/>
        <item x="148"/>
        <item x="139"/>
        <item x="144"/>
        <item x="140"/>
        <item x="137"/>
        <item x="138"/>
        <item x="99"/>
        <item x="98"/>
        <item x="97"/>
        <item x="96"/>
        <item x="100"/>
        <item x="14"/>
        <item x="10"/>
        <item x="11"/>
        <item x="246"/>
        <item x="145"/>
        <item x="299"/>
        <item x="247"/>
        <item x="21"/>
        <item x="314"/>
        <item x="439"/>
        <item x="69"/>
        <item x="562"/>
        <item x="205"/>
        <item x="349"/>
        <item x="563"/>
        <item x="443"/>
        <item x="408"/>
        <item x="70"/>
        <item x="460"/>
        <item x="461"/>
        <item x="132"/>
        <item x="130"/>
        <item x="134"/>
        <item x="135"/>
        <item x="131"/>
        <item x="462"/>
        <item x="316"/>
        <item x="323"/>
        <item x="324"/>
        <item x="509"/>
        <item x="319"/>
        <item x="317"/>
        <item x="71"/>
        <item x="459"/>
        <item x="457"/>
        <item x="444"/>
        <item x="702"/>
        <item x="435"/>
        <item x="458"/>
        <item x="445"/>
        <item x="149"/>
        <item x="20"/>
        <item x="508"/>
        <item x="66"/>
        <item x="475"/>
        <item x="667"/>
        <item x="803"/>
        <item x="643"/>
        <item x="143"/>
        <item x="437"/>
        <item x="332"/>
        <item x="436"/>
        <item x="201"/>
        <item x="405"/>
        <item x="506"/>
        <item x="72"/>
        <item x="305"/>
        <item x="569"/>
        <item x="841"/>
        <item x="355"/>
        <item x="438"/>
        <item x="552"/>
        <item x="531"/>
        <item x="530"/>
        <item x="472"/>
        <item x="320"/>
        <item x="666"/>
        <item x="400"/>
        <item x="67"/>
        <item x="535"/>
        <item x="73"/>
        <item x="821"/>
        <item x="401"/>
        <item x="402"/>
        <item x="788"/>
        <item x="997"/>
        <item x="647"/>
        <item x="570"/>
        <item x="642"/>
        <item x="229"/>
        <item x="974"/>
        <item x="182"/>
        <item x="977"/>
        <item x="181"/>
        <item x="854"/>
        <item x="298"/>
        <item x="1091"/>
        <item x="672"/>
        <item x="434"/>
        <item x="889"/>
        <item x="101"/>
        <item x="433"/>
        <item x="432"/>
        <item x="440"/>
        <item x="441"/>
        <item x="1090"/>
        <item x="1078"/>
        <item x="1018"/>
        <item x="943"/>
        <item x="520"/>
        <item x="942"/>
        <item x="1019"/>
        <item x="381"/>
        <item x="970"/>
        <item x="939"/>
        <item x="1328"/>
        <item x="296"/>
        <item x="634"/>
        <item x="1022"/>
        <item x="941"/>
        <item x="999"/>
        <item x="442"/>
        <item x="968"/>
        <item x="397"/>
        <item x="1244"/>
        <item x="851"/>
        <item x="1029"/>
        <item x="946"/>
        <item x="989"/>
        <item x="870"/>
        <item x="1108"/>
        <item x="1070"/>
        <item x="1214"/>
        <item x="940"/>
        <item x="837"/>
        <item x="1118"/>
        <item x="1112"/>
        <item x="1113"/>
        <item x="1173"/>
        <item x="1174"/>
        <item x="1154"/>
        <item x="843"/>
        <item x="1175"/>
        <item x="1243"/>
        <item x="995"/>
        <item x="925"/>
        <item x="1089"/>
        <item x="1094"/>
        <item x="993"/>
        <item x="872"/>
        <item x="1024"/>
        <item x="838"/>
        <item x="1204"/>
        <item x="836"/>
        <item x="1289"/>
        <item x="839"/>
        <item x="1060"/>
        <item x="1074"/>
        <item x="914"/>
        <item x="1076"/>
        <item x="1109"/>
        <item x="1227"/>
        <item x="1115"/>
        <item x="1152"/>
        <item x="1075"/>
        <item x="1239"/>
        <item x="1156"/>
        <item x="1273"/>
        <item x="302"/>
        <item x="1095"/>
        <item x="1301"/>
        <item x="1205"/>
        <item x="1072"/>
        <item x="1073"/>
        <item x="1272"/>
        <item x="1309"/>
        <item x="924"/>
        <item x="1104"/>
        <item x="979"/>
        <item x="866"/>
        <item x="1247"/>
        <item x="1219"/>
        <item x="933"/>
        <item x="1150"/>
        <item x="703"/>
        <item x="1197"/>
        <item x="1322"/>
        <item x="1139"/>
        <item x="1137"/>
        <item x="1240"/>
        <item x="932"/>
        <item x="1302"/>
        <item x="1210"/>
        <item x="1098"/>
        <item x="1254"/>
        <item x="1048"/>
        <item x="1126"/>
        <item x="898"/>
        <item x="972"/>
        <item x="928"/>
        <item x="1290"/>
        <item x="1285"/>
        <item x="1319"/>
        <item x="1288"/>
        <item x="1287"/>
        <item x="1318"/>
        <item x="1161"/>
        <item x="1293"/>
        <item x="1145"/>
        <item x="1144"/>
        <item x="1209"/>
        <item x="1321"/>
        <item x="1218"/>
        <item x="1217"/>
        <item x="523"/>
        <item x="524"/>
        <item x="1257"/>
        <item x="1261"/>
        <item x="1208"/>
        <item x="1199"/>
        <item x="1260"/>
        <item x="1281"/>
        <item x="1099"/>
        <item x="1343"/>
        <item x="1092"/>
        <item x="1338"/>
        <item x="868"/>
        <item x="1196"/>
        <item x="1160"/>
        <item x="1097"/>
        <item x="1333"/>
        <item x="1325"/>
        <item x="1305"/>
        <item x="1284"/>
        <item x="1252"/>
        <item x="1334"/>
        <item x="1303"/>
        <item x="1350"/>
        <item x="1332"/>
        <item x="1131"/>
        <item x="1238"/>
        <item x="1241"/>
        <item x="1330"/>
        <item x="1178"/>
        <item x="927"/>
        <item x="1339"/>
        <item x="1346"/>
        <item x="1336"/>
        <item x="1101"/>
        <item x="1345"/>
        <item x="1171"/>
        <item x="1323"/>
        <item x="1348"/>
        <item x="1221"/>
        <item x="1271"/>
        <item x="1058"/>
        <item x="1057"/>
        <item x="1258"/>
        <item x="1245"/>
        <item x="1320"/>
        <item x="587"/>
        <item x="1326"/>
        <item x="1077"/>
        <item x="235"/>
        <item x="848"/>
        <item x="1087"/>
        <item x="245"/>
        <item x="713"/>
        <item x="716"/>
        <item x="717"/>
        <item x="718"/>
        <item x="608"/>
        <item x="609"/>
        <item x="607"/>
        <item x="541"/>
        <item x="980"/>
        <item x="270"/>
        <item x="203"/>
        <item x="233"/>
        <item x="285"/>
        <item x="329"/>
        <item x="327"/>
        <item x="15"/>
        <item x="321"/>
        <item x="315"/>
        <item x="417"/>
        <item x="409"/>
        <item x="422"/>
        <item x="264"/>
        <item x="249"/>
        <item x="197"/>
        <item x="418"/>
        <item x="419"/>
        <item x="403"/>
        <item x="338"/>
        <item x="668"/>
        <item x="322"/>
        <item x="250"/>
        <item x="645"/>
        <item x="451"/>
        <item x="452"/>
        <item x="453"/>
        <item x="424"/>
        <item x="337"/>
        <item x="625"/>
        <item x="976"/>
        <item x="623"/>
        <item x="626"/>
        <item x="975"/>
        <item x="907"/>
        <item x="624"/>
        <item x="498"/>
        <item x="177"/>
        <item x="89"/>
        <item x="24"/>
        <item x="47"/>
        <item x="158"/>
        <item x="423"/>
        <item x="290"/>
        <item x="891"/>
        <item x="303"/>
        <item x="300"/>
        <item x="527"/>
        <item x="375"/>
        <item x="172"/>
        <item x="493"/>
        <item x="280"/>
        <item x="185"/>
        <item x="242"/>
        <item x="510"/>
        <item x="293"/>
        <item x="507"/>
        <item x="178"/>
        <item x="170"/>
        <item x="771"/>
        <item x="171"/>
        <item x="276"/>
        <item x="160"/>
        <item x="244"/>
        <item x="486"/>
        <item x="279"/>
        <item x="330"/>
        <item x="212"/>
        <item x="328"/>
        <item x="536"/>
        <item x="377"/>
        <item x="469"/>
        <item x="949"/>
        <item x="950"/>
        <item x="897"/>
        <item x="557"/>
        <item x="473"/>
        <item x="1268"/>
        <item x="847"/>
        <item x="464"/>
        <item x="1010"/>
        <item x="366"/>
        <item x="614"/>
        <item x="287"/>
        <item x="487"/>
        <item x="911"/>
        <item x="534"/>
        <item x="683"/>
        <item x="817"/>
        <item x="1067"/>
        <item x="494"/>
        <item x="590"/>
        <item x="455"/>
        <item x="638"/>
        <item x="722"/>
        <item x="291"/>
        <item x="873"/>
        <item x="951"/>
        <item x="833"/>
        <item x="816"/>
        <item x="1020"/>
        <item x="1009"/>
        <item x="864"/>
        <item x="962"/>
        <item x="865"/>
        <item x="820"/>
        <item x="537"/>
        <item x="664"/>
        <item x="633"/>
        <item x="1106"/>
        <item x="543"/>
        <item x="701"/>
        <item x="579"/>
        <item x="174"/>
        <item x="971"/>
        <item x="931"/>
        <item x="533"/>
        <item x="1229"/>
        <item x="297"/>
        <item x="1003"/>
        <item x="1005"/>
        <item x="635"/>
        <item x="1295"/>
        <item x="1265"/>
        <item x="1000"/>
        <item x="822"/>
        <item x="1103"/>
        <item x="1042"/>
        <item x="1120"/>
        <item x="892"/>
        <item x="396"/>
        <item x="395"/>
        <item x="1242"/>
        <item x="765"/>
        <item x="1162"/>
        <item x="852"/>
        <item x="1071"/>
        <item x="1081"/>
        <item x="1180"/>
        <item x="1181"/>
        <item x="544"/>
        <item x="988"/>
        <item x="1211"/>
        <item x="1066"/>
        <item x="1213"/>
        <item x="714"/>
        <item x="1352"/>
        <item x="1117"/>
        <item x="1124"/>
        <item x="1200"/>
        <item x="1153"/>
        <item x="1138"/>
        <item x="676"/>
        <item x="1085"/>
        <item x="994"/>
        <item x="926"/>
        <item x="1093"/>
        <item x="1188"/>
        <item x="1111"/>
        <item x="1275"/>
        <item x="998"/>
        <item x="1061"/>
        <item x="1128"/>
        <item x="1110"/>
        <item x="1127"/>
        <item x="525"/>
        <item x="1236"/>
        <item x="1157"/>
        <item x="1291"/>
        <item x="1207"/>
        <item x="1182"/>
        <item x="1176"/>
        <item x="1105"/>
        <item x="1250"/>
        <item x="637"/>
        <item x="1296"/>
        <item x="1237"/>
        <item x="1184"/>
        <item x="1119"/>
        <item x="1253"/>
        <item x="896"/>
        <item x="973"/>
        <item x="929"/>
        <item x="1286"/>
        <item x="1292"/>
        <item x="1096"/>
        <item x="1203"/>
        <item x="1215"/>
        <item x="1216"/>
        <item x="1259"/>
        <item x="1262"/>
        <item x="1263"/>
        <item x="1280"/>
        <item x="1342"/>
        <item x="1278"/>
        <item x="1279"/>
        <item x="823"/>
        <item x="1023"/>
        <item x="1172"/>
        <item x="499"/>
        <item x="1"/>
      </items>
    </pivotField>
    <pivotField showAll="0"/>
    <pivotField axis="axisRow" outline="0" multipleItemSelectionAllowed="1" showAll="0" defaultSubtotal="0">
      <items count="318">
        <item h="1" x="202"/>
        <item h="1" x="161"/>
        <item h="1" x="109"/>
        <item h="1" x="125"/>
        <item h="1" x="106"/>
        <item h="1" x="107"/>
        <item h="1" x="75"/>
        <item h="1" x="80"/>
        <item h="1" x="72"/>
        <item h="1" x="105"/>
        <item h="1" x="30"/>
        <item h="1" x="108"/>
        <item h="1" x="57"/>
        <item h="1" x="49"/>
        <item h="1" x="67"/>
        <item h="1" x="69"/>
        <item h="1" x="20"/>
        <item h="1" x="129"/>
        <item h="1" x="12"/>
        <item h="1" x="66"/>
        <item h="1" x="164"/>
        <item h="1" x="126"/>
        <item h="1" x="76"/>
        <item h="1" x="138"/>
        <item h="1" x="139"/>
        <item h="1" x="44"/>
        <item h="1" x="79"/>
        <item h="1" x="128"/>
        <item h="1" x="147"/>
        <item h="1" x="11"/>
        <item h="1" x="51"/>
        <item h="1" x="100"/>
        <item h="1" x="167"/>
        <item h="1" x="40"/>
        <item h="1" x="71"/>
        <item h="1" x="70"/>
        <item h="1" x="87"/>
        <item h="1" x="88"/>
        <item h="1" x="50"/>
        <item h="1" x="77"/>
        <item h="1" x="102"/>
        <item h="1" x="68"/>
        <item h="1" x="196"/>
        <item h="1" x="41"/>
        <item h="1" x="29"/>
        <item h="1" x="96"/>
        <item h="1" x="89"/>
        <item h="1" x="78"/>
        <item h="1" x="101"/>
        <item h="1" x="93"/>
        <item h="1" x="83"/>
        <item h="1" x="151"/>
        <item h="1" x="14"/>
        <item h="1" x="13"/>
        <item h="1" x="21"/>
        <item h="1" x="65"/>
        <item h="1" x="81"/>
        <item h="1" x="37"/>
        <item h="1" x="48"/>
        <item h="1" x="19"/>
        <item h="1" x="35"/>
        <item h="1" x="55"/>
        <item h="1" x="45"/>
        <item h="1" x="103"/>
        <item h="1" x="154"/>
        <item h="1" x="148"/>
        <item h="1" x="195"/>
        <item h="1" x="97"/>
        <item h="1" x="15"/>
        <item h="1" x="60"/>
        <item h="1" x="1"/>
        <item h="1" x="165"/>
        <item h="1" x="187"/>
        <item h="1" x="85"/>
        <item h="1" x="112"/>
        <item h="1" x="141"/>
        <item h="1" x="39"/>
        <item h="1" x="25"/>
        <item h="1" x="32"/>
        <item h="1" x="174"/>
        <item h="1" x="46"/>
        <item h="1" x="120"/>
        <item h="1" x="82"/>
        <item h="1" x="6"/>
        <item h="1" x="94"/>
        <item h="1" x="123"/>
        <item h="1" x="133"/>
        <item h="1" x="143"/>
        <item h="1" x="136"/>
        <item h="1" x="43"/>
        <item h="1" x="31"/>
        <item h="1" x="193"/>
        <item h="1" x="137"/>
        <item h="1" x="38"/>
        <item h="1" x="221"/>
        <item h="1" x="27"/>
        <item h="1" x="18"/>
        <item h="1" x="204"/>
        <item h="1" x="34"/>
        <item h="1" x="26"/>
        <item h="1" x="42"/>
        <item h="1" x="7"/>
        <item h="1" x="91"/>
        <item h="1" x="64"/>
        <item h="1" x="54"/>
        <item h="1" x="53"/>
        <item h="1" x="197"/>
        <item h="1" x="168"/>
        <item h="1" x="10"/>
        <item h="1" x="61"/>
        <item h="1" x="2"/>
        <item h="1" x="163"/>
        <item h="1" x="142"/>
        <item h="1" x="113"/>
        <item h="1" x="63"/>
        <item h="1" x="157"/>
        <item h="1" x="95"/>
        <item h="1" x="145"/>
        <item h="1" x="116"/>
        <item h="1" x="119"/>
        <item h="1" x="9"/>
        <item h="1" x="191"/>
        <item h="1" x="162"/>
        <item h="1" x="104"/>
        <item h="1" x="205"/>
        <item h="1" x="28"/>
        <item h="1" x="189"/>
        <item h="1" x="140"/>
        <item h="1" x="186"/>
        <item h="1" x="62"/>
        <item h="1" x="146"/>
        <item h="1" x="58"/>
        <item h="1" x="56"/>
        <item h="1" x="130"/>
        <item h="1" x="177"/>
        <item h="1" x="268"/>
        <item h="1" x="169"/>
        <item h="1" x="17"/>
        <item h="1" x="132"/>
        <item h="1" x="185"/>
        <item h="1" x="99"/>
        <item h="1" x="135"/>
        <item h="1" x="92"/>
        <item h="1" x="190"/>
        <item h="1" x="110"/>
        <item h="1" x="127"/>
        <item h="1" x="303"/>
        <item h="1" x="166"/>
        <item h="1" x="175"/>
        <item h="1" x="111"/>
        <item h="1" x="4"/>
        <item h="1" x="3"/>
        <item h="1" x="118"/>
        <item h="1" x="117"/>
        <item h="1" x="124"/>
        <item h="1" x="131"/>
        <item h="1" x="199"/>
        <item h="1" x="230"/>
        <item h="1" x="176"/>
        <item h="1" x="52"/>
        <item h="1" x="203"/>
        <item h="1" x="121"/>
        <item h="1" x="271"/>
        <item h="1" x="134"/>
        <item h="1" x="159"/>
        <item h="1" x="282"/>
        <item h="1" x="209"/>
        <item h="1" x="73"/>
        <item h="1" x="291"/>
        <item h="1" x="171"/>
        <item h="1" x="206"/>
        <item h="1" x="150"/>
        <item h="1" x="23"/>
        <item h="1" x="179"/>
        <item h="1" x="201"/>
        <item h="1" x="216"/>
        <item h="1" x="152"/>
        <item h="1" x="36"/>
        <item h="1" x="59"/>
        <item h="1" x="16"/>
        <item h="1" x="115"/>
        <item h="1" x="156"/>
        <item h="1" x="160"/>
        <item h="1" x="5"/>
        <item h="1" x="270"/>
        <item h="1" x="98"/>
        <item h="1" x="114"/>
        <item h="1" x="22"/>
        <item h="1" x="188"/>
        <item h="1" x="194"/>
        <item h="1" x="153"/>
        <item h="1" x="33"/>
        <item h="1" x="144"/>
        <item h="1" x="249"/>
        <item h="1" x="272"/>
        <item h="1" x="225"/>
        <item h="1" x="90"/>
        <item h="1" x="172"/>
        <item h="1" x="218"/>
        <item h="1" x="208"/>
        <item h="1" x="315"/>
        <item h="1" x="180"/>
        <item h="1" x="158"/>
        <item h="1" x="198"/>
        <item h="1" x="255"/>
        <item h="1" x="283"/>
        <item h="1" x="173"/>
        <item h="1" x="207"/>
        <item h="1" x="313"/>
        <item h="1" x="308"/>
        <item h="1" x="294"/>
        <item h="1" x="122"/>
        <item h="1" x="279"/>
        <item h="1" x="300"/>
        <item h="1" x="296"/>
        <item h="1" x="170"/>
        <item h="1" x="86"/>
        <item h="1" x="299"/>
        <item h="1" x="149"/>
        <item h="1" x="309"/>
        <item h="1" x="155"/>
        <item h="1" x="8"/>
        <item h="1" x="263"/>
        <item h="1" x="269"/>
        <item h="1" x="295"/>
        <item h="1" x="84"/>
        <item h="1" x="178"/>
        <item h="1" x="182"/>
        <item h="1" x="292"/>
        <item h="1" x="307"/>
        <item h="1" x="200"/>
        <item h="1" x="213"/>
        <item h="1" x="181"/>
        <item h="1" x="184"/>
        <item h="1" x="212"/>
        <item h="1" x="265"/>
        <item h="1" x="264"/>
        <item h="1" x="24"/>
        <item h="1" x="192"/>
        <item h="1" x="289"/>
        <item h="1" x="223"/>
        <item h="1" x="183"/>
        <item h="1" x="290"/>
        <item h="1" x="311"/>
        <item h="1" x="241"/>
        <item h="1" x="286"/>
        <item h="1" x="229"/>
        <item h="1" x="215"/>
        <item h="1" x="222"/>
        <item h="1" x="224"/>
        <item h="1" x="47"/>
        <item h="1" x="301"/>
        <item h="1" x="267"/>
        <item h="1" x="233"/>
        <item h="1" x="275"/>
        <item h="1" x="245"/>
        <item h="1" x="243"/>
        <item h="1" x="257"/>
        <item h="1" x="259"/>
        <item h="1" x="258"/>
        <item h="1" x="317"/>
        <item h="1" x="220"/>
        <item h="1" x="219"/>
        <item h="1" x="293"/>
        <item h="1" x="273"/>
        <item h="1" x="260"/>
        <item h="1" x="310"/>
        <item h="1" x="261"/>
        <item h="1" x="288"/>
        <item h="1" x="253"/>
        <item h="1" x="256"/>
        <item h="1" x="302"/>
        <item h="1" x="304"/>
        <item h="1" x="242"/>
        <item h="1" x="240"/>
        <item h="1" x="231"/>
        <item h="1" x="251"/>
        <item h="1" x="232"/>
        <item h="1" x="246"/>
        <item h="1" x="236"/>
        <item h="1" x="248"/>
        <item h="1" x="262"/>
        <item h="1" x="227"/>
        <item h="1" x="254"/>
        <item h="1" x="247"/>
        <item h="1" x="234"/>
        <item h="1" x="74"/>
        <item h="1" x="238"/>
        <item h="1" x="237"/>
        <item h="1" x="252"/>
        <item h="1" x="276"/>
        <item h="1" x="214"/>
        <item h="1" x="297"/>
        <item h="1" x="250"/>
        <item h="1" x="217"/>
        <item h="1" x="211"/>
        <item h="1" x="277"/>
        <item h="1" x="266"/>
        <item h="1" x="226"/>
        <item h="1" x="274"/>
        <item h="1" x="316"/>
        <item h="1" x="235"/>
        <item h="1" x="285"/>
        <item h="1" x="314"/>
        <item h="1" x="298"/>
        <item h="1" x="239"/>
        <item h="1" x="244"/>
        <item h="1" x="305"/>
        <item h="1" x="312"/>
        <item h="1" x="306"/>
        <item h="1" x="228"/>
        <item h="1" x="210"/>
        <item h="1" x="284"/>
        <item h="1" x="278"/>
        <item h="1" x="287"/>
        <item h="1" x="280"/>
        <item h="1" x="281"/>
        <item x="0"/>
      </items>
    </pivotField>
    <pivotField showAll="0"/>
    <pivotField axis="axisRow" outline="0" multipleItemSelectionAllowed="1" showAll="0" defaultSubtotal="0">
      <items count="383">
        <item x="6"/>
        <item x="16"/>
        <item x="35"/>
        <item x="37"/>
        <item x="36"/>
        <item x="4"/>
        <item x="339"/>
        <item x="338"/>
        <item x="12"/>
        <item x="332"/>
        <item x="347"/>
        <item x="125"/>
        <item x="159"/>
        <item x="108"/>
        <item x="160"/>
        <item x="122"/>
        <item x="161"/>
        <item x="312"/>
        <item x="121"/>
        <item x="73"/>
        <item x="61"/>
        <item x="19"/>
        <item x="44"/>
        <item x="90"/>
        <item x="128"/>
        <item x="204"/>
        <item x="354"/>
        <item x="20"/>
        <item x="203"/>
        <item x="285"/>
        <item x="94"/>
        <item x="98"/>
        <item x="82"/>
        <item x="123"/>
        <item x="202"/>
        <item x="31"/>
        <item x="145"/>
        <item x="74"/>
        <item x="92"/>
        <item x="79"/>
        <item x="93"/>
        <item x="131"/>
        <item x="124"/>
        <item x="268"/>
        <item x="199"/>
        <item x="210"/>
        <item x="96"/>
        <item x="209"/>
        <item x="243"/>
        <item x="97"/>
        <item x="59"/>
        <item x="358"/>
        <item x="264"/>
        <item x="103"/>
        <item x="139"/>
        <item x="77"/>
        <item x="81"/>
        <item x="259"/>
        <item x="359"/>
        <item x="235"/>
        <item x="129"/>
        <item x="201"/>
        <item x="267"/>
        <item x="152"/>
        <item x="287"/>
        <item x="151"/>
        <item x="352"/>
        <item x="99"/>
        <item x="69"/>
        <item x="144"/>
        <item x="322"/>
        <item x="333"/>
        <item x="205"/>
        <item x="154"/>
        <item x="60"/>
        <item x="118"/>
        <item x="91"/>
        <item x="71"/>
        <item x="102"/>
        <item x="306"/>
        <item x="363"/>
        <item x="353"/>
        <item x="105"/>
        <item x="100"/>
        <item x="328"/>
        <item x="104"/>
        <item x="138"/>
        <item x="290"/>
        <item x="146"/>
        <item x="101"/>
        <item x="95"/>
        <item x="362"/>
        <item x="137"/>
        <item x="286"/>
        <item x="132"/>
        <item x="83"/>
        <item x="126"/>
        <item x="270"/>
        <item x="271"/>
        <item x="380"/>
        <item x="76"/>
        <item x="134"/>
        <item x="68"/>
        <item x="75"/>
        <item x="142"/>
        <item x="111"/>
        <item x="78"/>
        <item x="86"/>
        <item x="85"/>
        <item x="115"/>
        <item x="291"/>
        <item x="80"/>
        <item x="155"/>
        <item x="141"/>
        <item x="32"/>
        <item x="72"/>
        <item x="62"/>
        <item x="356"/>
        <item x="130"/>
        <item x="140"/>
        <item x="355"/>
        <item x="107"/>
        <item x="382"/>
        <item x="109"/>
        <item x="360"/>
        <item x="376"/>
        <item x="88"/>
        <item x="156"/>
        <item x="245"/>
        <item x="87"/>
        <item x="153"/>
        <item x="357"/>
        <item x="119"/>
        <item x="106"/>
        <item x="117"/>
        <item x="120"/>
        <item x="133"/>
        <item x="127"/>
        <item x="89"/>
        <item x="116"/>
        <item x="272"/>
        <item x="284"/>
        <item x="113"/>
        <item x="143"/>
        <item x="157"/>
        <item x="112"/>
        <item x="369"/>
        <item x="372"/>
        <item x="63"/>
        <item x="321"/>
        <item x="135"/>
        <item x="114"/>
        <item x="370"/>
        <item x="110"/>
        <item x="378"/>
        <item x="307"/>
        <item x="84"/>
        <item x="136"/>
        <item x="379"/>
        <item x="158"/>
        <item x="316"/>
        <item x="23"/>
        <item x="167"/>
        <item x="179"/>
        <item x="208"/>
        <item x="169"/>
        <item x="55"/>
        <item x="221"/>
        <item x="256"/>
        <item x="57"/>
        <item x="174"/>
        <item x="13"/>
        <item x="254"/>
        <item x="252"/>
        <item x="249"/>
        <item x="177"/>
        <item x="176"/>
        <item x="48"/>
        <item x="2"/>
        <item x="163"/>
        <item x="198"/>
        <item x="207"/>
        <item x="56"/>
        <item x="25"/>
        <item x="47"/>
        <item x="231"/>
        <item x="53"/>
        <item x="27"/>
        <item x="54"/>
        <item x="50"/>
        <item x="189"/>
        <item x="58"/>
        <item x="194"/>
        <item x="191"/>
        <item x="247"/>
        <item x="162"/>
        <item x="258"/>
        <item x="52"/>
        <item x="64"/>
        <item x="9"/>
        <item x="186"/>
        <item x="183"/>
        <item x="24"/>
        <item x="218"/>
        <item x="220"/>
        <item x="168"/>
        <item x="239"/>
        <item x="265"/>
        <item x="206"/>
        <item x="225"/>
        <item x="303"/>
        <item x="222"/>
        <item x="308"/>
        <item x="175"/>
        <item x="178"/>
        <item x="236"/>
        <item x="30"/>
        <item x="26"/>
        <item x="223"/>
        <item x="38"/>
        <item x="200"/>
        <item x="279"/>
        <item x="257"/>
        <item x="147"/>
        <item x="149"/>
        <item x="269"/>
        <item x="295"/>
        <item x="150"/>
        <item x="148"/>
        <item x="22"/>
        <item x="41"/>
        <item x="275"/>
        <item x="214"/>
        <item x="215"/>
        <item x="5"/>
        <item x="301"/>
        <item x="244"/>
        <item x="224"/>
        <item x="173"/>
        <item x="305"/>
        <item x="67"/>
        <item x="318"/>
        <item x="8"/>
        <item x="348"/>
        <item x="21"/>
        <item x="18"/>
        <item x="17"/>
        <item x="226"/>
        <item x="187"/>
        <item x="28"/>
        <item x="165"/>
        <item x="0"/>
        <item x="326"/>
        <item x="300"/>
        <item x="3"/>
        <item x="188"/>
        <item x="172"/>
        <item x="190"/>
        <item x="242"/>
        <item x="39"/>
        <item x="331"/>
        <item x="274"/>
        <item x="51"/>
        <item x="266"/>
        <item x="250"/>
        <item x="251"/>
        <item x="329"/>
        <item x="164"/>
        <item x="319"/>
        <item x="248"/>
        <item x="289"/>
        <item x="343"/>
        <item x="327"/>
        <item x="212"/>
        <item x="7"/>
        <item x="273"/>
        <item x="171"/>
        <item x="315"/>
        <item x="344"/>
        <item x="282"/>
        <item x="323"/>
        <item x="350"/>
        <item x="304"/>
        <item x="309"/>
        <item x="261"/>
        <item x="234"/>
        <item x="229"/>
        <item x="368"/>
        <item x="277"/>
        <item x="232"/>
        <item x="294"/>
        <item x="351"/>
        <item x="216"/>
        <item x="181"/>
        <item x="246"/>
        <item x="197"/>
        <item x="15"/>
        <item x="262"/>
        <item x="276"/>
        <item x="255"/>
        <item x="46"/>
        <item x="180"/>
        <item x="184"/>
        <item x="196"/>
        <item x="241"/>
        <item x="230"/>
        <item x="170"/>
        <item x="298"/>
        <item x="227"/>
        <item x="40"/>
        <item x="185"/>
        <item x="293"/>
        <item x="297"/>
        <item x="238"/>
        <item x="217"/>
        <item x="182"/>
        <item x="34"/>
        <item x="336"/>
        <item x="195"/>
        <item x="364"/>
        <item x="237"/>
        <item x="219"/>
        <item x="365"/>
        <item x="366"/>
        <item x="45"/>
        <item x="240"/>
        <item x="263"/>
        <item x="342"/>
        <item x="166"/>
        <item x="317"/>
        <item x="324"/>
        <item x="334"/>
        <item x="313"/>
        <item x="371"/>
        <item x="233"/>
        <item x="296"/>
        <item x="211"/>
        <item x="260"/>
        <item x="29"/>
        <item x="281"/>
        <item x="253"/>
        <item x="292"/>
        <item x="302"/>
        <item x="280"/>
        <item x="283"/>
        <item x="349"/>
        <item x="340"/>
        <item x="278"/>
        <item x="193"/>
        <item x="288"/>
        <item x="213"/>
        <item x="192"/>
        <item x="361"/>
        <item x="341"/>
        <item x="70"/>
        <item x="330"/>
        <item x="373"/>
        <item x="335"/>
        <item x="42"/>
        <item x="314"/>
        <item x="228"/>
        <item x="377"/>
        <item x="367"/>
        <item x="346"/>
        <item x="375"/>
        <item x="310"/>
        <item x="374"/>
        <item x="65"/>
        <item x="299"/>
        <item x="345"/>
        <item x="320"/>
        <item x="325"/>
        <item x="311"/>
        <item x="381"/>
        <item x="43"/>
        <item x="14"/>
        <item x="10"/>
        <item x="11"/>
        <item x="66"/>
        <item x="49"/>
        <item x="337"/>
        <item h="1" x="33"/>
        <item h="1" x="1"/>
      </items>
    </pivotField>
    <pivotField axis="axisRow" outline="0" multipleItemSelectionAllowed="1" showAll="0" defaultSubtotal="0">
      <items count="354">
        <item x="260"/>
        <item x="323"/>
        <item x="309"/>
        <item x="345"/>
        <item x="151"/>
        <item x="275"/>
        <item x="288"/>
        <item x="321"/>
        <item x="230"/>
        <item x="346"/>
        <item x="339"/>
        <item x="255"/>
        <item x="340"/>
        <item x="259"/>
        <item x="153"/>
        <item x="257"/>
        <item x="243"/>
        <item x="302"/>
        <item x="293"/>
        <item x="36"/>
        <item x="317"/>
        <item x="269"/>
        <item x="266"/>
        <item x="294"/>
        <item x="333"/>
        <item x="207"/>
        <item x="303"/>
        <item x="195"/>
        <item x="242"/>
        <item x="35"/>
        <item x="38"/>
        <item x="278"/>
        <item x="305"/>
        <item x="265"/>
        <item x="57"/>
        <item x="19"/>
        <item x="11"/>
        <item x="28"/>
        <item x="311"/>
        <item x="319"/>
        <item x="352"/>
        <item x="53"/>
        <item x="12"/>
        <item x="9"/>
        <item x="10"/>
        <item x="54"/>
        <item x="290"/>
        <item x="226"/>
        <item x="160"/>
        <item x="177"/>
        <item x="158"/>
        <item x="157"/>
        <item x="156"/>
        <item x="159"/>
        <item x="31"/>
        <item x="188"/>
        <item x="21"/>
        <item x="229"/>
        <item x="180"/>
        <item x="200"/>
        <item x="201"/>
        <item x="187"/>
        <item x="210"/>
        <item x="20"/>
        <item x="149"/>
        <item x="233"/>
        <item x="150"/>
        <item x="43"/>
        <item x="144"/>
        <item x="132"/>
        <item x="23"/>
        <item x="22"/>
        <item x="32"/>
        <item x="30"/>
        <item x="154"/>
        <item x="217"/>
        <item x="211"/>
        <item x="281"/>
        <item x="145"/>
        <item x="24"/>
        <item x="2"/>
        <item x="231"/>
        <item x="163"/>
        <item x="203"/>
        <item x="39"/>
        <item x="45"/>
        <item x="247"/>
        <item x="172"/>
        <item x="7"/>
        <item x="133"/>
        <item x="193"/>
        <item x="205"/>
        <item x="198"/>
        <item x="44"/>
        <item x="279"/>
        <item x="199"/>
        <item x="41"/>
        <item x="29"/>
        <item x="292"/>
        <item x="47"/>
        <item x="40"/>
        <item x="8"/>
        <item x="284"/>
        <item x="234"/>
        <item x="18"/>
        <item x="3"/>
        <item x="228"/>
        <item x="204"/>
        <item x="164"/>
        <item x="208"/>
        <item x="167"/>
        <item x="171"/>
        <item x="17"/>
        <item x="277"/>
        <item x="227"/>
        <item x="155"/>
        <item x="297"/>
        <item x="42"/>
        <item x="273"/>
        <item x="202"/>
        <item x="271"/>
        <item x="209"/>
        <item x="191"/>
        <item x="253"/>
        <item x="235"/>
        <item x="25"/>
        <item x="270"/>
        <item x="147"/>
        <item x="196"/>
        <item x="276"/>
        <item x="161"/>
        <item x="186"/>
        <item x="232"/>
        <item x="251"/>
        <item x="162"/>
        <item x="5"/>
        <item x="4"/>
        <item x="170"/>
        <item x="169"/>
        <item x="174"/>
        <item x="192"/>
        <item x="312"/>
        <item x="287"/>
        <item x="310"/>
        <item x="252"/>
        <item x="291"/>
        <item x="194"/>
        <item x="223"/>
        <item x="300"/>
        <item x="238"/>
        <item x="298"/>
        <item x="213"/>
        <item x="34"/>
        <item x="256"/>
        <item x="289"/>
        <item x="215"/>
        <item x="166"/>
        <item x="219"/>
        <item x="224"/>
        <item x="6"/>
        <item x="146"/>
        <item x="165"/>
        <item x="33"/>
        <item x="272"/>
        <item x="280"/>
        <item x="216"/>
        <item x="46"/>
        <item x="206"/>
        <item x="316"/>
        <item x="168"/>
        <item x="314"/>
        <item x="304"/>
        <item x="239"/>
        <item x="299"/>
        <item x="351"/>
        <item x="337"/>
        <item x="313"/>
        <item x="258"/>
        <item x="221"/>
        <item x="152"/>
        <item x="322"/>
        <item x="315"/>
        <item x="13"/>
        <item x="148"/>
        <item x="240"/>
        <item x="307"/>
        <item x="338"/>
        <item x="274"/>
        <item x="225"/>
        <item x="197"/>
        <item x="320"/>
        <item x="173"/>
        <item x="0"/>
        <item x="237"/>
        <item x="175"/>
        <item x="336"/>
        <item x="343"/>
        <item x="176"/>
        <item x="212"/>
        <item x="218"/>
        <item x="14"/>
        <item x="347"/>
        <item x="285"/>
        <item x="308"/>
        <item x="318"/>
        <item x="254"/>
        <item x="60"/>
        <item x="50"/>
        <item x="15"/>
        <item x="37"/>
        <item x="76"/>
        <item x="184"/>
        <item x="326"/>
        <item x="16"/>
        <item x="183"/>
        <item x="262"/>
        <item x="109"/>
        <item x="124"/>
        <item x="245"/>
        <item x="179"/>
        <item x="182"/>
        <item x="112"/>
        <item x="26"/>
        <item x="130"/>
        <item x="61"/>
        <item x="78"/>
        <item x="107"/>
        <item x="79"/>
        <item x="115"/>
        <item x="108"/>
        <item x="246"/>
        <item x="178"/>
        <item x="190"/>
        <item x="81"/>
        <item x="66"/>
        <item x="189"/>
        <item x="220"/>
        <item x="82"/>
        <item x="48"/>
        <item x="330"/>
        <item x="241"/>
        <item x="87"/>
        <item x="123"/>
        <item x="64"/>
        <item x="68"/>
        <item x="236"/>
        <item x="331"/>
        <item x="214"/>
        <item x="113"/>
        <item x="181"/>
        <item x="244"/>
        <item x="106"/>
        <item x="264"/>
        <item x="135"/>
        <item x="324"/>
        <item x="286"/>
        <item x="83"/>
        <item x="134"/>
        <item x="105"/>
        <item x="56"/>
        <item x="129"/>
        <item x="296"/>
        <item x="306"/>
        <item x="185"/>
        <item x="137"/>
        <item x="49"/>
        <item x="102"/>
        <item x="77"/>
        <item x="58"/>
        <item x="86"/>
        <item x="282"/>
        <item x="325"/>
        <item x="89"/>
        <item x="84"/>
        <item x="301"/>
        <item x="88"/>
        <item x="122"/>
        <item x="267"/>
        <item x="335"/>
        <item x="131"/>
        <item x="85"/>
        <item x="334"/>
        <item x="116"/>
        <item x="69"/>
        <item x="110"/>
        <item x="248"/>
        <item x="263"/>
        <item x="249"/>
        <item x="63"/>
        <item x="121"/>
        <item x="118"/>
        <item x="142"/>
        <item x="92"/>
        <item x="62"/>
        <item x="55"/>
        <item x="127"/>
        <item x="95"/>
        <item x="65"/>
        <item x="72"/>
        <item x="71"/>
        <item x="99"/>
        <item x="268"/>
        <item x="138"/>
        <item x="126"/>
        <item x="27"/>
        <item x="59"/>
        <item x="51"/>
        <item x="328"/>
        <item x="114"/>
        <item x="125"/>
        <item x="80"/>
        <item x="327"/>
        <item x="143"/>
        <item x="353"/>
        <item x="93"/>
        <item x="332"/>
        <item x="74"/>
        <item x="139"/>
        <item x="348"/>
        <item x="222"/>
        <item x="73"/>
        <item x="136"/>
        <item x="329"/>
        <item x="103"/>
        <item x="101"/>
        <item x="90"/>
        <item x="117"/>
        <item x="111"/>
        <item x="67"/>
        <item x="100"/>
        <item x="250"/>
        <item x="261"/>
        <item x="75"/>
        <item x="97"/>
        <item x="128"/>
        <item x="140"/>
        <item x="96"/>
        <item x="341"/>
        <item x="344"/>
        <item x="52"/>
        <item x="91"/>
        <item x="295"/>
        <item x="119"/>
        <item x="98"/>
        <item x="104"/>
        <item x="94"/>
        <item x="342"/>
        <item x="349"/>
        <item x="283"/>
        <item x="70"/>
        <item x="120"/>
        <item x="350"/>
        <item x="141"/>
        <item h="1" x="1"/>
      </items>
    </pivotField>
    <pivotField axis="axisRow" outline="0" showAll="0" defaultSubtotal="0">
      <items count="433">
        <item x="153"/>
        <item x="77"/>
        <item x="254"/>
        <item x="141"/>
        <item x="227"/>
        <item x="58"/>
        <item x="158"/>
        <item x="205"/>
        <item x="164"/>
        <item x="24"/>
        <item x="222"/>
        <item x="258"/>
        <item x="67"/>
        <item x="196"/>
        <item x="341"/>
        <item x="287"/>
        <item x="389"/>
        <item x="152"/>
        <item x="312"/>
        <item x="137"/>
        <item x="240"/>
        <item x="376"/>
        <item x="406"/>
        <item x="133"/>
        <item x="144"/>
        <item x="18"/>
        <item x="30"/>
        <item x="40"/>
        <item x="195"/>
        <item x="273"/>
        <item x="123"/>
        <item x="430"/>
        <item x="313"/>
        <item x="311"/>
        <item x="125"/>
        <item x="417"/>
        <item x="423"/>
        <item x="289"/>
        <item x="11"/>
        <item x="208"/>
        <item x="270"/>
        <item x="331"/>
        <item x="271"/>
        <item x="131"/>
        <item x="104"/>
        <item x="332"/>
        <item x="384"/>
        <item x="174"/>
        <item x="162"/>
        <item x="327"/>
        <item x="214"/>
        <item x="193"/>
        <item x="217"/>
        <item x="147"/>
        <item x="176"/>
        <item x="375"/>
        <item x="216"/>
        <item x="307"/>
        <item x="426"/>
        <item x="146"/>
        <item x="402"/>
        <item x="23"/>
        <item x="412"/>
        <item x="171"/>
        <item x="35"/>
        <item x="182"/>
        <item x="75"/>
        <item x="431"/>
        <item x="21"/>
        <item x="220"/>
        <item x="235"/>
        <item x="115"/>
        <item x="121"/>
        <item x="13"/>
        <item x="177"/>
        <item x="66"/>
        <item x="105"/>
        <item x="51"/>
        <item x="301"/>
        <item x="259"/>
        <item x="112"/>
        <item x="17"/>
        <item x="76"/>
        <item x="295"/>
        <item x="192"/>
        <item x="65"/>
        <item x="266"/>
        <item x="241"/>
        <item x="50"/>
        <item x="348"/>
        <item x="29"/>
        <item x="260"/>
        <item x="256"/>
        <item x="126"/>
        <item x="189"/>
        <item x="239"/>
        <item x="142"/>
        <item x="373"/>
        <item x="340"/>
        <item x="305"/>
        <item x="367"/>
        <item x="106"/>
        <item x="111"/>
        <item x="56"/>
        <item x="336"/>
        <item x="129"/>
        <item x="411"/>
        <item x="339"/>
        <item x="425"/>
        <item x="385"/>
        <item x="94"/>
        <item x="135"/>
        <item x="203"/>
        <item x="88"/>
        <item x="113"/>
        <item x="39"/>
        <item x="218"/>
        <item x="197"/>
        <item x="102"/>
        <item x="349"/>
        <item x="229"/>
        <item x="122"/>
        <item x="320"/>
        <item x="379"/>
        <item x="136"/>
        <item x="187"/>
        <item x="400"/>
        <item x="71"/>
        <item x="387"/>
        <item x="309"/>
        <item x="242"/>
        <item x="278"/>
        <item x="265"/>
        <item x="329"/>
        <item x="303"/>
        <item x="292"/>
        <item x="386"/>
        <item x="31"/>
        <item x="150"/>
        <item x="280"/>
        <item x="52"/>
        <item x="191"/>
        <item x="120"/>
        <item x="293"/>
        <item x="19"/>
        <item x="43"/>
        <item x="157"/>
        <item x="283"/>
        <item x="252"/>
        <item x="108"/>
        <item x="81"/>
        <item x="365"/>
        <item x="382"/>
        <item x="151"/>
        <item x="244"/>
        <item x="409"/>
        <item x="238"/>
        <item x="300"/>
        <item x="41"/>
        <item x="49"/>
        <item x="156"/>
        <item x="10"/>
        <item x="103"/>
        <item x="424"/>
        <item x="337"/>
        <item x="53"/>
        <item x="61"/>
        <item x="383"/>
        <item x="333"/>
        <item x="160"/>
        <item x="101"/>
        <item x="298"/>
        <item x="221"/>
        <item x="328"/>
        <item x="223"/>
        <item x="390"/>
        <item x="114"/>
        <item x="319"/>
        <item x="183"/>
        <item x="428"/>
        <item x="282"/>
        <item x="55"/>
        <item x="184"/>
        <item x="429"/>
        <item x="181"/>
        <item x="343"/>
        <item x="276"/>
        <item x="395"/>
        <item x="335"/>
        <item x="185"/>
        <item x="304"/>
        <item x="325"/>
        <item x="169"/>
        <item x="167"/>
        <item x="255"/>
        <item x="350"/>
        <item x="288"/>
        <item x="117"/>
        <item x="401"/>
        <item x="410"/>
        <item x="408"/>
        <item x="353"/>
        <item x="262"/>
        <item x="98"/>
        <item x="72"/>
        <item x="154"/>
        <item x="95"/>
        <item x="393"/>
        <item x="250"/>
        <item x="163"/>
        <item x="399"/>
        <item x="243"/>
        <item x="63"/>
        <item x="326"/>
        <item x="42"/>
        <item x="215"/>
        <item x="172"/>
        <item x="59"/>
        <item x="107"/>
        <item x="364"/>
        <item x="3"/>
        <item x="324"/>
        <item x="188"/>
        <item x="99"/>
        <item x="394"/>
        <item x="9"/>
        <item x="213"/>
        <item x="420"/>
        <item x="54"/>
        <item x="232"/>
        <item x="368"/>
        <item x="352"/>
        <item x="362"/>
        <item x="432"/>
        <item x="397"/>
        <item x="359"/>
        <item x="139"/>
        <item x="64"/>
        <item x="12"/>
        <item x="290"/>
        <item x="224"/>
        <item x="27"/>
        <item x="5"/>
        <item x="202"/>
        <item x="268"/>
        <item x="363"/>
        <item x="168"/>
        <item x="323"/>
        <item x="263"/>
        <item x="275"/>
        <item x="422"/>
        <item x="201"/>
        <item x="299"/>
        <item x="145"/>
        <item x="128"/>
        <item x="277"/>
        <item x="90"/>
        <item x="92"/>
        <item x="194"/>
        <item x="377"/>
        <item x="207"/>
        <item x="357"/>
        <item x="297"/>
        <item x="140"/>
        <item x="403"/>
        <item x="314"/>
        <item x="1"/>
        <item x="8"/>
        <item x="356"/>
        <item x="233"/>
        <item x="178"/>
        <item x="421"/>
        <item x="347"/>
        <item x="0"/>
        <item x="96"/>
        <item x="16"/>
        <item x="186"/>
        <item x="45"/>
        <item x="321"/>
        <item x="345"/>
        <item x="127"/>
        <item x="14"/>
        <item x="231"/>
        <item x="190"/>
        <item x="360"/>
        <item x="370"/>
        <item x="380"/>
        <item x="322"/>
        <item x="166"/>
        <item x="134"/>
        <item x="26"/>
        <item x="306"/>
        <item x="226"/>
        <item x="124"/>
        <item x="354"/>
        <item x="405"/>
        <item x="372"/>
        <item x="206"/>
        <item x="358"/>
        <item x="155"/>
        <item x="284"/>
        <item x="355"/>
        <item x="344"/>
        <item x="20"/>
        <item x="198"/>
        <item x="310"/>
        <item x="351"/>
        <item x="93"/>
        <item x="346"/>
        <item x="57"/>
        <item x="85"/>
        <item x="87"/>
        <item x="378"/>
        <item x="267"/>
        <item x="130"/>
        <item x="230"/>
        <item x="34"/>
        <item x="7"/>
        <item x="165"/>
        <item x="418"/>
        <item x="46"/>
        <item x="80"/>
        <item x="294"/>
        <item x="246"/>
        <item x="251"/>
        <item x="396"/>
        <item x="48"/>
        <item x="419"/>
        <item x="204"/>
        <item x="338"/>
        <item x="225"/>
        <item x="318"/>
        <item x="28"/>
        <item x="308"/>
        <item x="248"/>
        <item x="22"/>
        <item x="286"/>
        <item x="404"/>
        <item x="330"/>
        <item x="269"/>
        <item x="83"/>
        <item x="391"/>
        <item x="25"/>
        <item x="91"/>
        <item x="369"/>
        <item x="73"/>
        <item x="143"/>
        <item x="32"/>
        <item x="398"/>
        <item x="427"/>
        <item x="212"/>
        <item x="179"/>
        <item x="138"/>
        <item x="210"/>
        <item x="236"/>
        <item x="180"/>
        <item x="342"/>
        <item x="84"/>
        <item x="119"/>
        <item x="261"/>
        <item x="316"/>
        <item x="317"/>
        <item x="279"/>
        <item x="234"/>
        <item x="82"/>
        <item x="291"/>
        <item x="110"/>
        <item x="79"/>
        <item x="334"/>
        <item x="132"/>
        <item x="69"/>
        <item x="33"/>
        <item x="228"/>
        <item x="413"/>
        <item x="161"/>
        <item x="366"/>
        <item x="47"/>
        <item x="245"/>
        <item x="60"/>
        <item x="118"/>
        <item x="173"/>
        <item x="371"/>
        <item x="416"/>
        <item x="148"/>
        <item x="381"/>
        <item x="272"/>
        <item x="253"/>
        <item x="170"/>
        <item x="89"/>
        <item x="361"/>
        <item x="315"/>
        <item x="257"/>
        <item x="116"/>
        <item x="237"/>
        <item x="249"/>
        <item x="302"/>
        <item x="78"/>
        <item x="159"/>
        <item x="374"/>
        <item x="68"/>
        <item x="44"/>
        <item x="415"/>
        <item x="247"/>
        <item x="86"/>
        <item x="175"/>
        <item x="15"/>
        <item x="209"/>
        <item x="392"/>
        <item x="6"/>
        <item x="296"/>
        <item x="388"/>
        <item x="74"/>
        <item x="285"/>
        <item x="211"/>
        <item x="149"/>
        <item x="37"/>
        <item x="109"/>
        <item x="36"/>
        <item x="70"/>
        <item x="100"/>
        <item x="219"/>
        <item x="281"/>
        <item x="407"/>
        <item x="2"/>
        <item x="274"/>
        <item x="38"/>
        <item x="4"/>
        <item x="199"/>
        <item x="200"/>
        <item x="97"/>
        <item x="264"/>
        <item x="414"/>
        <item x="62"/>
      </items>
    </pivotField>
    <pivotField axis="axisRow" outline="0" showAll="0" defaultSubtotal="0">
      <items count="433">
        <item x="40"/>
        <item x="77"/>
        <item x="430"/>
        <item x="144"/>
        <item x="374"/>
        <item x="161"/>
        <item x="35"/>
        <item x="24"/>
        <item x="167"/>
        <item x="257"/>
        <item x="340"/>
        <item x="286"/>
        <item x="155"/>
        <item x="311"/>
        <item x="138"/>
        <item x="239"/>
        <item x="139"/>
        <item x="405"/>
        <item x="147"/>
        <item x="58"/>
        <item x="226"/>
        <item x="134"/>
        <item x="197"/>
        <item x="253"/>
        <item x="18"/>
        <item x="373"/>
        <item x="312"/>
        <item x="11"/>
        <item x="398"/>
        <item x="310"/>
        <item x="416"/>
        <item x="414"/>
        <item x="342"/>
        <item x="299"/>
        <item x="288"/>
        <item x="209"/>
        <item x="269"/>
        <item x="330"/>
        <item x="270"/>
        <item x="30"/>
        <item x="331"/>
        <item x="411"/>
        <item x="215"/>
        <item x="23"/>
        <item x="426"/>
        <item x="382"/>
        <item x="135"/>
        <item x="177"/>
        <item x="165"/>
        <item x="176"/>
        <item x="150"/>
        <item x="218"/>
        <item x="179"/>
        <item x="195"/>
        <item x="185"/>
        <item x="75"/>
        <item x="217"/>
        <item x="431"/>
        <item x="234"/>
        <item x="146"/>
        <item x="28"/>
        <item x="258"/>
        <item x="112"/>
        <item x="17"/>
        <item x="294"/>
        <item x="66"/>
        <item x="194"/>
        <item x="13"/>
        <item x="180"/>
        <item x="65"/>
        <item x="240"/>
        <item x="347"/>
        <item x="76"/>
        <item x="255"/>
        <item x="50"/>
        <item x="259"/>
        <item x="122"/>
        <item x="29"/>
        <item x="115"/>
        <item x="412"/>
        <item x="380"/>
        <item x="105"/>
        <item x="191"/>
        <item x="111"/>
        <item x="371"/>
        <item x="106"/>
        <item x="304"/>
        <item x="365"/>
        <item x="262"/>
        <item x="124"/>
        <item x="9"/>
        <item x="410"/>
        <item x="383"/>
        <item x="219"/>
        <item x="7"/>
        <item x="136"/>
        <item x="338"/>
        <item x="113"/>
        <item x="298"/>
        <item x="204"/>
        <item x="130"/>
        <item x="348"/>
        <item x="318"/>
        <item x="425"/>
        <item x="228"/>
        <item x="277"/>
        <item x="102"/>
        <item x="149"/>
        <item x="377"/>
        <item x="137"/>
        <item x="302"/>
        <item x="123"/>
        <item x="343"/>
        <item x="78"/>
        <item x="153"/>
        <item x="241"/>
        <item x="100"/>
        <item x="145"/>
        <item x="399"/>
        <item x="251"/>
        <item x="264"/>
        <item x="8"/>
        <item x="291"/>
        <item x="31"/>
        <item x="252"/>
        <item x="327"/>
        <item x="384"/>
        <item x="308"/>
        <item x="71"/>
        <item x="193"/>
        <item x="279"/>
        <item x="292"/>
        <item x="160"/>
        <item x="19"/>
        <item x="93"/>
        <item x="189"/>
        <item x="400"/>
        <item x="121"/>
        <item x="108"/>
        <item x="236"/>
        <item x="300"/>
        <item x="363"/>
        <item x="175"/>
        <item x="154"/>
        <item x="415"/>
        <item x="187"/>
        <item x="188"/>
        <item x="53"/>
        <item x="275"/>
        <item x="101"/>
        <item x="297"/>
        <item x="163"/>
        <item x="332"/>
        <item x="326"/>
        <item x="222"/>
        <item x="281"/>
        <item x="186"/>
        <item x="237"/>
        <item x="103"/>
        <item x="159"/>
        <item x="41"/>
        <item x="10"/>
        <item x="428"/>
        <item x="172"/>
        <item x="394"/>
        <item x="423"/>
        <item x="336"/>
        <item x="261"/>
        <item x="381"/>
        <item x="349"/>
        <item x="27"/>
        <item x="389"/>
        <item x="184"/>
        <item x="334"/>
        <item x="94"/>
        <item x="303"/>
        <item x="323"/>
        <item x="254"/>
        <item x="287"/>
        <item x="114"/>
        <item x="98"/>
        <item x="409"/>
        <item x="61"/>
        <item x="152"/>
        <item x="407"/>
        <item x="352"/>
        <item x="170"/>
        <item x="422"/>
        <item x="202"/>
        <item x="2"/>
        <item x="95"/>
        <item x="39"/>
        <item x="63"/>
        <item x="392"/>
        <item x="166"/>
        <item x="317"/>
        <item x="324"/>
        <item x="157"/>
        <item x="321"/>
        <item x="242"/>
        <item x="213"/>
        <item x="156"/>
        <item x="72"/>
        <item x="232"/>
        <item x="42"/>
        <item x="216"/>
        <item x="408"/>
        <item x="59"/>
        <item x="366"/>
        <item x="54"/>
        <item x="393"/>
        <item x="243"/>
        <item x="322"/>
        <item x="190"/>
        <item x="107"/>
        <item x="116"/>
        <item x="49"/>
        <item x="203"/>
        <item x="214"/>
        <item x="99"/>
        <item x="339"/>
        <item x="419"/>
        <item x="231"/>
        <item x="273"/>
        <item x="396"/>
        <item x="91"/>
        <item x="360"/>
        <item x="127"/>
        <item x="64"/>
        <item x="351"/>
        <item x="208"/>
        <item x="142"/>
        <item x="289"/>
        <item x="223"/>
        <item x="267"/>
        <item x="171"/>
        <item x="375"/>
        <item x="52"/>
        <item x="387"/>
        <item x="148"/>
        <item x="358"/>
        <item x="12"/>
        <item x="274"/>
        <item x="119"/>
        <item x="320"/>
        <item x="361"/>
        <item x="92"/>
        <item x="356"/>
        <item x="432"/>
        <item x="265"/>
        <item x="248"/>
        <item x="88"/>
        <item x="51"/>
        <item x="129"/>
        <item x="1"/>
        <item x="5"/>
        <item x="313"/>
        <item x="0"/>
        <item x="355"/>
        <item x="143"/>
        <item x="325"/>
        <item x="181"/>
        <item x="420"/>
        <item x="346"/>
        <item x="57"/>
        <item x="21"/>
        <item x="96"/>
        <item x="276"/>
        <item x="16"/>
        <item x="128"/>
        <item x="45"/>
        <item x="238"/>
        <item x="319"/>
        <item x="344"/>
        <item x="272"/>
        <item x="126"/>
        <item x="14"/>
        <item x="230"/>
        <item x="90"/>
        <item x="192"/>
        <item x="429"/>
        <item x="368"/>
        <item x="359"/>
        <item x="418"/>
        <item x="378"/>
        <item x="362"/>
        <item x="70"/>
        <item x="73"/>
        <item x="151"/>
        <item x="345"/>
        <item x="283"/>
        <item x="305"/>
        <item x="225"/>
        <item x="372"/>
        <item x="370"/>
        <item x="353"/>
        <item x="404"/>
        <item x="207"/>
        <item x="357"/>
        <item x="350"/>
        <item x="247"/>
        <item x="229"/>
        <item x="335"/>
        <item x="89"/>
        <item x="158"/>
        <item x="316"/>
        <item x="354"/>
        <item x="205"/>
        <item x="20"/>
        <item x="82"/>
        <item x="200"/>
        <item x="309"/>
        <item x="87"/>
        <item x="376"/>
        <item x="266"/>
        <item x="385"/>
        <item x="125"/>
        <item x="245"/>
        <item x="168"/>
        <item x="80"/>
        <item x="46"/>
        <item x="26"/>
        <item x="224"/>
        <item x="395"/>
        <item x="131"/>
        <item x="34"/>
        <item x="250"/>
        <item x="48"/>
        <item x="293"/>
        <item x="268"/>
        <item x="307"/>
        <item x="285"/>
        <item x="403"/>
        <item x="337"/>
        <item x="329"/>
        <item x="417"/>
        <item x="22"/>
        <item x="79"/>
        <item x="427"/>
        <item x="83"/>
        <item x="25"/>
        <item x="367"/>
        <item x="235"/>
        <item x="32"/>
        <item x="401"/>
        <item x="132"/>
        <item x="182"/>
        <item x="249"/>
        <item x="140"/>
        <item x="211"/>
        <item x="328"/>
        <item x="397"/>
        <item x="183"/>
        <item x="341"/>
        <item x="301"/>
        <item x="364"/>
        <item x="227"/>
        <item x="315"/>
        <item x="388"/>
        <item x="120"/>
        <item x="133"/>
        <item x="278"/>
        <item x="69"/>
        <item x="390"/>
        <item x="233"/>
        <item x="206"/>
        <item x="84"/>
        <item x="290"/>
        <item x="55"/>
        <item x="221"/>
        <item x="260"/>
        <item x="110"/>
        <item x="199"/>
        <item x="164"/>
        <item x="33"/>
        <item x="333"/>
        <item x="118"/>
        <item x="56"/>
        <item x="244"/>
        <item x="47"/>
        <item x="81"/>
        <item x="306"/>
        <item x="369"/>
        <item x="296"/>
        <item x="173"/>
        <item x="67"/>
        <item x="117"/>
        <item x="314"/>
        <item x="256"/>
        <item x="196"/>
        <item x="60"/>
        <item x="379"/>
        <item x="104"/>
        <item x="178"/>
        <item x="44"/>
        <item x="246"/>
        <item x="68"/>
        <item x="198"/>
        <item x="86"/>
        <item x="162"/>
        <item x="3"/>
        <item x="15"/>
        <item x="210"/>
        <item x="391"/>
        <item x="174"/>
        <item x="295"/>
        <item x="6"/>
        <item x="85"/>
        <item x="386"/>
        <item x="74"/>
        <item x="402"/>
        <item x="37"/>
        <item x="284"/>
        <item x="424"/>
        <item x="4"/>
        <item x="36"/>
        <item x="280"/>
        <item x="109"/>
        <item x="38"/>
        <item x="220"/>
        <item x="406"/>
        <item x="421"/>
        <item x="201"/>
        <item x="212"/>
        <item x="263"/>
        <item x="97"/>
        <item x="282"/>
        <item x="141"/>
        <item x="43"/>
        <item x="169"/>
        <item x="271"/>
        <item x="413"/>
        <item x="62"/>
      </items>
    </pivotField>
    <pivotField showAll="0"/>
  </pivotFields>
  <rowFields count="9">
    <field x="0"/>
    <field x="1"/>
    <field x="2"/>
    <field x="4"/>
    <field x="6"/>
    <field x="8"/>
    <field x="9"/>
    <field x="10"/>
    <field x="11"/>
  </rowFields>
  <rowItems count="306">
    <i>
      <x v="15"/>
      <x v="127"/>
      <x v="150"/>
      <x v="1227"/>
      <x v="317"/>
      <x v="53"/>
      <x v="241"/>
      <x v="142"/>
      <x v="137"/>
    </i>
    <i>
      <x v="27"/>
      <x v="21"/>
      <x v="206"/>
      <x v="1352"/>
      <x v="317"/>
      <x v="68"/>
      <x v="259"/>
      <x v="68"/>
      <x v="265"/>
    </i>
    <i>
      <x v="30"/>
      <x v="27"/>
      <x v="90"/>
      <x v="1352"/>
      <x v="317"/>
      <x v="82"/>
      <x v="272"/>
      <x v="241"/>
      <x v="170"/>
    </i>
    <i>
      <x v="32"/>
      <x v="21"/>
      <x v="206"/>
      <x v="1352"/>
      <x v="317"/>
      <x v="102"/>
      <x v="294"/>
      <x v="68"/>
      <x v="265"/>
    </i>
    <i>
      <x v="41"/>
      <x v="35"/>
      <x v="17"/>
      <x v="1154"/>
      <x v="317"/>
      <x v="127"/>
      <x v="317"/>
      <x v="64"/>
      <x v="6"/>
    </i>
    <i>
      <x v="42"/>
      <x v="35"/>
      <x v="17"/>
      <x v="899"/>
      <x v="317"/>
      <x v="14"/>
      <x v="312"/>
      <x v="64"/>
      <x v="6"/>
    </i>
    <i>
      <x v="56"/>
      <x v="35"/>
      <x v="17"/>
      <x v="68"/>
      <x v="317"/>
      <x v="112"/>
      <x v="302"/>
      <x v="64"/>
      <x v="6"/>
    </i>
    <i>
      <x v="59"/>
      <x v="41"/>
      <x v="54"/>
      <x v="1155"/>
      <x v="317"/>
      <x v="176"/>
      <x v="51"/>
      <x v="158"/>
      <x v="160"/>
    </i>
    <i>
      <x v="70"/>
      <x v="35"/>
      <x v="17"/>
      <x v="68"/>
      <x v="317"/>
      <x v="144"/>
      <x v="335"/>
      <x v="64"/>
      <x v="6"/>
    </i>
    <i>
      <x v="73"/>
      <x v="35"/>
      <x v="17"/>
      <x v="68"/>
      <x v="317"/>
      <x v="159"/>
      <x v="352"/>
      <x v="64"/>
      <x v="6"/>
    </i>
    <i>
      <x v="75"/>
      <x v="35"/>
      <x v="17"/>
      <x v="129"/>
      <x v="317"/>
      <x v="12"/>
      <x v="291"/>
      <x v="64"/>
      <x v="6"/>
    </i>
    <i>
      <x v="77"/>
      <x v="35"/>
      <x v="17"/>
      <x v="29"/>
      <x v="317"/>
      <x v="73"/>
      <x v="264"/>
      <x v="64"/>
      <x v="6"/>
    </i>
    <i>
      <x v="80"/>
      <x v="22"/>
      <x v="11"/>
      <x v="55"/>
      <x v="317"/>
      <x v="77"/>
      <x v="268"/>
      <x v="335"/>
      <x v="336"/>
    </i>
    <i>
      <x v="81"/>
      <x v="91"/>
      <x v="226"/>
      <x v="471"/>
      <x v="317"/>
      <x v="340"/>
      <x v="8"/>
      <x v="256"/>
      <x v="278"/>
    </i>
    <i>
      <x v="95"/>
      <x v="2"/>
      <x v="75"/>
      <x v="1159"/>
      <x v="317"/>
      <x v="199"/>
      <x v="101"/>
      <x v="423"/>
      <x v="189"/>
    </i>
    <i>
      <x v="96"/>
      <x v="2"/>
      <x v="73"/>
      <x v="38"/>
      <x v="317"/>
      <x v="171"/>
      <x v="36"/>
      <x v="423"/>
      <x v="189"/>
    </i>
    <i>
      <x v="97"/>
      <x v="2"/>
      <x v="73"/>
      <x v="887"/>
      <x v="317"/>
      <x v="375"/>
      <x v="42"/>
      <x v="423"/>
      <x v="189"/>
    </i>
    <i>
      <x v="98"/>
      <x v="2"/>
      <x v="73"/>
      <x v="889"/>
      <x v="317"/>
      <x v="377"/>
      <x v="44"/>
      <x v="423"/>
      <x v="189"/>
    </i>
    <i>
      <x v="99"/>
      <x v="2"/>
      <x v="73"/>
      <x v="888"/>
      <x v="317"/>
      <x v="376"/>
      <x v="43"/>
      <x v="423"/>
      <x v="189"/>
    </i>
    <i>
      <x v="104"/>
      <x v="53"/>
      <x v="103"/>
      <x v="1203"/>
      <x v="317"/>
      <x v="32"/>
      <x v="219"/>
      <x v="165"/>
      <x v="147"/>
    </i>
    <i>
      <x v="116"/>
      <x v="27"/>
      <x v="90"/>
      <x v="74"/>
      <x v="317"/>
      <x v="89"/>
      <x v="280"/>
      <x v="241"/>
      <x v="170"/>
    </i>
    <i>
      <x v="132"/>
      <x v="23"/>
      <x v="88"/>
      <x v="1352"/>
      <x v="317"/>
      <x v="115"/>
      <x v="305"/>
      <x v="61"/>
      <x v="43"/>
    </i>
    <i>
      <x v="152"/>
      <x v="7"/>
      <x v="87"/>
      <x v="13"/>
      <x v="317"/>
      <x v="161"/>
      <x v="35"/>
      <x v="317"/>
      <x v="94"/>
    </i>
    <i>
      <x v="153"/>
      <x v="7"/>
      <x v="87"/>
      <x v="21"/>
      <x v="317"/>
      <x v="161"/>
      <x v="35"/>
      <x v="317"/>
      <x v="94"/>
    </i>
    <i>
      <x v="164"/>
      <x v="35"/>
      <x v="17"/>
      <x v="939"/>
      <x v="317"/>
      <x v="130"/>
      <x v="321"/>
      <x v="64"/>
      <x v="6"/>
    </i>
    <i>
      <x v="165"/>
      <x v="35"/>
      <x v="17"/>
      <x v="68"/>
      <x v="317"/>
      <x v="65"/>
      <x v="257"/>
      <x v="64"/>
      <x v="6"/>
    </i>
    <i>
      <x v="174"/>
      <x v="60"/>
      <x/>
      <x v="320"/>
      <x v="317"/>
      <x v="292"/>
      <x v="27"/>
      <x v="378"/>
      <x v="390"/>
    </i>
    <i r="3">
      <x v="1180"/>
      <x v="317"/>
      <x v="292"/>
      <x v="27"/>
      <x v="378"/>
      <x v="390"/>
    </i>
    <i>
      <x v="194"/>
      <x v="3"/>
      <x v="35"/>
      <x v="332"/>
      <x v="317"/>
      <x v="296"/>
      <x v="182"/>
      <x v="220"/>
      <x v="400"/>
    </i>
    <i>
      <x v="200"/>
      <x v="87"/>
      <x v="3"/>
      <x v="261"/>
      <x v="317"/>
      <x v="269"/>
      <x v="188"/>
      <x v="403"/>
      <x v="398"/>
    </i>
    <i>
      <x v="204"/>
      <x v="180"/>
      <x v="13"/>
      <x v="190"/>
      <x v="317"/>
      <x v="243"/>
      <x v="190"/>
      <x v="63"/>
      <x v="404"/>
    </i>
    <i>
      <x v="205"/>
      <x v="180"/>
      <x v="13"/>
      <x v="195"/>
      <x v="317"/>
      <x v="77"/>
      <x v="268"/>
      <x v="63"/>
      <x v="404"/>
    </i>
    <i>
      <x v="212"/>
      <x v="35"/>
      <x v="17"/>
      <x v="939"/>
      <x v="317"/>
      <x v="63"/>
      <x v="253"/>
      <x v="64"/>
      <x v="6"/>
    </i>
    <i>
      <x v="213"/>
      <x v="169"/>
      <x v="200"/>
      <x v="240"/>
      <x v="317"/>
      <x v="260"/>
      <x v="171"/>
      <x v="169"/>
      <x v="151"/>
    </i>
    <i>
      <x v="225"/>
      <x v="38"/>
      <x v="197"/>
      <x v="431"/>
      <x v="317"/>
      <x v="328"/>
      <x v="183"/>
      <x v="425"/>
      <x v="418"/>
    </i>
    <i>
      <x v="240"/>
      <x v="29"/>
      <x v="133"/>
      <x v="1352"/>
      <x v="317"/>
      <x v="96"/>
      <x v="284"/>
      <x v="90"/>
      <x v="77"/>
    </i>
    <i>
      <x v="246"/>
      <x v="147"/>
      <x v="217"/>
      <x v="1148"/>
      <x v="317"/>
      <x v="15"/>
      <x v="251"/>
      <x v="145"/>
      <x v="427"/>
    </i>
    <i>
      <x v="258"/>
      <x v="29"/>
      <x v="20"/>
      <x v="1352"/>
      <x v="317"/>
      <x v="137"/>
      <x v="327"/>
      <x v="90"/>
      <x v="77"/>
    </i>
    <i>
      <x v="267"/>
      <x v="107"/>
      <x v="254"/>
      <x v="1228"/>
      <x v="317"/>
      <x v="54"/>
      <x v="242"/>
      <x v="162"/>
      <x v="158"/>
    </i>
    <i>
      <x v="273"/>
      <x v="120"/>
      <x v="254"/>
      <x v="1199"/>
      <x v="317"/>
      <x v="29"/>
      <x v="215"/>
      <x v="176"/>
      <x v="179"/>
    </i>
    <i>
      <x v="281"/>
      <x v="29"/>
      <x v="134"/>
      <x v="1193"/>
      <x v="317"/>
      <x v="23"/>
      <x v="210"/>
      <x v="90"/>
      <x v="77"/>
    </i>
    <i>
      <x v="294"/>
      <x v="32"/>
      <x v="57"/>
      <x v="1209"/>
      <x v="317"/>
      <x v="37"/>
      <x v="224"/>
      <x v="347"/>
      <x v="343"/>
    </i>
    <i>
      <x v="299"/>
      <x v="32"/>
      <x v="57"/>
      <x v="1189"/>
      <x v="317"/>
      <x v="19"/>
      <x v="206"/>
      <x v="347"/>
      <x v="343"/>
    </i>
    <i>
      <x v="302"/>
      <x v="9"/>
      <x v="7"/>
      <x v="184"/>
      <x v="317"/>
      <x v="35"/>
      <x v="222"/>
      <x v="225"/>
      <x v="90"/>
    </i>
    <i>
      <x v="306"/>
      <x v="74"/>
      <x v="260"/>
      <x v="1233"/>
      <x v="317"/>
      <x v="59"/>
      <x v="247"/>
      <x v="411"/>
      <x v="409"/>
    </i>
    <i>
      <x v="308"/>
      <x v="9"/>
      <x v="7"/>
      <x/>
      <x v="317"/>
      <x v="114"/>
      <x v="304"/>
      <x v="225"/>
      <x v="90"/>
    </i>
    <i>
      <x v="312"/>
      <x v="10"/>
      <x v="32"/>
      <x v="402"/>
      <x v="317"/>
      <x v="316"/>
      <x v="37"/>
      <x v="161"/>
      <x v="161"/>
    </i>
    <i>
      <x v="318"/>
      <x v="4"/>
      <x v="240"/>
      <x v="200"/>
      <x v="317"/>
      <x v="245"/>
      <x v="200"/>
      <x v="426"/>
      <x v="414"/>
    </i>
    <i>
      <x v="330"/>
      <x v="31"/>
      <x v="134"/>
      <x v="1210"/>
      <x v="317"/>
      <x v="38"/>
      <x v="225"/>
      <x v="137"/>
      <x v="123"/>
    </i>
    <i>
      <x v="334"/>
      <x v="5"/>
      <x v="120"/>
      <x v="894"/>
      <x v="317"/>
      <x v="27"/>
      <x v="213"/>
      <x v="242"/>
      <x v="255"/>
    </i>
    <i>
      <x v="340"/>
      <x v="76"/>
      <x v="134"/>
      <x v="1222"/>
      <x v="317"/>
      <x v="48"/>
      <x v="236"/>
      <x v="82"/>
      <x v="72"/>
    </i>
    <i>
      <x v="344"/>
      <x v="36"/>
      <x v="134"/>
      <x v="1219"/>
      <x v="317"/>
      <x v="46"/>
      <x v="233"/>
      <x v="417"/>
      <x v="415"/>
    </i>
    <i>
      <x v="346"/>
      <x v="79"/>
      <x v="22"/>
      <x v="369"/>
      <x v="317"/>
      <x v="54"/>
      <x v="242"/>
      <x v="367"/>
      <x v="337"/>
    </i>
    <i>
      <x v="366"/>
      <x v="29"/>
      <x v="134"/>
      <x v="1352"/>
      <x v="317"/>
      <x v="60"/>
      <x v="248"/>
      <x v="90"/>
      <x v="77"/>
    </i>
    <i>
      <x v="369"/>
      <x v="29"/>
      <x v="134"/>
      <x v="1214"/>
      <x v="317"/>
      <x v="41"/>
      <x v="228"/>
      <x v="90"/>
      <x v="77"/>
    </i>
    <i>
      <x v="372"/>
      <x v="149"/>
      <x v="233"/>
      <x v="1234"/>
      <x v="317"/>
      <x v="60"/>
      <x v="248"/>
      <x v="263"/>
      <x v="259"/>
    </i>
    <i>
      <x v="384"/>
      <x v="43"/>
      <x v="218"/>
      <x v="1215"/>
      <x v="317"/>
      <x v="42"/>
      <x v="229"/>
      <x v="145"/>
      <x v="428"/>
    </i>
    <i>
      <x v="388"/>
      <x v="31"/>
      <x v="134"/>
      <x v="1212"/>
      <x v="317"/>
      <x v="40"/>
      <x v="227"/>
      <x v="137"/>
      <x v="123"/>
    </i>
    <i>
      <x v="390"/>
      <x v="31"/>
      <x v="134"/>
      <x v="1201"/>
      <x v="317"/>
      <x v="30"/>
      <x v="217"/>
      <x v="137"/>
      <x v="123"/>
    </i>
    <i>
      <x v="392"/>
      <x v="110"/>
      <x v="134"/>
      <x v="1216"/>
      <x v="317"/>
      <x v="43"/>
      <x v="230"/>
      <x v="101"/>
      <x v="85"/>
    </i>
    <i>
      <x v="396"/>
      <x v="76"/>
      <x v="134"/>
      <x v="1200"/>
      <x v="317"/>
      <x v="206"/>
      <x v="75"/>
      <x v="82"/>
      <x v="72"/>
    </i>
    <i>
      <x v="399"/>
      <x v="23"/>
      <x v="20"/>
      <x v="861"/>
      <x v="317"/>
      <x v="95"/>
      <x v="283"/>
      <x v="61"/>
      <x v="43"/>
    </i>
    <i>
      <x v="401"/>
      <x v="23"/>
      <x v="20"/>
      <x v="1190"/>
      <x v="317"/>
      <x v="20"/>
      <x v="207"/>
      <x v="61"/>
      <x v="43"/>
    </i>
    <i>
      <x v="402"/>
      <x v="13"/>
      <x v="185"/>
      <x v="3"/>
      <x v="317"/>
      <x v="324"/>
      <x v="30"/>
      <x v="73"/>
      <x v="67"/>
    </i>
    <i>
      <x v="408"/>
      <x v="55"/>
      <x v="260"/>
      <x v="1235"/>
      <x v="317"/>
      <x v="61"/>
      <x v="249"/>
      <x v="181"/>
      <x v="368"/>
    </i>
    <i>
      <x v="409"/>
      <x v="134"/>
      <x v="246"/>
      <x v="372"/>
      <x v="317"/>
      <x v="307"/>
      <x v="187"/>
      <x v="280"/>
      <x v="269"/>
    </i>
    <i>
      <x v="412"/>
      <x v="43"/>
      <x v="218"/>
      <x v="1205"/>
      <x v="317"/>
      <x v="33"/>
      <x v="226"/>
      <x v="145"/>
      <x v="428"/>
    </i>
    <i>
      <x v="414"/>
      <x v="43"/>
      <x v="218"/>
      <x v="1143"/>
      <x v="317"/>
      <x v="11"/>
      <x v="216"/>
      <x v="145"/>
      <x v="428"/>
    </i>
    <i>
      <x v="420"/>
      <x v="52"/>
      <x v="137"/>
      <x v="351"/>
      <x v="317"/>
      <x v="303"/>
      <x v="194"/>
      <x v="140"/>
      <x v="237"/>
    </i>
    <i r="3">
      <x v="1213"/>
      <x v="317"/>
      <x v="303"/>
      <x v="194"/>
      <x v="140"/>
      <x v="237"/>
    </i>
    <i>
      <x v="425"/>
      <x v="30"/>
      <x v="138"/>
      <x v="1352"/>
      <x v="317"/>
      <x v="94"/>
      <x v="282"/>
      <x v="26"/>
      <x v="39"/>
    </i>
    <i>
      <x v="426"/>
      <x v="30"/>
      <x v="138"/>
      <x v="272"/>
      <x v="317"/>
      <x v="94"/>
      <x v="282"/>
      <x v="26"/>
      <x v="39"/>
    </i>
    <i>
      <x v="431"/>
      <x v="196"/>
      <x v="167"/>
      <x v="1240"/>
      <x v="317"/>
      <x v="65"/>
      <x v="257"/>
      <x v="182"/>
      <x v="145"/>
    </i>
    <i>
      <x v="434"/>
      <x v="29"/>
      <x v="134"/>
      <x v="385"/>
      <x v="317"/>
      <x v="24"/>
      <x v="221"/>
      <x v="90"/>
      <x v="77"/>
    </i>
    <i>
      <x v="446"/>
      <x v="56"/>
      <x v="30"/>
      <x v="1207"/>
      <x v="317"/>
      <x v="35"/>
      <x v="222"/>
      <x v="103"/>
      <x v="377"/>
    </i>
    <i>
      <x v="449"/>
      <x v="56"/>
      <x v="7"/>
      <x v="215"/>
      <x v="317"/>
      <x v="44"/>
      <x v="231"/>
      <x v="103"/>
      <x v="377"/>
    </i>
    <i>
      <x v="450"/>
      <x v="56"/>
      <x v="7"/>
      <x v="623"/>
      <x v="317"/>
      <x v="28"/>
      <x v="214"/>
      <x v="103"/>
      <x v="377"/>
    </i>
    <i>
      <x v="451"/>
      <x v="56"/>
      <x v="7"/>
      <x v="1195"/>
      <x v="317"/>
      <x v="25"/>
      <x v="211"/>
      <x v="103"/>
      <x v="377"/>
    </i>
    <i>
      <x v="452"/>
      <x v="256"/>
      <x v="240"/>
      <x v="565"/>
      <x v="317"/>
      <x v="362"/>
      <x v="10"/>
      <x v="95"/>
      <x v="271"/>
    </i>
    <i>
      <x v="455"/>
      <x v="110"/>
      <x v="134"/>
      <x v="250"/>
      <x v="317"/>
      <x v="263"/>
      <x v="16"/>
      <x v="101"/>
      <x v="85"/>
    </i>
    <i r="3">
      <x v="1216"/>
      <x v="317"/>
      <x v="263"/>
      <x v="16"/>
      <x v="101"/>
      <x v="85"/>
    </i>
    <i>
      <x v="456"/>
      <x v="110"/>
      <x v="134"/>
      <x v="121"/>
      <x v="317"/>
      <x v="207"/>
      <x v="28"/>
      <x v="101"/>
      <x v="85"/>
    </i>
    <i>
      <x v="457"/>
      <x v="110"/>
      <x v="134"/>
      <x v="1202"/>
      <x v="317"/>
      <x v="31"/>
      <x v="218"/>
      <x v="101"/>
      <x v="85"/>
    </i>
    <i>
      <x v="461"/>
      <x v="208"/>
      <x v="102"/>
      <x v="1230"/>
      <x v="317"/>
      <x v="56"/>
      <x v="244"/>
      <x v="28"/>
      <x v="22"/>
    </i>
    <i>
      <x v="465"/>
      <x v="117"/>
      <x v="49"/>
      <x v="1206"/>
      <x v="317"/>
      <x v="34"/>
      <x v="220"/>
      <x v="80"/>
      <x v="62"/>
    </i>
    <i>
      <x v="478"/>
      <x v="121"/>
      <x v="251"/>
      <x v="1238"/>
      <x v="317"/>
      <x v="64"/>
      <x v="252"/>
      <x v="71"/>
      <x v="78"/>
    </i>
    <i>
      <x v="484"/>
      <x/>
      <x v="138"/>
      <x v="211"/>
      <x v="317"/>
      <x v="251"/>
      <x v="192"/>
      <x v="273"/>
      <x v="257"/>
    </i>
    <i>
      <x v="491"/>
      <x v="110"/>
      <x v="134"/>
      <x v="1236"/>
      <x v="317"/>
      <x v="62"/>
      <x v="250"/>
      <x v="101"/>
      <x v="85"/>
    </i>
    <i>
      <x v="496"/>
      <x v="199"/>
      <x v="275"/>
      <x v="294"/>
      <x v="317"/>
      <x v="281"/>
      <x v="180"/>
      <x v="125"/>
      <x v="135"/>
    </i>
    <i>
      <x v="497"/>
      <x v="48"/>
      <x v="93"/>
      <x v="205"/>
      <x v="317"/>
      <x v="248"/>
      <x v="169"/>
      <x v="326"/>
      <x v="327"/>
    </i>
    <i>
      <x v="519"/>
      <x v="60"/>
      <x/>
      <x v="1220"/>
      <x v="317"/>
      <x v="47"/>
      <x v="235"/>
      <x v="378"/>
      <x v="390"/>
    </i>
    <i>
      <x v="524"/>
      <x v="213"/>
      <x v="257"/>
      <x v="1254"/>
      <x v="317"/>
      <x v="79"/>
      <x v="270"/>
      <x v="428"/>
      <x v="422"/>
    </i>
    <i>
      <x v="529"/>
      <x v="60"/>
      <x/>
      <x v="1218"/>
      <x v="317"/>
      <x v="45"/>
      <x v="232"/>
      <x v="378"/>
      <x v="390"/>
    </i>
    <i>
      <x v="532"/>
      <x v="60"/>
      <x/>
      <x v="1171"/>
      <x v="317"/>
      <x v="232"/>
      <x v="90"/>
      <x v="378"/>
      <x v="390"/>
    </i>
    <i>
      <x v="563"/>
      <x v="175"/>
      <x v="94"/>
      <x v="404"/>
      <x v="317"/>
      <x v="317"/>
      <x v="2"/>
      <x v="288"/>
      <x v="429"/>
    </i>
    <i>
      <x v="570"/>
      <x v="237"/>
      <x v="26"/>
      <x v="610"/>
      <x v="317"/>
      <x v="91"/>
      <x v="281"/>
      <x v="172"/>
      <x v="182"/>
    </i>
    <i>
      <x v="572"/>
      <x v="273"/>
      <x v="20"/>
      <x v="449"/>
      <x v="317"/>
      <x v="333"/>
      <x v="196"/>
      <x v="61"/>
      <x v="43"/>
    </i>
    <i>
      <x v="576"/>
      <x v="110"/>
      <x v="134"/>
      <x v="1242"/>
      <x v="317"/>
      <x v="67"/>
      <x v="256"/>
      <x v="101"/>
      <x v="85"/>
    </i>
    <i>
      <x v="578"/>
      <x v="99"/>
      <x v="276"/>
      <x v="1244"/>
      <x v="317"/>
      <x v="69"/>
      <x v="260"/>
      <x v="429"/>
      <x v="425"/>
    </i>
    <i>
      <x v="583"/>
      <x v="31"/>
      <x v="134"/>
      <x v="1265"/>
      <x v="317"/>
      <x v="90"/>
      <x v="310"/>
      <x v="137"/>
      <x v="123"/>
    </i>
    <i>
      <x v="594"/>
      <x v="235"/>
      <x v="14"/>
      <x v="504"/>
      <x v="317"/>
      <x v="352"/>
      <x v="24"/>
      <x v="420"/>
      <x v="419"/>
    </i>
    <i>
      <x v="595"/>
      <x v="235"/>
      <x v="14"/>
      <x v="1224"/>
      <x v="317"/>
      <x v="50"/>
      <x v="238"/>
      <x v="420"/>
      <x v="419"/>
    </i>
    <i>
      <x v="600"/>
      <x v="235"/>
      <x v="14"/>
      <x v="503"/>
      <x v="317"/>
      <x v="41"/>
      <x v="228"/>
      <x v="420"/>
      <x v="419"/>
    </i>
    <i>
      <x v="601"/>
      <x v="235"/>
      <x v="14"/>
      <x v="1225"/>
      <x v="317"/>
      <x v="51"/>
      <x v="239"/>
      <x v="420"/>
      <x v="419"/>
    </i>
    <i>
      <x v="604"/>
      <x v="273"/>
      <x v="20"/>
      <x v="448"/>
      <x v="317"/>
      <x v="152"/>
      <x v="346"/>
      <x v="61"/>
      <x v="43"/>
    </i>
    <i>
      <x v="617"/>
      <x v="53"/>
      <x v="103"/>
      <x v="330"/>
      <x v="317"/>
      <x v="295"/>
      <x v="197"/>
      <x v="165"/>
      <x v="147"/>
    </i>
    <i>
      <x v="619"/>
      <x v="53"/>
      <x v="103"/>
      <x v="1217"/>
      <x v="317"/>
      <x v="44"/>
      <x v="231"/>
      <x v="165"/>
      <x v="147"/>
    </i>
    <i>
      <x v="634"/>
      <x v="120"/>
      <x v="254"/>
      <x v="478"/>
      <x v="317"/>
      <x v="343"/>
      <x v="15"/>
      <x v="176"/>
      <x v="179"/>
    </i>
    <i>
      <x v="635"/>
      <x v="207"/>
      <x v="254"/>
      <x v="316"/>
      <x v="317"/>
      <x v="291"/>
      <x v="1"/>
      <x v="258"/>
      <x v="389"/>
    </i>
    <i>
      <x v="637"/>
      <x v="120"/>
      <x v="254"/>
      <x v="1228"/>
      <x v="317"/>
      <x v="54"/>
      <x v="242"/>
      <x v="176"/>
      <x v="179"/>
    </i>
    <i>
      <x v="639"/>
      <x v="126"/>
      <x v="256"/>
      <x v="475"/>
      <x v="317"/>
      <x v="341"/>
      <x v="21"/>
      <x v="358"/>
      <x v="359"/>
    </i>
    <i>
      <x v="643"/>
      <x v="147"/>
      <x v="218"/>
      <x v="613"/>
      <x v="317"/>
      <x v="372"/>
      <x v="202"/>
      <x v="145"/>
      <x v="427"/>
    </i>
    <i>
      <x v="644"/>
      <x v="147"/>
      <x v="218"/>
      <x v="1149"/>
      <x v="317"/>
      <x v="16"/>
      <x v="255"/>
      <x v="145"/>
      <x v="427"/>
    </i>
    <i>
      <x v="645"/>
      <x v="31"/>
      <x v="134"/>
      <x v="1352"/>
      <x v="317"/>
      <x v="101"/>
      <x v="290"/>
      <x v="137"/>
      <x v="123"/>
    </i>
    <i>
      <x v="647"/>
      <x v="124"/>
      <x v="216"/>
      <x v="1151"/>
      <x v="317"/>
      <x v="18"/>
      <x v="258"/>
      <x v="197"/>
      <x v="376"/>
    </i>
    <i>
      <x v="655"/>
      <x v="287"/>
      <x v="269"/>
      <x v="1288"/>
      <x v="317"/>
      <x v="113"/>
      <x v="303"/>
      <x v="86"/>
      <x v="249"/>
    </i>
    <i>
      <x v="678"/>
      <x v="185"/>
      <x v="226"/>
      <x v="480"/>
      <x v="317"/>
      <x v="345"/>
      <x v="7"/>
      <x v="404"/>
      <x v="393"/>
    </i>
    <i>
      <x v="680"/>
      <x v="25"/>
      <x v="245"/>
      <x v="1352"/>
      <x v="317"/>
      <x v="23"/>
      <x v="210"/>
      <x v="342"/>
      <x v="340"/>
    </i>
    <i>
      <x v="688"/>
      <x v="260"/>
      <x v="162"/>
      <x v="1272"/>
      <x v="317"/>
      <x v="97"/>
      <x v="285"/>
      <x v="130"/>
      <x v="115"/>
    </i>
    <i>
      <x v="690"/>
      <x v="56"/>
      <x v="7"/>
      <x v="666"/>
      <x v="317"/>
      <x v="34"/>
      <x v="220"/>
      <x v="103"/>
      <x v="377"/>
    </i>
    <i>
      <x v="691"/>
      <x v="56"/>
      <x v="7"/>
      <x v="1247"/>
      <x v="317"/>
      <x v="72"/>
      <x v="263"/>
      <x v="103"/>
      <x v="377"/>
    </i>
    <i>
      <x v="697"/>
      <x v="116"/>
      <x v="280"/>
      <x v="1208"/>
      <x v="317"/>
      <x v="36"/>
      <x v="223"/>
      <x v="102"/>
      <x v="83"/>
    </i>
    <i>
      <x v="700"/>
      <x v="154"/>
      <x v="267"/>
      <x v="1245"/>
      <x v="317"/>
      <x v="70"/>
      <x v="261"/>
      <x v="253"/>
      <x v="239"/>
    </i>
    <i>
      <x v="701"/>
      <x v="154"/>
      <x v="267"/>
      <x v="1326"/>
      <x v="317"/>
      <x v="149"/>
      <x v="341"/>
      <x v="253"/>
      <x v="239"/>
    </i>
    <i>
      <x v="709"/>
      <x v="79"/>
      <x v="22"/>
      <x v="399"/>
      <x v="317"/>
      <x v="128"/>
      <x v="319"/>
      <x v="367"/>
      <x v="337"/>
    </i>
    <i>
      <x v="713"/>
      <x v="123"/>
      <x v="138"/>
      <x v="1258"/>
      <x v="317"/>
      <x v="83"/>
      <x v="273"/>
      <x v="392"/>
      <x v="386"/>
    </i>
    <i>
      <x v="720"/>
      <x v="173"/>
      <x v="239"/>
      <x v="1246"/>
      <x v="317"/>
      <x v="71"/>
      <x v="262"/>
      <x v="8"/>
      <x v="8"/>
    </i>
    <i>
      <x v="721"/>
      <x v="136"/>
      <x v="138"/>
      <x v="587"/>
      <x v="317"/>
      <x v="368"/>
      <x v="5"/>
      <x v="105"/>
      <x v="100"/>
    </i>
    <i>
      <x v="731"/>
      <x v="136"/>
      <x v="138"/>
      <x v="1264"/>
      <x v="317"/>
      <x v="89"/>
      <x v="280"/>
      <x v="105"/>
      <x v="100"/>
    </i>
    <i>
      <x v="734"/>
      <x v="235"/>
      <x v="14"/>
      <x v="668"/>
      <x v="317"/>
      <x v="48"/>
      <x v="236"/>
      <x v="420"/>
      <x v="419"/>
    </i>
    <i>
      <x v="735"/>
      <x v="235"/>
      <x v="14"/>
      <x v="1249"/>
      <x v="317"/>
      <x v="74"/>
      <x v="265"/>
      <x v="420"/>
      <x v="419"/>
    </i>
    <i>
      <x v="739"/>
      <x v="23"/>
      <x v="88"/>
      <x v="1352"/>
      <x v="317"/>
      <x v="56"/>
      <x v="244"/>
      <x v="61"/>
      <x v="43"/>
    </i>
    <i>
      <x v="740"/>
      <x v="38"/>
      <x v="197"/>
      <x v="363"/>
      <x v="317"/>
      <x v="306"/>
      <x v="4"/>
      <x v="425"/>
      <x v="418"/>
    </i>
    <i>
      <x v="741"/>
      <x v="38"/>
      <x v="197"/>
      <x v="281"/>
      <x v="317"/>
      <x v="276"/>
      <x v="179"/>
      <x v="425"/>
      <x v="418"/>
    </i>
    <i>
      <x v="746"/>
      <x v="38"/>
      <x v="197"/>
      <x v="230"/>
      <x v="317"/>
      <x v="256"/>
      <x v="14"/>
      <x v="425"/>
      <x v="418"/>
    </i>
    <i>
      <x v="751"/>
      <x v="214"/>
      <x v="108"/>
      <x v="1256"/>
      <x v="317"/>
      <x v="81"/>
      <x v="271"/>
      <x v="251"/>
      <x v="188"/>
    </i>
    <i>
      <x v="753"/>
      <x v="229"/>
      <x v="167"/>
      <x v="1237"/>
      <x v="317"/>
      <x v="63"/>
      <x v="253"/>
      <x v="50"/>
      <x v="42"/>
    </i>
    <i>
      <x v="758"/>
      <x v="287"/>
      <x v="269"/>
      <x v="1241"/>
      <x v="317"/>
      <x v="66"/>
      <x v="254"/>
      <x v="86"/>
      <x v="249"/>
    </i>
    <i>
      <x v="765"/>
      <x v="159"/>
      <x v="153"/>
      <x v="1259"/>
      <x v="317"/>
      <x v="84"/>
      <x v="274"/>
      <x v="138"/>
      <x v="114"/>
    </i>
    <i>
      <x v="767"/>
      <x v="41"/>
      <x v="54"/>
      <x v="1140"/>
      <x v="317"/>
      <x v="175"/>
      <x v="50"/>
      <x v="158"/>
      <x v="160"/>
    </i>
    <i>
      <x v="775"/>
      <x v="125"/>
      <x v="26"/>
      <x v="718"/>
      <x v="317"/>
      <x v="110"/>
      <x v="301"/>
      <x v="379"/>
      <x v="243"/>
    </i>
    <i>
      <x v="776"/>
      <x v="125"/>
      <x v="26"/>
      <x v="1262"/>
      <x v="317"/>
      <x v="87"/>
      <x v="277"/>
      <x v="379"/>
      <x v="243"/>
    </i>
    <i>
      <x v="781"/>
      <x v="174"/>
      <x v="261"/>
      <x v="439"/>
      <x v="317"/>
      <x v="331"/>
      <x v="185"/>
      <x v="318"/>
      <x v="318"/>
    </i>
    <i>
      <x v="785"/>
      <x v="306"/>
      <x v="250"/>
      <x v="1261"/>
      <x v="317"/>
      <x v="86"/>
      <x v="276"/>
      <x v="300"/>
      <x v="290"/>
    </i>
    <i>
      <x v="788"/>
      <x v="168"/>
      <x v="284"/>
      <x v="1263"/>
      <x v="317"/>
      <x v="88"/>
      <x v="279"/>
      <x v="397"/>
      <x v="399"/>
    </i>
    <i>
      <x v="797"/>
      <x v="238"/>
      <x v="239"/>
      <x v="1255"/>
      <x v="317"/>
      <x v="80"/>
      <x v="278"/>
      <x v="10"/>
      <x v="8"/>
    </i>
    <i>
      <x v="799"/>
      <x v="57"/>
      <x v="239"/>
      <x v="1270"/>
      <x v="317"/>
      <x v="95"/>
      <x v="283"/>
      <x v="309"/>
      <x v="264"/>
    </i>
    <i>
      <x v="805"/>
      <x v="58"/>
      <x v="57"/>
      <x v="1198"/>
      <x v="317"/>
      <x v="28"/>
      <x v="214"/>
      <x v="5"/>
      <x v="19"/>
    </i>
    <i>
      <x v="843"/>
      <x v="4"/>
      <x v="240"/>
      <x v="328"/>
      <x v="317"/>
      <x v="21"/>
      <x v="208"/>
      <x v="426"/>
      <x v="414"/>
    </i>
    <i>
      <x v="871"/>
      <x v="144"/>
      <x v="24"/>
      <x v="1"/>
      <x v="317"/>
      <x v="61"/>
      <x v="249"/>
      <x v="19"/>
      <x v="14"/>
    </i>
    <i>
      <x v="872"/>
      <x v="144"/>
      <x v="24"/>
      <x v="327"/>
      <x v="317"/>
      <x v="79"/>
      <x v="270"/>
      <x v="19"/>
      <x v="14"/>
    </i>
    <i>
      <x v="873"/>
      <x v="144"/>
      <x v="24"/>
      <x v="326"/>
      <x v="317"/>
      <x v="29"/>
      <x v="215"/>
      <x v="19"/>
      <x v="14"/>
    </i>
    <i>
      <x v="874"/>
      <x v="144"/>
      <x v="24"/>
      <x v="2"/>
      <x v="317"/>
      <x v="155"/>
      <x v="348"/>
      <x v="19"/>
      <x v="14"/>
    </i>
    <i>
      <x v="875"/>
      <x v="144"/>
      <x v="24"/>
      <x v="360"/>
      <x v="317"/>
      <x v="59"/>
      <x v="247"/>
      <x v="19"/>
      <x v="14"/>
    </i>
    <i>
      <x v="876"/>
      <x v="114"/>
      <x v="15"/>
      <x v="601"/>
      <x v="317"/>
      <x v="140"/>
      <x v="330"/>
      <x v="432"/>
      <x v="432"/>
    </i>
    <i>
      <x v="877"/>
      <x v="114"/>
      <x v="15"/>
      <x v="1188"/>
      <x v="317"/>
      <x v="97"/>
      <x v="285"/>
      <x v="432"/>
      <x v="432"/>
    </i>
    <i>
      <x v="893"/>
      <x v="114"/>
      <x v="15"/>
      <x v="1351"/>
      <x v="317"/>
      <x v="98"/>
      <x v="287"/>
      <x v="432"/>
      <x v="432"/>
    </i>
    <i>
      <x v="896"/>
      <x v="31"/>
      <x v="134"/>
      <x v="394"/>
      <x v="317"/>
      <x v="86"/>
      <x v="276"/>
      <x v="137"/>
      <x v="123"/>
    </i>
    <i>
      <x v="900"/>
      <x v="30"/>
      <x v="134"/>
      <x v="1352"/>
      <x v="317"/>
      <x v="136"/>
      <x v="326"/>
      <x v="26"/>
      <x v="39"/>
    </i>
    <i>
      <x v="901"/>
      <x v="30"/>
      <x v="134"/>
      <x v="1352"/>
      <x v="317"/>
      <x v="94"/>
      <x v="282"/>
      <x v="26"/>
      <x v="39"/>
    </i>
    <i>
      <x v="903"/>
      <x v="105"/>
      <x v="134"/>
      <x v="1223"/>
      <x v="317"/>
      <x v="49"/>
      <x v="237"/>
      <x v="170"/>
      <x v="149"/>
    </i>
    <i>
      <x v="907"/>
      <x v="121"/>
      <x v="251"/>
      <x v="1268"/>
      <x v="317"/>
      <x v="93"/>
      <x v="286"/>
      <x v="71"/>
      <x v="78"/>
    </i>
    <i>
      <x v="928"/>
      <x v="169"/>
      <x v="200"/>
      <x v="527"/>
      <x v="317"/>
      <x v="355"/>
      <x v="26"/>
      <x v="169"/>
      <x v="151"/>
    </i>
    <i>
      <x v="935"/>
      <x v="139"/>
      <x v="46"/>
      <x v="1243"/>
      <x v="317"/>
      <x v="68"/>
      <x v="259"/>
      <x v="369"/>
      <x v="360"/>
    </i>
    <i>
      <x v="945"/>
      <x v="180"/>
      <x v="13"/>
      <x v="785"/>
      <x v="317"/>
      <x v="10"/>
      <x v="39"/>
      <x v="63"/>
      <x v="404"/>
    </i>
    <i>
      <x v="962"/>
      <x v="239"/>
      <x v="165"/>
      <x v="407"/>
      <x v="317"/>
      <x v="319"/>
      <x v="195"/>
      <x v="174"/>
      <x v="154"/>
    </i>
    <i>
      <x v="965"/>
      <x v="232"/>
      <x v="250"/>
      <x v="1267"/>
      <x v="317"/>
      <x v="92"/>
      <x v="289"/>
      <x v="56"/>
      <x v="56"/>
    </i>
    <i>
      <x v="980"/>
      <x v="273"/>
      <x v="20"/>
      <x v="358"/>
      <x v="317"/>
      <x v="146"/>
      <x v="337"/>
      <x v="61"/>
      <x v="43"/>
    </i>
    <i>
      <x v="997"/>
      <x v="162"/>
      <x v="253"/>
      <x v="1304"/>
      <x v="317"/>
      <x v="128"/>
      <x v="319"/>
      <x/>
      <x v="201"/>
    </i>
    <i>
      <x v="1001"/>
      <x v="240"/>
      <x v="10"/>
      <x v="763"/>
      <x v="317"/>
      <x v="81"/>
      <x v="271"/>
      <x v="240"/>
      <x v="233"/>
    </i>
    <i>
      <x v="1063"/>
      <x v="152"/>
      <x v="164"/>
      <x v="1260"/>
      <x v="317"/>
      <x v="85"/>
      <x v="275"/>
      <x v="346"/>
      <x v="59"/>
    </i>
    <i>
      <x v="1070"/>
      <x v="196"/>
      <x v="167"/>
      <x v="1257"/>
      <x v="317"/>
      <x v="82"/>
      <x v="272"/>
      <x v="182"/>
      <x v="145"/>
    </i>
    <i>
      <x v="1073"/>
      <x v="26"/>
      <x v="8"/>
      <x v="977"/>
      <x v="317"/>
      <x v="76"/>
      <x v="267"/>
      <x v="290"/>
      <x v="321"/>
    </i>
    <i>
      <x v="1075"/>
      <x v="26"/>
      <x v="8"/>
      <x v="1352"/>
      <x v="317"/>
      <x v="40"/>
      <x v="227"/>
      <x v="290"/>
      <x v="321"/>
    </i>
    <i>
      <x v="1080"/>
      <x v="179"/>
      <x v="99"/>
      <x v="572"/>
      <x v="317"/>
      <x v="363"/>
      <x v="204"/>
      <x v="387"/>
      <x v="384"/>
    </i>
    <i>
      <x v="1085"/>
      <x v="179"/>
      <x v="99"/>
      <x v="588"/>
      <x v="317"/>
      <x v="369"/>
      <x v="20"/>
      <x v="387"/>
      <x v="384"/>
    </i>
    <i>
      <x v="1092"/>
      <x v="21"/>
      <x v="108"/>
      <x v="521"/>
      <x v="317"/>
      <x v="354"/>
      <x v="34"/>
      <x v="68"/>
      <x v="265"/>
    </i>
    <i>
      <x v="1099"/>
      <x v="91"/>
      <x v="226"/>
      <x v="470"/>
      <x v="317"/>
      <x v="340"/>
      <x v="8"/>
      <x v="256"/>
      <x v="278"/>
    </i>
    <i>
      <x v="1115"/>
      <x v="276"/>
      <x v="270"/>
      <x v="1279"/>
      <x v="317"/>
      <x v="104"/>
      <x v="295"/>
      <x v="391"/>
      <x v="388"/>
    </i>
    <i>
      <x v="1122"/>
      <x v="218"/>
      <x v="86"/>
      <x v="1281"/>
      <x v="317"/>
      <x v="106"/>
      <x v="297"/>
      <x v="328"/>
      <x v="307"/>
    </i>
    <i>
      <x v="1124"/>
      <x v="60"/>
      <x/>
      <x v="113"/>
      <x v="317"/>
      <x v="203"/>
      <x v="189"/>
      <x v="378"/>
      <x v="390"/>
    </i>
    <i>
      <x v="1139"/>
      <x v="239"/>
      <x v="165"/>
      <x v="423"/>
      <x v="317"/>
      <x v="323"/>
      <x v="186"/>
      <x v="174"/>
      <x v="154"/>
    </i>
    <i>
      <x v="1143"/>
      <x v="12"/>
      <x v="199"/>
      <x v="546"/>
      <x v="317"/>
      <x v="358"/>
      <x v="19"/>
      <x v="238"/>
      <x v="241"/>
    </i>
    <i>
      <x v="1148"/>
      <x v="178"/>
      <x v="193"/>
      <x v="286"/>
      <x v="317"/>
      <x v="278"/>
      <x v="168"/>
      <x v="192"/>
      <x v="163"/>
    </i>
    <i>
      <x v="1163"/>
      <x v="178"/>
      <x v="193"/>
      <x v="428"/>
      <x v="317"/>
      <x v="327"/>
      <x v="181"/>
      <x v="192"/>
      <x v="163"/>
    </i>
    <i>
      <x v="1164"/>
      <x v="178"/>
      <x v="193"/>
      <x v="515"/>
      <x v="317"/>
      <x v="353"/>
      <x v="170"/>
      <x v="192"/>
      <x v="163"/>
    </i>
    <i>
      <x v="1166"/>
      <x v="178"/>
      <x v="193"/>
      <x v="482"/>
      <x v="317"/>
      <x v="346"/>
      <x v="176"/>
      <x v="192"/>
      <x v="163"/>
    </i>
    <i>
      <x v="1173"/>
      <x v="239"/>
      <x v="165"/>
      <x v="422"/>
      <x v="317"/>
      <x v="322"/>
      <x v="175"/>
      <x v="174"/>
      <x v="154"/>
    </i>
    <i>
      <x v="1178"/>
      <x v="285"/>
      <x v="20"/>
      <x v="567"/>
      <x v="317"/>
      <x v="147"/>
      <x v="338"/>
      <x v="430"/>
      <x v="424"/>
    </i>
    <i>
      <x v="1182"/>
      <x v="86"/>
      <x v="125"/>
      <x v="1283"/>
      <x v="317"/>
      <x v="108"/>
      <x v="299"/>
      <x v="310"/>
      <x v="407"/>
    </i>
    <i>
      <x v="1184"/>
      <x v="86"/>
      <x v="125"/>
      <x v="1282"/>
      <x v="317"/>
      <x v="107"/>
      <x v="298"/>
      <x v="310"/>
      <x v="407"/>
    </i>
    <i>
      <x v="1212"/>
      <x v="174"/>
      <x v="261"/>
      <x v="542"/>
      <x v="317"/>
      <x v="357"/>
      <x v="203"/>
      <x v="318"/>
      <x v="318"/>
    </i>
    <i>
      <x v="1213"/>
      <x v="269"/>
      <x v="20"/>
      <x v="680"/>
      <x v="317"/>
      <x v="80"/>
      <x v="278"/>
      <x v="324"/>
      <x v="326"/>
    </i>
    <i>
      <x v="1215"/>
      <x v="309"/>
      <x v="201"/>
      <x v="1280"/>
      <x v="317"/>
      <x v="105"/>
      <x v="296"/>
      <x v="351"/>
      <x v="346"/>
    </i>
    <i>
      <x v="1226"/>
      <x v="20"/>
      <x v="85"/>
      <x v="930"/>
      <x v="317"/>
      <x v="367"/>
      <x v="41"/>
      <x v="303"/>
      <x v="308"/>
    </i>
    <i>
      <x v="1227"/>
      <x v="20"/>
      <x v="85"/>
      <x v="955"/>
      <x v="317"/>
      <x v="378"/>
      <x v="45"/>
      <x v="303"/>
      <x v="308"/>
    </i>
    <i>
      <x v="1230"/>
      <x v="20"/>
      <x v="85"/>
      <x v="1352"/>
      <x v="317"/>
      <x v="74"/>
      <x v="265"/>
      <x v="303"/>
      <x v="308"/>
    </i>
    <i>
      <x v="1231"/>
      <x v="20"/>
      <x v="85"/>
      <x v="1352"/>
      <x v="317"/>
      <x v="20"/>
      <x v="207"/>
      <x v="303"/>
      <x v="308"/>
    </i>
    <i>
      <x v="1233"/>
      <x v="69"/>
      <x v="52"/>
      <x v="558"/>
      <x v="317"/>
      <x v="360"/>
      <x v="25"/>
      <x v="370"/>
      <x v="362"/>
    </i>
    <i>
      <x v="1235"/>
      <x v="152"/>
      <x v="164"/>
      <x v="259"/>
      <x v="317"/>
      <x v="268"/>
      <x v="18"/>
      <x v="346"/>
      <x v="59"/>
    </i>
    <i>
      <x v="1237"/>
      <x v="152"/>
      <x v="164"/>
      <x v="598"/>
      <x v="317"/>
      <x v="370"/>
      <x v="23"/>
      <x v="346"/>
      <x v="59"/>
    </i>
    <i>
      <x v="1241"/>
      <x v="178"/>
      <x v="267"/>
      <x v="1285"/>
      <x v="317"/>
      <x v="110"/>
      <x v="301"/>
      <x v="192"/>
      <x v="163"/>
    </i>
    <i>
      <x v="1246"/>
      <x v="152"/>
      <x v="164"/>
      <x v="1273"/>
      <x v="317"/>
      <x v="98"/>
      <x v="287"/>
      <x v="346"/>
      <x v="59"/>
    </i>
    <i>
      <x v="1259"/>
      <x v="103"/>
      <x v="267"/>
      <x v="1231"/>
      <x v="317"/>
      <x v="57"/>
      <x v="245"/>
      <x v="223"/>
      <x v="219"/>
    </i>
    <i>
      <x v="1264"/>
      <x v="379"/>
      <x v="204"/>
      <x v="1284"/>
      <x v="317"/>
      <x v="109"/>
      <x v="300"/>
      <x v="195"/>
      <x v="169"/>
    </i>
    <i>
      <x v="1268"/>
      <x v="252"/>
      <x v="23"/>
      <x v="679"/>
      <x v="317"/>
      <x v="141"/>
      <x v="331"/>
      <x v="70"/>
      <x v="58"/>
    </i>
    <i>
      <x v="1283"/>
      <x v="125"/>
      <x v="26"/>
      <x v="1292"/>
      <x v="317"/>
      <x v="116"/>
      <x v="306"/>
      <x v="379"/>
      <x v="243"/>
    </i>
    <i>
      <x v="1284"/>
      <x v="125"/>
      <x v="26"/>
      <x v="841"/>
      <x v="317"/>
      <x v="57"/>
      <x v="245"/>
      <x v="379"/>
      <x v="243"/>
    </i>
    <i>
      <x v="1291"/>
      <x v="287"/>
      <x v="269"/>
      <x v="1295"/>
      <x v="317"/>
      <x v="119"/>
      <x v="309"/>
      <x v="86"/>
      <x v="249"/>
    </i>
    <i>
      <x v="1294"/>
      <x v="292"/>
      <x v="46"/>
      <x v="1289"/>
      <x v="317"/>
      <x v="114"/>
      <x v="304"/>
      <x v="42"/>
      <x v="38"/>
    </i>
    <i>
      <x v="1296"/>
      <x v="370"/>
      <x v="234"/>
      <x v="1294"/>
      <x v="317"/>
      <x v="118"/>
      <x v="308"/>
      <x v="356"/>
      <x v="353"/>
    </i>
    <i>
      <x v="1297"/>
      <x v="285"/>
      <x v="20"/>
      <x v="705"/>
      <x v="317"/>
      <x v="131"/>
      <x v="322"/>
      <x v="430"/>
      <x v="424"/>
    </i>
    <i>
      <x v="1302"/>
      <x v="305"/>
      <x v="26"/>
      <x v="1324"/>
      <x v="317"/>
      <x v="148"/>
      <x v="339"/>
      <x v="147"/>
      <x v="426"/>
    </i>
    <i>
      <x v="1317"/>
      <x v="377"/>
      <x v="239"/>
      <x v="1269"/>
      <x v="317"/>
      <x v="94"/>
      <x v="282"/>
      <x v="119"/>
      <x v="101"/>
    </i>
    <i>
      <x v="1318"/>
      <x v="377"/>
      <x v="239"/>
      <x v="1269"/>
      <x v="317"/>
      <x v="94"/>
      <x v="282"/>
      <x v="119"/>
      <x v="101"/>
    </i>
    <i>
      <x v="1321"/>
      <x v="370"/>
      <x v="234"/>
      <x v="1296"/>
      <x v="317"/>
      <x v="120"/>
      <x v="311"/>
      <x v="356"/>
      <x v="353"/>
    </i>
    <i>
      <x v="1333"/>
      <x v="232"/>
      <x v="250"/>
      <x v="1307"/>
      <x v="317"/>
      <x v="131"/>
      <x v="322"/>
      <x v="56"/>
      <x v="56"/>
    </i>
    <i>
      <x v="1334"/>
      <x v="363"/>
      <x v="5"/>
      <x v="853"/>
      <x v="317"/>
      <x v="25"/>
      <x v="211"/>
      <x v="104"/>
      <x v="302"/>
    </i>
    <i>
      <x v="1335"/>
      <x v="363"/>
      <x v="5"/>
      <x v="1301"/>
      <x v="317"/>
      <x v="125"/>
      <x v="318"/>
      <x v="104"/>
      <x v="302"/>
    </i>
    <i>
      <x v="1336"/>
      <x v="363"/>
      <x v="5"/>
      <x v="860"/>
      <x v="317"/>
      <x v="72"/>
      <x v="263"/>
      <x v="104"/>
      <x v="302"/>
    </i>
    <i>
      <x v="1347"/>
      <x v="309"/>
      <x v="201"/>
      <x v="1299"/>
      <x v="317"/>
      <x v="123"/>
      <x v="314"/>
      <x v="351"/>
      <x v="346"/>
    </i>
    <i>
      <x v="1360"/>
      <x v="24"/>
      <x v="105"/>
      <x v="1352"/>
      <x v="317"/>
      <x v="108"/>
      <x v="299"/>
      <x v="9"/>
      <x v="7"/>
    </i>
    <i>
      <x v="1361"/>
      <x v="24"/>
      <x v="105"/>
      <x v="1352"/>
      <x v="317"/>
      <x v="107"/>
      <x v="298"/>
      <x v="9"/>
      <x v="7"/>
    </i>
    <i>
      <x v="1365"/>
      <x v="333"/>
      <x v="6"/>
      <x v="604"/>
      <x v="317"/>
      <x v="87"/>
      <x v="277"/>
      <x v="305"/>
      <x v="311"/>
    </i>
    <i>
      <x v="1375"/>
      <x v="351"/>
      <x v="167"/>
      <x v="1309"/>
      <x v="317"/>
      <x v="133"/>
      <x v="325"/>
      <x v="202"/>
      <x v="167"/>
    </i>
    <i>
      <x v="1377"/>
      <x v="333"/>
      <x v="6"/>
      <x v="707"/>
      <x v="317"/>
      <x v="51"/>
      <x v="239"/>
      <x v="305"/>
      <x v="311"/>
    </i>
    <i>
      <x v="1379"/>
      <x v="323"/>
      <x v="125"/>
      <x v="1302"/>
      <x v="317"/>
      <x v="126"/>
      <x v="316"/>
      <x v="157"/>
      <x v="33"/>
    </i>
    <i>
      <x v="1403"/>
      <x v="296"/>
      <x v="125"/>
      <x v="1305"/>
      <x v="317"/>
      <x v="129"/>
      <x v="320"/>
      <x v="424"/>
      <x v="223"/>
    </i>
    <i>
      <x v="1408"/>
      <x v="170"/>
      <x v="187"/>
      <x v="1146"/>
      <x v="317"/>
      <x v="14"/>
      <x v="312"/>
      <x v="374"/>
      <x v="373"/>
    </i>
    <i>
      <x v="1410"/>
      <x v="170"/>
      <x v="187"/>
      <x v="1144"/>
      <x v="317"/>
      <x v="12"/>
      <x v="291"/>
      <x v="374"/>
      <x v="373"/>
    </i>
    <i>
      <x v="1413"/>
      <x v="170"/>
      <x v="187"/>
      <x v="1145"/>
      <x v="317"/>
      <x v="13"/>
      <x v="292"/>
      <x v="374"/>
      <x v="373"/>
    </i>
    <i>
      <x v="1416"/>
      <x v="170"/>
      <x v="187"/>
      <x v="1297"/>
      <x v="317"/>
      <x v="121"/>
      <x v="340"/>
      <x v="374"/>
      <x v="373"/>
    </i>
    <i>
      <x v="1418"/>
      <x v="232"/>
      <x v="250"/>
      <x v="1334"/>
      <x v="317"/>
      <x v="157"/>
      <x v="350"/>
      <x v="56"/>
      <x v="56"/>
    </i>
    <i>
      <x v="1424"/>
      <x v="330"/>
      <x v="99"/>
      <x v="1286"/>
      <x v="317"/>
      <x v="111"/>
      <x v="328"/>
      <x v="57"/>
      <x v="381"/>
    </i>
    <i>
      <x v="1427"/>
      <x v="349"/>
      <x v="56"/>
      <x v="1290"/>
      <x v="317"/>
      <x v="115"/>
      <x v="305"/>
      <x v="213"/>
      <x v="196"/>
    </i>
    <i>
      <x v="1430"/>
      <x v="332"/>
      <x v="213"/>
      <x v="575"/>
      <x v="317"/>
      <x v="364"/>
      <x v="201"/>
      <x v="129"/>
      <x v="127"/>
    </i>
    <i>
      <x v="1437"/>
      <x v="317"/>
      <x v="178"/>
      <x v="1303"/>
      <x v="317"/>
      <x v="127"/>
      <x v="317"/>
      <x v="322"/>
      <x v="328"/>
    </i>
    <i>
      <x v="1468"/>
      <x v="265"/>
      <x v="112"/>
      <x v="1252"/>
      <x v="317"/>
      <x v="77"/>
      <x v="268"/>
      <x v="402"/>
      <x v="395"/>
    </i>
    <i>
      <x v="1469"/>
      <x v="265"/>
      <x v="112"/>
      <x v="1252"/>
      <x v="317"/>
      <x v="77"/>
      <x v="268"/>
      <x v="402"/>
      <x v="395"/>
    </i>
    <i>
      <x v="1483"/>
      <x v="253"/>
      <x v="235"/>
      <x v="1293"/>
      <x v="317"/>
      <x v="117"/>
      <x v="307"/>
      <x v="354"/>
      <x v="342"/>
    </i>
    <i>
      <x v="1485"/>
      <x v="307"/>
      <x v="205"/>
      <x v="1310"/>
      <x v="317"/>
      <x v="134"/>
      <x v="324"/>
      <x v="412"/>
      <x v="412"/>
    </i>
    <i>
      <x v="1486"/>
      <x v="307"/>
      <x v="205"/>
      <x v="1310"/>
      <x v="317"/>
      <x v="134"/>
      <x v="324"/>
      <x v="412"/>
      <x v="412"/>
    </i>
    <i>
      <x v="1493"/>
      <x v="255"/>
      <x v="167"/>
      <x v="1306"/>
      <x v="317"/>
      <x v="130"/>
      <x v="321"/>
      <x v="156"/>
      <x v="157"/>
    </i>
    <i>
      <x v="1503"/>
      <x v="261"/>
      <x v="142"/>
      <x v="1232"/>
      <x v="317"/>
      <x v="58"/>
      <x v="246"/>
      <x v="211"/>
      <x v="199"/>
    </i>
    <i>
      <x v="1507"/>
      <x v="261"/>
      <x v="142"/>
      <x v="1253"/>
      <x v="317"/>
      <x v="78"/>
      <x v="269"/>
      <x v="211"/>
      <x v="199"/>
    </i>
    <i>
      <x v="1508"/>
      <x v="261"/>
      <x v="142"/>
      <x v="308"/>
      <x v="317"/>
      <x v="287"/>
      <x v="12"/>
      <x v="211"/>
      <x v="199"/>
    </i>
    <i>
      <x v="1525"/>
      <x v="91"/>
      <x v="226"/>
      <x v="1194"/>
      <x v="317"/>
      <x v="24"/>
      <x v="221"/>
      <x v="256"/>
      <x v="278"/>
    </i>
    <i>
      <x v="1533"/>
      <x v="242"/>
      <x v="271"/>
      <x v="1266"/>
      <x v="317"/>
      <x v="91"/>
      <x v="281"/>
      <x v="292"/>
      <x v="292"/>
    </i>
    <i>
      <x v="1539"/>
      <x v="307"/>
      <x v="205"/>
      <x v="1315"/>
      <x v="317"/>
      <x v="139"/>
      <x v="329"/>
      <x v="412"/>
      <x v="412"/>
    </i>
    <i>
      <x v="1544"/>
      <x v="118"/>
      <x v="105"/>
      <x v="487"/>
      <x v="317"/>
      <x v="347"/>
      <x v="11"/>
      <x v="114"/>
      <x v="97"/>
    </i>
    <i>
      <x v="1546"/>
      <x v="243"/>
      <x v="116"/>
      <x v="1333"/>
      <x v="317"/>
      <x v="156"/>
      <x v="349"/>
      <x v="4"/>
      <x v="20"/>
    </i>
    <i>
      <x v="1551"/>
      <x v="409"/>
      <x v="183"/>
      <x v="1336"/>
      <x v="317"/>
      <x v="159"/>
      <x v="352"/>
      <x v="55"/>
      <x v="25"/>
    </i>
    <i>
      <x v="1561"/>
      <x v="313"/>
      <x v="131"/>
      <x v="1314"/>
      <x v="317"/>
      <x v="138"/>
      <x v="332"/>
      <x v="239"/>
      <x v="232"/>
    </i>
    <i>
      <x v="1579"/>
      <x v="302"/>
      <x v="210"/>
      <x v="1308"/>
      <x v="317"/>
      <x v="132"/>
      <x v="323"/>
      <x v="139"/>
      <x v="130"/>
    </i>
    <i>
      <x v="1588"/>
      <x v="325"/>
      <x v="274"/>
      <x v="1319"/>
      <x v="317"/>
      <x v="143"/>
      <x v="334"/>
      <x v="395"/>
      <x v="354"/>
    </i>
    <i>
      <x v="1590"/>
      <x v="140"/>
      <x v="279"/>
      <x v="124"/>
      <x v="317"/>
      <x v="209"/>
      <x v="107"/>
      <x v="23"/>
      <x v="21"/>
    </i>
    <i>
      <x v="1614"/>
      <x v="46"/>
      <x v="242"/>
      <x v="350"/>
      <x v="317"/>
      <x v="302"/>
      <x v="161"/>
      <x v="320"/>
      <x v="320"/>
    </i>
    <i>
      <x v="1637"/>
      <x v="312"/>
      <x v="164"/>
      <x v="1316"/>
      <x v="317"/>
      <x v="140"/>
      <x v="330"/>
      <x v="37"/>
      <x v="34"/>
    </i>
    <i>
      <x v="1656"/>
      <x v="379"/>
      <x v="203"/>
      <x v="1318"/>
      <x v="317"/>
      <x v="142"/>
      <x v="333"/>
      <x v="195"/>
      <x v="169"/>
    </i>
    <i>
      <x v="1659"/>
      <x v="349"/>
      <x v="239"/>
      <x v="1322"/>
      <x v="317"/>
      <x v="146"/>
      <x v="337"/>
      <x v="213"/>
      <x v="196"/>
    </i>
    <i>
      <x v="1667"/>
      <x v="383"/>
      <x v="20"/>
      <x v="1057"/>
      <x v="317"/>
      <x v="64"/>
      <x v="252"/>
      <x v="201"/>
      <x v="185"/>
    </i>
    <i>
      <x v="1668"/>
      <x v="383"/>
      <x v="20"/>
      <x v="866"/>
      <x v="317"/>
      <x v="93"/>
      <x v="286"/>
      <x v="201"/>
      <x v="185"/>
    </i>
    <i>
      <x v="1670"/>
      <x v="179"/>
      <x v="99"/>
      <x v="1211"/>
      <x v="317"/>
      <x v="39"/>
      <x v="234"/>
      <x v="387"/>
      <x v="384"/>
    </i>
    <i>
      <x v="1680"/>
      <x v="110"/>
      <x v="26"/>
      <x v="569"/>
      <x v="317"/>
      <x v="52"/>
      <x v="240"/>
      <x v="101"/>
      <x v="85"/>
    </i>
    <i>
      <x v="1683"/>
      <x v="163"/>
      <x v="84"/>
      <x v="256"/>
      <x v="317"/>
      <x v="266"/>
      <x v="17"/>
      <x v="205"/>
      <x v="197"/>
    </i>
    <i>
      <x v="1686"/>
      <x v="120"/>
      <x v="254"/>
      <x v="1317"/>
      <x v="317"/>
      <x v="141"/>
      <x v="331"/>
      <x v="176"/>
      <x v="179"/>
    </i>
    <i>
      <x v="1690"/>
      <x v="340"/>
      <x v="245"/>
      <x v="1323"/>
      <x v="317"/>
      <x v="147"/>
      <x v="338"/>
      <x v="361"/>
      <x v="359"/>
    </i>
    <i>
      <x v="1693"/>
      <x v="404"/>
      <x v="212"/>
      <x v="1311"/>
      <x v="317"/>
      <x v="135"/>
      <x v="344"/>
      <x v="381"/>
      <x v="382"/>
    </i>
    <i>
      <x v="1700"/>
      <x v="12"/>
      <x v="199"/>
      <x v="1192"/>
      <x v="317"/>
      <x v="22"/>
      <x v="209"/>
      <x v="238"/>
      <x v="241"/>
    </i>
    <i>
      <x v="1728"/>
      <x v="366"/>
      <x v="201"/>
      <x v="1321"/>
      <x v="317"/>
      <x v="145"/>
      <x v="336"/>
      <x v="329"/>
      <x v="333"/>
    </i>
    <i>
      <x v="1738"/>
      <x v="349"/>
      <x v="239"/>
      <x v="1329"/>
      <x v="317"/>
      <x v="152"/>
      <x v="346"/>
      <x v="213"/>
      <x v="196"/>
    </i>
    <i>
      <x v="1749"/>
      <x v="390"/>
      <x v="124"/>
      <x v="1331"/>
      <x v="317"/>
      <x v="154"/>
      <x v="347"/>
      <x v="235"/>
      <x v="240"/>
    </i>
    <i>
      <x v="1761"/>
      <x v="200"/>
      <x v="207"/>
      <x v="1250"/>
      <x v="317"/>
      <x v="75"/>
      <x v="266"/>
      <x v="222"/>
      <x v="213"/>
    </i>
    <i>
      <x v="1766"/>
      <x v="197"/>
      <x v="34"/>
      <x v="1277"/>
      <x v="317"/>
      <x v="102"/>
      <x v="294"/>
      <x v="189"/>
      <x v="146"/>
    </i>
    <i>
      <x v="1767"/>
      <x v="197"/>
      <x v="34"/>
      <x v="1277"/>
      <x v="317"/>
      <x v="102"/>
      <x v="294"/>
      <x v="189"/>
      <x v="146"/>
    </i>
    <i>
      <x v="1772"/>
      <x v="218"/>
      <x v="86"/>
      <x v="1196"/>
      <x v="317"/>
      <x v="26"/>
      <x v="212"/>
      <x v="328"/>
      <x v="307"/>
    </i>
    <i>
      <x v="1794"/>
      <x v="284"/>
      <x v="223"/>
      <x v="1313"/>
      <x v="317"/>
      <x v="137"/>
      <x v="327"/>
      <x v="248"/>
      <x v="88"/>
    </i>
    <i>
      <x v="1818"/>
      <x v="311"/>
      <x v="159"/>
      <x v="1300"/>
      <x v="317"/>
      <x v="124"/>
      <x v="315"/>
      <x v="196"/>
      <x v="178"/>
    </i>
    <i>
      <x v="1824"/>
      <x v="290"/>
      <x v="55"/>
      <x v="585"/>
      <x v="317"/>
      <x v="366"/>
      <x v="9"/>
      <x v="339"/>
      <x v="329"/>
    </i>
    <i>
      <x v="1826"/>
      <x v="290"/>
      <x v="55"/>
      <x v="536"/>
      <x v="317"/>
      <x v="356"/>
      <x v="3"/>
      <x v="339"/>
      <x v="329"/>
    </i>
    <i>
      <x v="1828"/>
      <x v="309"/>
      <x v="201"/>
      <x v="1330"/>
      <x v="317"/>
      <x v="153"/>
      <x v="345"/>
      <x v="351"/>
      <x v="346"/>
    </i>
    <i>
      <x v="1834"/>
      <x v="257"/>
      <x v="222"/>
      <x v="1271"/>
      <x v="317"/>
      <x v="96"/>
      <x v="284"/>
      <x v="137"/>
      <x v="123"/>
    </i>
    <i>
      <x v="1883"/>
      <x v="363"/>
      <x v="5"/>
      <x v="1338"/>
      <x v="317"/>
      <x v="361"/>
      <x v="39"/>
      <x v="104"/>
      <x v="302"/>
    </i>
    <i>
      <x v="1899"/>
      <x v="382"/>
      <x v="272"/>
      <x v="709"/>
      <x v="317"/>
      <x v="373"/>
      <x v="40"/>
      <x v="231"/>
      <x v="229"/>
    </i>
    <i>
      <x v="1900"/>
      <x v="382"/>
      <x v="272"/>
      <x v="1298"/>
      <x v="317"/>
      <x v="122"/>
      <x v="313"/>
      <x v="231"/>
      <x v="229"/>
    </i>
    <i>
      <x v="1909"/>
      <x v="215"/>
      <x v="170"/>
      <x v="1248"/>
      <x v="317"/>
      <x v="73"/>
      <x v="264"/>
      <x v="371"/>
      <x v="374"/>
    </i>
    <i>
      <x v="1960"/>
      <x v="196"/>
      <x v="108"/>
      <x v="1251"/>
      <x v="317"/>
      <x v="76"/>
      <x v="267"/>
      <x v="182"/>
      <x v="145"/>
    </i>
    <i>
      <x v="1963"/>
      <x v="219"/>
      <x v="265"/>
      <x v="1332"/>
      <x v="317"/>
      <x v="155"/>
      <x v="348"/>
      <x v="357"/>
      <x v="365"/>
    </i>
    <i>
      <x v="1984"/>
      <x v="379"/>
      <x v="203"/>
      <x v="1328"/>
      <x v="317"/>
      <x v="151"/>
      <x v="343"/>
      <x v="195"/>
      <x v="169"/>
    </i>
    <i>
      <x v="1992"/>
      <x v="235"/>
      <x v="14"/>
      <x v="451"/>
      <x v="317"/>
      <x v="58"/>
      <x v="246"/>
      <x v="420"/>
      <x v="419"/>
    </i>
    <i>
      <x v="1993"/>
      <x v="235"/>
      <x v="14"/>
      <x v="523"/>
      <x v="317"/>
      <x v="84"/>
      <x v="274"/>
      <x v="420"/>
      <x v="419"/>
    </i>
    <i>
      <x v="1994"/>
      <x v="235"/>
      <x v="14"/>
      <x v="522"/>
      <x v="317"/>
      <x v="124"/>
      <x v="315"/>
      <x v="420"/>
      <x v="419"/>
    </i>
    <i>
      <x v="1999"/>
      <x v="400"/>
      <x v="60"/>
      <x v="1275"/>
      <x v="317"/>
      <x v="100"/>
      <x v="288"/>
      <x v="230"/>
      <x v="208"/>
    </i>
    <i>
      <x v="2017"/>
      <x v="256"/>
      <x v="240"/>
      <x v="1276"/>
      <x v="317"/>
      <x v="101"/>
      <x v="290"/>
      <x v="95"/>
      <x v="271"/>
    </i>
    <i>
      <x v="2026"/>
      <x v="219"/>
      <x v="265"/>
      <x v="1226"/>
      <x v="317"/>
      <x v="52"/>
      <x v="240"/>
      <x v="357"/>
      <x v="365"/>
    </i>
    <i>
      <x v="2045"/>
      <x v="304"/>
      <x v="60"/>
      <x v="1278"/>
      <x v="317"/>
      <x v="103"/>
      <x v="293"/>
      <x v="180"/>
      <x v="155"/>
    </i>
    <i>
      <x v="2097"/>
      <x v="209"/>
      <x v="26"/>
      <x v="649"/>
      <x v="317"/>
      <x v="66"/>
      <x v="254"/>
      <x v="13"/>
      <x v="397"/>
    </i>
    <i>
      <x v="2100"/>
      <x v="208"/>
      <x v="177"/>
      <x v="1287"/>
      <x v="317"/>
      <x v="112"/>
      <x v="302"/>
      <x v="28"/>
      <x v="22"/>
    </i>
    <i>
      <x v="2102"/>
      <x v="400"/>
      <x v="60"/>
      <x v="1229"/>
      <x v="317"/>
      <x v="55"/>
      <x v="243"/>
      <x v="230"/>
      <x v="208"/>
    </i>
    <i>
      <x v="2107"/>
      <x v="220"/>
      <x v="17"/>
      <x v="133"/>
      <x v="317"/>
      <x v="120"/>
      <x v="311"/>
      <x v="7"/>
      <x v="6"/>
    </i>
    <i>
      <x v="2108"/>
      <x v="220"/>
      <x v="17"/>
      <x v="134"/>
      <x v="317"/>
      <x v="117"/>
      <x v="307"/>
      <x v="7"/>
      <x v="6"/>
    </i>
    <i>
      <x v="2201"/>
      <x v="409"/>
      <x v="183"/>
      <x v="1320"/>
      <x v="317"/>
      <x v="144"/>
      <x v="335"/>
      <x v="55"/>
      <x v="25"/>
    </i>
    <i>
      <x v="2240"/>
      <x v="409"/>
      <x v="102"/>
      <x v="1335"/>
      <x v="317"/>
      <x v="158"/>
      <x v="351"/>
      <x v="55"/>
      <x v="25"/>
    </i>
    <i>
      <x v="2262"/>
      <x v="256"/>
      <x v="240"/>
      <x v="1312"/>
      <x v="317"/>
      <x v="136"/>
      <x v="326"/>
      <x v="95"/>
      <x v="271"/>
    </i>
    <i>
      <x v="2263"/>
      <x v="410"/>
      <x v="240"/>
      <x v="1327"/>
      <x v="317"/>
      <x v="150"/>
      <x v="342"/>
      <x v="427"/>
      <x v="4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ick.winter@primuspower.net" TargetMode="External"/><Relationship Id="rId13" Type="http://schemas.openxmlformats.org/officeDocument/2006/relationships/hyperlink" Target="mailto:KKepler@Farasis.com" TargetMode="External"/><Relationship Id="rId18" Type="http://schemas.openxmlformats.org/officeDocument/2006/relationships/hyperlink" Target="mailto:marc.hornbostel@sri.com" TargetMode="External"/><Relationship Id="rId3" Type="http://schemas.openxmlformats.org/officeDocument/2006/relationships/hyperlink" Target="mailto:nocera@suncatalytix.com" TargetMode="External"/><Relationship Id="rId7" Type="http://schemas.openxmlformats.org/officeDocument/2006/relationships/hyperlink" Target="mailto:corwin@makanipower.com" TargetMode="External"/><Relationship Id="rId12" Type="http://schemas.openxmlformats.org/officeDocument/2006/relationships/hyperlink" Target="mailto:chris.hagen@osucascades.edu" TargetMode="External"/><Relationship Id="rId17" Type="http://schemas.openxmlformats.org/officeDocument/2006/relationships/hyperlink" Target="mailto:alan.l.browne@gm.com" TargetMode="External"/><Relationship Id="rId2" Type="http://schemas.openxmlformats.org/officeDocument/2006/relationships/hyperlink" Target="mailto:olgica@poriferanano.com" TargetMode="External"/><Relationship Id="rId16" Type="http://schemas.openxmlformats.org/officeDocument/2006/relationships/hyperlink" Target="mailto:michelle.reardon@usa.dupont.com" TargetMode="External"/><Relationship Id="rId1" Type="http://schemas.openxmlformats.org/officeDocument/2006/relationships/hyperlink" Target="mailto:Kashiyama@ba-lab.com" TargetMode="External"/><Relationship Id="rId6" Type="http://schemas.openxmlformats.org/officeDocument/2006/relationships/hyperlink" Target="mailto:jrlong@berkeley.edu" TargetMode="External"/><Relationship Id="rId11" Type="http://schemas.openxmlformats.org/officeDocument/2006/relationships/hyperlink" Target="mailto:melis@berkeley.edu" TargetMode="External"/><Relationship Id="rId5" Type="http://schemas.openxmlformats.org/officeDocument/2006/relationships/hyperlink" Target="mailto:ychiang@mit.edu" TargetMode="External"/><Relationship Id="rId15" Type="http://schemas.openxmlformats.org/officeDocument/2006/relationships/hyperlink" Target="mailto:Garret.Miyake@colostate.edu" TargetMode="External"/><Relationship Id="rId10" Type="http://schemas.openxmlformats.org/officeDocument/2006/relationships/hyperlink" Target="mailto:frederick.e.pinkerton@gm.com" TargetMode="External"/><Relationship Id="rId4" Type="http://schemas.openxmlformats.org/officeDocument/2006/relationships/hyperlink" Target="mailto:dlovley@microbio.umass.edu" TargetMode="External"/><Relationship Id="rId9" Type="http://schemas.openxmlformats.org/officeDocument/2006/relationships/hyperlink" Target="mailto:Steve.Evon@baldor.abb.com" TargetMode="External"/><Relationship Id="rId14" Type="http://schemas.openxmlformats.org/officeDocument/2006/relationships/hyperlink" Target="mailto:jaiz@seas.harvard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lmassa@uvm.edu" TargetMode="External"/><Relationship Id="rId3" Type="http://schemas.openxmlformats.org/officeDocument/2006/relationships/hyperlink" Target="mailto:rick.winter@primuspower.net" TargetMode="External"/><Relationship Id="rId7" Type="http://schemas.openxmlformats.org/officeDocument/2006/relationships/hyperlink" Target="mailto:Garret.Miyake@colostate.edu" TargetMode="External"/><Relationship Id="rId2" Type="http://schemas.openxmlformats.org/officeDocument/2006/relationships/hyperlink" Target="mailto:Kashiyama@ba-lab.com" TargetMode="External"/><Relationship Id="rId1" Type="http://schemas.openxmlformats.org/officeDocument/2006/relationships/hyperlink" Target="mailto:Kashiyama@ba-lab.com" TargetMode="External"/><Relationship Id="rId6" Type="http://schemas.openxmlformats.org/officeDocument/2006/relationships/hyperlink" Target="mailto:Garret.Miyake@colostate.edu" TargetMode="External"/><Relationship Id="rId5" Type="http://schemas.openxmlformats.org/officeDocument/2006/relationships/hyperlink" Target="mailto:KKepler@Farasis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marc.hornbostel@sri.com" TargetMode="External"/><Relationship Id="rId9" Type="http://schemas.openxmlformats.org/officeDocument/2006/relationships/hyperlink" Target="mailto:malmassa@uvm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9"/>
  <sheetViews>
    <sheetView topLeftCell="A4" workbookViewId="0">
      <selection activeCell="B38" sqref="B38"/>
    </sheetView>
  </sheetViews>
  <sheetFormatPr defaultRowHeight="13" x14ac:dyDescent="0.3"/>
  <cols>
    <col min="1" max="1" width="16.3984375" bestFit="1" customWidth="1"/>
    <col min="2" max="2" width="12.59765625" bestFit="1" customWidth="1"/>
    <col min="3" max="3" width="25.59765625" bestFit="1" customWidth="1"/>
  </cols>
  <sheetData>
    <row r="2" spans="1:5" ht="65.5" thickBot="1" x14ac:dyDescent="0.35">
      <c r="A2" t="s">
        <v>8398</v>
      </c>
      <c r="B2" t="s">
        <v>26</v>
      </c>
      <c r="C2" s="10" t="s">
        <v>8397</v>
      </c>
      <c r="D2" t="s">
        <v>8406</v>
      </c>
      <c r="E2" s="13" t="s">
        <v>8407</v>
      </c>
    </row>
    <row r="3" spans="1:5" x14ac:dyDescent="0.3">
      <c r="A3" t="s">
        <v>8399</v>
      </c>
      <c r="B3" t="s">
        <v>331</v>
      </c>
      <c r="C3" s="10" t="s">
        <v>8403</v>
      </c>
    </row>
    <row r="4" spans="1:5" x14ac:dyDescent="0.3">
      <c r="A4" t="s">
        <v>8400</v>
      </c>
      <c r="B4" t="s">
        <v>442</v>
      </c>
      <c r="C4" s="10" t="s">
        <v>8404</v>
      </c>
      <c r="D4" t="s">
        <v>8406</v>
      </c>
    </row>
    <row r="5" spans="1:5" x14ac:dyDescent="0.3">
      <c r="A5" t="s">
        <v>8401</v>
      </c>
      <c r="B5" t="s">
        <v>523</v>
      </c>
      <c r="C5" s="10" t="s">
        <v>8405</v>
      </c>
      <c r="D5" t="s">
        <v>8406</v>
      </c>
    </row>
    <row r="6" spans="1:5" x14ac:dyDescent="0.3">
      <c r="A6" t="s">
        <v>8408</v>
      </c>
      <c r="B6" t="s">
        <v>1037</v>
      </c>
      <c r="C6" s="10" t="s">
        <v>8410</v>
      </c>
    </row>
    <row r="7" spans="1:5" x14ac:dyDescent="0.3">
      <c r="A7" t="s">
        <v>8409</v>
      </c>
      <c r="B7" t="s">
        <v>1339</v>
      </c>
      <c r="C7" s="10" t="s">
        <v>8063</v>
      </c>
    </row>
    <row r="8" spans="1:5" x14ac:dyDescent="0.3">
      <c r="A8" t="s">
        <v>8411</v>
      </c>
      <c r="B8" t="s">
        <v>1648</v>
      </c>
      <c r="C8" s="10" t="s">
        <v>8184</v>
      </c>
    </row>
    <row r="9" spans="1:5" x14ac:dyDescent="0.3">
      <c r="A9" s="11" t="s">
        <v>8412</v>
      </c>
      <c r="B9" t="s">
        <v>1806</v>
      </c>
      <c r="C9" s="10" t="s">
        <v>8413</v>
      </c>
    </row>
    <row r="10" spans="1:5" x14ac:dyDescent="0.3">
      <c r="A10" t="s">
        <v>8402</v>
      </c>
      <c r="B10" t="s">
        <v>2008</v>
      </c>
      <c r="C10" s="10" t="s">
        <v>8414</v>
      </c>
      <c r="D10" t="s">
        <v>8415</v>
      </c>
    </row>
    <row r="11" spans="1:5" x14ac:dyDescent="0.3">
      <c r="A11" t="s">
        <v>8417</v>
      </c>
      <c r="B11" t="s">
        <v>2503</v>
      </c>
      <c r="C11" s="10" t="s">
        <v>8416</v>
      </c>
    </row>
    <row r="12" spans="1:5" x14ac:dyDescent="0.3">
      <c r="A12" t="s">
        <v>8418</v>
      </c>
      <c r="B12" t="s">
        <v>2558</v>
      </c>
      <c r="C12" s="10" t="s">
        <v>8419</v>
      </c>
    </row>
    <row r="13" spans="1:5" x14ac:dyDescent="0.3">
      <c r="A13" t="s">
        <v>8420</v>
      </c>
      <c r="B13" t="s">
        <v>2734</v>
      </c>
      <c r="C13" s="10" t="s">
        <v>8422</v>
      </c>
    </row>
    <row r="14" spans="1:5" x14ac:dyDescent="0.3">
      <c r="A14" t="s">
        <v>8421</v>
      </c>
      <c r="B14" t="s">
        <v>3093</v>
      </c>
      <c r="C14" s="10" t="s">
        <v>8423</v>
      </c>
    </row>
    <row r="15" spans="1:5" x14ac:dyDescent="0.3">
      <c r="A15" t="s">
        <v>8424</v>
      </c>
      <c r="B15" t="s">
        <v>3284</v>
      </c>
      <c r="C15" s="10" t="s">
        <v>8425</v>
      </c>
    </row>
    <row r="16" spans="1:5" x14ac:dyDescent="0.3">
      <c r="A16" t="s">
        <v>8426</v>
      </c>
      <c r="B16" t="s">
        <v>3470</v>
      </c>
      <c r="C16" s="10" t="s">
        <v>8427</v>
      </c>
    </row>
    <row r="17" spans="1:3" x14ac:dyDescent="0.3">
      <c r="A17" t="s">
        <v>8428</v>
      </c>
      <c r="B17" t="s">
        <v>4201</v>
      </c>
      <c r="C17" s="10" t="s">
        <v>8429</v>
      </c>
    </row>
    <row r="18" spans="1:3" x14ac:dyDescent="0.3">
      <c r="A18" t="s">
        <v>8430</v>
      </c>
      <c r="B18" t="s">
        <v>6512</v>
      </c>
      <c r="C18" s="10" t="s">
        <v>8372</v>
      </c>
    </row>
    <row r="19" spans="1:3" x14ac:dyDescent="0.3">
      <c r="A19" t="s">
        <v>7975</v>
      </c>
      <c r="B19" t="s">
        <v>7304</v>
      </c>
      <c r="C19" t="s">
        <v>8432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7" r:id="rId4" xr:uid="{00000000-0004-0000-0000-000003000000}"/>
    <hyperlink ref="C6" r:id="rId5" xr:uid="{00000000-0004-0000-0000-000004000000}"/>
    <hyperlink ref="C8" r:id="rId6" xr:uid="{00000000-0004-0000-0000-000005000000}"/>
    <hyperlink ref="C9" r:id="rId7" xr:uid="{00000000-0004-0000-0000-000006000000}"/>
    <hyperlink ref="C10" r:id="rId8" xr:uid="{00000000-0004-0000-0000-000007000000}"/>
    <hyperlink ref="C11" r:id="rId9" xr:uid="{00000000-0004-0000-0000-000008000000}"/>
    <hyperlink ref="C12" r:id="rId10" xr:uid="{00000000-0004-0000-0000-000009000000}"/>
    <hyperlink ref="C13" r:id="rId11" xr:uid="{00000000-0004-0000-0000-00000A000000}"/>
    <hyperlink ref="C15" r:id="rId12" xr:uid="{00000000-0004-0000-0000-00000B000000}"/>
    <hyperlink ref="C16" r:id="rId13" xr:uid="{00000000-0004-0000-0000-00000C000000}"/>
    <hyperlink ref="C17" r:id="rId14" xr:uid="{00000000-0004-0000-0000-00000D000000}"/>
    <hyperlink ref="C18" r:id="rId15" xr:uid="{00000000-0004-0000-0000-00000E000000}"/>
    <hyperlink ref="E2" r:id="rId16" xr:uid="{00000000-0004-0000-0000-00000F000000}"/>
    <hyperlink ref="C5" r:id="rId17" xr:uid="{00000000-0004-0000-0000-000010000000}"/>
    <hyperlink ref="C14" r:id="rId18" xr:uid="{00000000-0004-0000-0000-00001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20"/>
  <sheetViews>
    <sheetView tabSelected="1" topLeftCell="B1" zoomScale="80" zoomScaleNormal="80" workbookViewId="0">
      <pane ySplit="1" topLeftCell="A2" activePane="bottomLeft" state="frozen"/>
      <selection pane="bottomLeft" activeCell="H5" sqref="H5"/>
    </sheetView>
  </sheetViews>
  <sheetFormatPr defaultRowHeight="13" x14ac:dyDescent="0.3"/>
  <cols>
    <col min="1" max="1" width="11.59765625" customWidth="1"/>
    <col min="2" max="2" width="9.8984375" customWidth="1"/>
    <col min="3" max="3" width="16.296875" customWidth="1"/>
    <col min="4" max="4" width="26.69921875" customWidth="1"/>
    <col min="5" max="5" width="26.8984375" customWidth="1"/>
    <col min="6" max="6" width="13.59765625" customWidth="1"/>
    <col min="7" max="7" width="16.296875" customWidth="1"/>
    <col min="8" max="8" width="16.59765625" customWidth="1"/>
    <col min="9" max="9" width="20.8984375" customWidth="1"/>
    <col min="10" max="10" width="32.8984375" bestFit="1" customWidth="1"/>
    <col min="11" max="11" width="26.3984375" bestFit="1" customWidth="1"/>
    <col min="12" max="12" width="29.09765625" customWidth="1"/>
    <col min="13" max="13" width="26.3984375" customWidth="1"/>
    <col min="14" max="14" width="25.09765625" style="5" customWidth="1"/>
  </cols>
  <sheetData>
    <row r="1" spans="1:14" ht="26" x14ac:dyDescent="0.3">
      <c r="A1" t="s">
        <v>7314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t="s">
        <v>7330</v>
      </c>
      <c r="K1" t="s">
        <v>7668</v>
      </c>
      <c r="L1" s="2" t="s">
        <v>7428</v>
      </c>
      <c r="M1" t="s">
        <v>7976</v>
      </c>
      <c r="N1" s="2" t="s">
        <v>7475</v>
      </c>
    </row>
    <row r="2" spans="1:14" ht="26" x14ac:dyDescent="0.3">
      <c r="A2" s="1" t="str">
        <f>HYPERLINK("https://ipmanager.doe.gov/IPManager//ExternalLink.aspx?6ibkph2k9yi6F%2B0Vz7YoTipZ798QK%2BbPSmqVhC2THK0%3D","Link")</f>
        <v>Link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/>
      <c r="I2" s="2" t="s">
        <v>9</v>
      </c>
      <c r="J2" t="s">
        <v>7341</v>
      </c>
      <c r="K2" t="s">
        <v>7340</v>
      </c>
      <c r="L2" s="2" t="s">
        <v>8440</v>
      </c>
      <c r="M2" t="s">
        <v>7977</v>
      </c>
    </row>
    <row r="3" spans="1:14" ht="26" x14ac:dyDescent="0.3">
      <c r="A3" s="1" t="str">
        <f>HYPERLINK("https://ipmanager.doe.gov/IPManager//ExternalLink.aspx?6ibkph2k9yi6F%2B0Vz7YoTgZwfmYxrNyKbbpzj19Bd9s%3D","Link")</f>
        <v>Link</v>
      </c>
      <c r="B3" s="2" t="s">
        <v>16</v>
      </c>
      <c r="C3" s="2" t="s">
        <v>11</v>
      </c>
      <c r="D3" s="2" t="s">
        <v>12</v>
      </c>
      <c r="E3" s="2" t="s">
        <v>17</v>
      </c>
      <c r="F3" s="2"/>
      <c r="G3" s="2" t="s">
        <v>9</v>
      </c>
      <c r="H3" s="2"/>
      <c r="I3" s="2" t="s">
        <v>9</v>
      </c>
      <c r="K3" t="e">
        <v>#N/A</v>
      </c>
      <c r="L3" s="2" t="s">
        <v>8440</v>
      </c>
      <c r="M3" t="s">
        <v>7977</v>
      </c>
      <c r="N3" s="4"/>
    </row>
    <row r="4" spans="1:14" ht="39" x14ac:dyDescent="0.3">
      <c r="A4" s="1" t="str">
        <f>HYPERLINK("https://ipmanager.doe.gov/IPManager//ExternalLink.aspx?6ibkph2k9yi6F%2B0Vz7YoTjnDGhmGHGI7QAKUiUXFW7o%3D","Link")</f>
        <v>Link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>
        <v>9079815</v>
      </c>
      <c r="I4" s="2" t="s">
        <v>24</v>
      </c>
      <c r="J4" t="s">
        <v>7354</v>
      </c>
      <c r="K4" t="s">
        <v>7355</v>
      </c>
      <c r="L4" s="2" t="s">
        <v>8441</v>
      </c>
      <c r="M4" t="s">
        <v>7978</v>
      </c>
    </row>
    <row r="5" spans="1:14" ht="52" x14ac:dyDescent="0.3">
      <c r="A5" s="1" t="str">
        <f>HYPERLINK("https://ipmanager.doe.gov/IPManager//ExternalLink.aspx?6ibkph2k9yi6F%2B0Vz7YoTjnDGhmGHGI7EMplwH17CQA%3D","Link")</f>
        <v>Link</v>
      </c>
      <c r="B5" s="2" t="s">
        <v>25</v>
      </c>
      <c r="C5" s="2" t="s">
        <v>26</v>
      </c>
      <c r="D5" s="2" t="s">
        <v>27</v>
      </c>
      <c r="E5" s="2" t="s">
        <v>28</v>
      </c>
      <c r="F5" s="2" t="s">
        <v>29</v>
      </c>
      <c r="G5" s="2" t="s">
        <v>30</v>
      </c>
      <c r="H5" s="2">
        <v>9273330</v>
      </c>
      <c r="I5" s="2" t="s">
        <v>31</v>
      </c>
      <c r="J5" t="s">
        <v>7357</v>
      </c>
      <c r="K5" t="s">
        <v>7358</v>
      </c>
      <c r="L5" s="2" t="s">
        <v>8398</v>
      </c>
      <c r="M5" s="10" t="s">
        <v>8397</v>
      </c>
      <c r="N5" s="5" t="s">
        <v>8434</v>
      </c>
    </row>
    <row r="6" spans="1:14" ht="52" x14ac:dyDescent="0.3">
      <c r="A6" s="1" t="str">
        <f>HYPERLINK("https://ipmanager.doe.gov/IPManager//ExternalLink.aspx?6ibkph2k9yi6F%2B0Vz7YoTjnDGhmGHGI7043eqQ%2FK%2F9I%3D","Link")</f>
        <v>Link</v>
      </c>
      <c r="B6" s="2" t="s">
        <v>32</v>
      </c>
      <c r="C6" s="2" t="s">
        <v>26</v>
      </c>
      <c r="D6" s="2" t="s">
        <v>27</v>
      </c>
      <c r="E6" s="2" t="s">
        <v>33</v>
      </c>
      <c r="F6" s="2" t="s">
        <v>34</v>
      </c>
      <c r="G6" s="2" t="s">
        <v>35</v>
      </c>
      <c r="H6" s="2">
        <v>9422582</v>
      </c>
      <c r="I6" s="2" t="s">
        <v>36</v>
      </c>
      <c r="J6" t="s">
        <v>34</v>
      </c>
      <c r="K6" t="s">
        <v>7680</v>
      </c>
      <c r="L6" s="2" t="s">
        <v>8398</v>
      </c>
      <c r="M6" s="10" t="s">
        <v>8397</v>
      </c>
      <c r="N6" s="5" t="s">
        <v>8434</v>
      </c>
    </row>
    <row r="7" spans="1:14" ht="52" x14ac:dyDescent="0.3">
      <c r="A7" s="1" t="str">
        <f>HYPERLINK("https://ipmanager.doe.gov/IPManager//ExternalLink.aspx?6ibkph2k9yi6F%2B0Vz7YoTjnDGhmGHGI7JP%2FXlqOjUpM%3D","Link")</f>
        <v>Link</v>
      </c>
      <c r="B7" s="2" t="s">
        <v>38</v>
      </c>
      <c r="C7" s="2" t="s">
        <v>26</v>
      </c>
      <c r="D7" s="2" t="s">
        <v>27</v>
      </c>
      <c r="E7" s="2" t="s">
        <v>33</v>
      </c>
      <c r="F7" s="2" t="s">
        <v>39</v>
      </c>
      <c r="G7" s="2" t="s">
        <v>35</v>
      </c>
      <c r="H7" s="2">
        <v>9422581</v>
      </c>
      <c r="I7" s="2" t="s">
        <v>36</v>
      </c>
      <c r="J7" t="s">
        <v>7360</v>
      </c>
      <c r="K7" t="s">
        <v>7359</v>
      </c>
      <c r="L7" s="2" t="s">
        <v>8398</v>
      </c>
      <c r="M7" s="10" t="s">
        <v>8397</v>
      </c>
      <c r="N7" s="5" t="s">
        <v>8434</v>
      </c>
    </row>
    <row r="8" spans="1:14" ht="52" x14ac:dyDescent="0.3">
      <c r="A8" s="1" t="str">
        <f>HYPERLINK("https://ipmanager.doe.gov/IPManager//ExternalLink.aspx?6ibkph2k9yi6F%2B0Vz7YoTjnDGhmGHGI79cXNmfLMCHY%3D","Link")</f>
        <v>Link</v>
      </c>
      <c r="B8" s="2" t="s">
        <v>40</v>
      </c>
      <c r="C8" s="2" t="s">
        <v>26</v>
      </c>
      <c r="D8" s="2" t="s">
        <v>27</v>
      </c>
      <c r="E8" s="2" t="s">
        <v>33</v>
      </c>
      <c r="F8" s="2" t="s">
        <v>37</v>
      </c>
      <c r="G8" s="2" t="s">
        <v>41</v>
      </c>
      <c r="H8" s="2"/>
      <c r="I8" s="2" t="s">
        <v>9</v>
      </c>
      <c r="J8" t="s">
        <v>7342</v>
      </c>
      <c r="K8" t="e">
        <v>#N/A</v>
      </c>
      <c r="L8" s="2" t="s">
        <v>8398</v>
      </c>
      <c r="M8" s="10" t="s">
        <v>8397</v>
      </c>
      <c r="N8" s="5" t="s">
        <v>8434</v>
      </c>
    </row>
    <row r="9" spans="1:14" ht="52" x14ac:dyDescent="0.3">
      <c r="A9" s="1" t="str">
        <f>HYPERLINK("https://ipmanager.doe.gov/IPManager//ExternalLink.aspx?6ibkph2k9yi6F%2B0Vz7YoTjnDGhmGHGI7F%2F8EXvH7XMg%3D","Link")</f>
        <v>Link</v>
      </c>
      <c r="B9" s="2" t="s">
        <v>42</v>
      </c>
      <c r="C9" s="2" t="s">
        <v>26</v>
      </c>
      <c r="D9" s="2" t="s">
        <v>27</v>
      </c>
      <c r="E9" s="2" t="s">
        <v>43</v>
      </c>
      <c r="F9" s="2" t="s">
        <v>44</v>
      </c>
      <c r="G9" s="2" t="s">
        <v>45</v>
      </c>
      <c r="H9" s="2">
        <v>9580705</v>
      </c>
      <c r="I9" s="2" t="s">
        <v>9</v>
      </c>
      <c r="J9" t="s">
        <v>7356</v>
      </c>
      <c r="K9" t="s">
        <v>7362</v>
      </c>
      <c r="L9" s="2" t="s">
        <v>8398</v>
      </c>
      <c r="M9" s="10" t="s">
        <v>8397</v>
      </c>
      <c r="N9" s="5" t="s">
        <v>8434</v>
      </c>
    </row>
    <row r="10" spans="1:14" ht="52" x14ac:dyDescent="0.3">
      <c r="A10" s="1" t="str">
        <f>HYPERLINK("https://ipmanager.doe.gov/IPManager//ExternalLink.aspx?6ibkph2k9yi6F%2B0Vz7YoTjnDGhmGHGI7HHPr%2FzlXOAc%3D","Link")</f>
        <v>Link</v>
      </c>
      <c r="B10" s="2" t="s">
        <v>46</v>
      </c>
      <c r="C10" s="2" t="s">
        <v>26</v>
      </c>
      <c r="D10" s="2" t="s">
        <v>27</v>
      </c>
      <c r="E10" s="2" t="s">
        <v>47</v>
      </c>
      <c r="F10" s="2" t="s">
        <v>48</v>
      </c>
      <c r="G10" s="2" t="s">
        <v>49</v>
      </c>
      <c r="H10" s="2">
        <v>9169467</v>
      </c>
      <c r="I10" s="2" t="s">
        <v>50</v>
      </c>
      <c r="J10" t="s">
        <v>7363</v>
      </c>
      <c r="K10" t="s">
        <v>7361</v>
      </c>
      <c r="L10" s="2" t="s">
        <v>8398</v>
      </c>
      <c r="M10" s="10" t="s">
        <v>8397</v>
      </c>
      <c r="N10" s="5" t="s">
        <v>8434</v>
      </c>
    </row>
    <row r="11" spans="1:14" ht="52" x14ac:dyDescent="0.3">
      <c r="A11" s="1" t="str">
        <f>HYPERLINK("https://ipmanager.doe.gov/IPManager//ExternalLink.aspx?6ibkph2k9yi6F%2B0Vz7YoTlNm8snv%2FZpHIo7nHcyOLU4%3D","Link")</f>
        <v>Link</v>
      </c>
      <c r="B11" s="2" t="s">
        <v>69</v>
      </c>
      <c r="C11" s="2" t="s">
        <v>26</v>
      </c>
      <c r="D11" s="2" t="s">
        <v>27</v>
      </c>
      <c r="E11" s="2" t="s">
        <v>52</v>
      </c>
      <c r="F11" s="2" t="s">
        <v>55</v>
      </c>
      <c r="G11" s="2" t="s">
        <v>54</v>
      </c>
      <c r="H11" s="2">
        <v>9238828</v>
      </c>
      <c r="I11" s="2" t="s">
        <v>70</v>
      </c>
      <c r="J11" t="s">
        <v>7339</v>
      </c>
      <c r="K11" t="s">
        <v>7334</v>
      </c>
      <c r="L11" s="2" t="s">
        <v>8398</v>
      </c>
      <c r="M11" s="10" t="s">
        <v>8397</v>
      </c>
      <c r="N11" s="5" t="s">
        <v>8434</v>
      </c>
    </row>
    <row r="12" spans="1:14" ht="52" x14ac:dyDescent="0.3">
      <c r="A12" s="1" t="str">
        <f>HYPERLINK("https://ipmanager.doe.gov/IPManager//ExternalLink.aspx?6ibkph2k9yi6F%2B0Vz7YoTlNm8snv%2FZpHHXsVbg%2BcBcY%3D","Link")</f>
        <v>Link</v>
      </c>
      <c r="B12" s="2" t="s">
        <v>79</v>
      </c>
      <c r="C12" s="2" t="s">
        <v>26</v>
      </c>
      <c r="D12" s="2" t="s">
        <v>57</v>
      </c>
      <c r="E12" s="2" t="s">
        <v>80</v>
      </c>
      <c r="F12" s="2"/>
      <c r="G12" s="2" t="s">
        <v>9</v>
      </c>
      <c r="H12" s="2"/>
      <c r="I12" s="2" t="s">
        <v>9</v>
      </c>
      <c r="K12" t="e">
        <v>#N/A</v>
      </c>
      <c r="L12" s="2" t="s">
        <v>8398</v>
      </c>
      <c r="M12" s="10" t="s">
        <v>8397</v>
      </c>
      <c r="N12" s="5" t="s">
        <v>8434</v>
      </c>
    </row>
    <row r="13" spans="1:14" ht="52" x14ac:dyDescent="0.3">
      <c r="A13" s="1" t="str">
        <f>HYPERLINK("https://ipmanager.doe.gov/IPManager//ExternalLink.aspx?6ibkph2k9yi6F%2B0Vz7YoTlNm8snv%2FZpHVEoSZOqJCPA%3D","Link")</f>
        <v>Link</v>
      </c>
      <c r="B13" s="2" t="s">
        <v>82</v>
      </c>
      <c r="C13" s="2" t="s">
        <v>26</v>
      </c>
      <c r="D13" s="2" t="s">
        <v>57</v>
      </c>
      <c r="E13" s="2" t="s">
        <v>83</v>
      </c>
      <c r="F13" s="2"/>
      <c r="G13" s="2" t="s">
        <v>9</v>
      </c>
      <c r="H13" s="2"/>
      <c r="I13" s="2" t="s">
        <v>9</v>
      </c>
      <c r="K13" t="e">
        <v>#N/A</v>
      </c>
      <c r="L13" s="2" t="s">
        <v>8398</v>
      </c>
      <c r="M13" s="10" t="s">
        <v>8397</v>
      </c>
      <c r="N13" s="5" t="s">
        <v>8434</v>
      </c>
    </row>
    <row r="14" spans="1:14" ht="52" x14ac:dyDescent="0.3">
      <c r="A14" s="1" t="str">
        <f>HYPERLINK("https://ipmanager.doe.gov/IPManager//ExternalLink.aspx?6ibkph2k9yi6F%2B0Vz7YoTlNm8snv%2FZpHrx8bhErgQEQ%3D","Link")</f>
        <v>Link</v>
      </c>
      <c r="B14" s="2" t="s">
        <v>56</v>
      </c>
      <c r="C14" s="2" t="s">
        <v>26</v>
      </c>
      <c r="D14" s="2" t="s">
        <v>57</v>
      </c>
      <c r="E14" s="2" t="s">
        <v>58</v>
      </c>
      <c r="F14" s="2" t="s">
        <v>59</v>
      </c>
      <c r="G14" s="2" t="s">
        <v>60</v>
      </c>
      <c r="H14" s="7"/>
      <c r="I14" s="2" t="s">
        <v>9</v>
      </c>
      <c r="J14" t="s">
        <v>7343</v>
      </c>
      <c r="K14" t="s">
        <v>7335</v>
      </c>
      <c r="L14" s="2" t="s">
        <v>8398</v>
      </c>
      <c r="M14" s="10" t="s">
        <v>8397</v>
      </c>
      <c r="N14" s="5" t="s">
        <v>8434</v>
      </c>
    </row>
    <row r="15" spans="1:14" ht="52" x14ac:dyDescent="0.3">
      <c r="A15" s="1" t="str">
        <f>HYPERLINK("https://ipmanager.doe.gov/IPManager//ExternalLink.aspx?6ibkph2k9yi6F%2B0Vz7YoTlNm8snv%2FZpHMRMprwEdeyM%3D","Link")</f>
        <v>Link</v>
      </c>
      <c r="B15" s="2" t="s">
        <v>61</v>
      </c>
      <c r="C15" s="2" t="s">
        <v>26</v>
      </c>
      <c r="D15" s="2" t="s">
        <v>57</v>
      </c>
      <c r="E15" s="2" t="s">
        <v>62</v>
      </c>
      <c r="F15" s="2" t="s">
        <v>63</v>
      </c>
      <c r="G15" s="2" t="s">
        <v>64</v>
      </c>
      <c r="H15" s="7"/>
      <c r="I15" s="2" t="s">
        <v>9</v>
      </c>
      <c r="J15" t="s">
        <v>7338</v>
      </c>
      <c r="K15" t="s">
        <v>7681</v>
      </c>
      <c r="L15" s="2" t="s">
        <v>8398</v>
      </c>
      <c r="M15" s="10" t="s">
        <v>8397</v>
      </c>
      <c r="N15" s="5" t="s">
        <v>8434</v>
      </c>
    </row>
    <row r="16" spans="1:14" ht="117" x14ac:dyDescent="0.3">
      <c r="A16" s="1" t="str">
        <f>HYPERLINK("https://ipmanager.doe.gov/IPManager//ExternalLink.aspx?6ibkph2k9yi6F%2B0Vz7YoTlNm8snv%2FZpH00KnqYCueD0%3D","Link")</f>
        <v>Link</v>
      </c>
      <c r="B16" s="2" t="s">
        <v>65</v>
      </c>
      <c r="C16" s="2" t="s">
        <v>26</v>
      </c>
      <c r="D16" s="2" t="s">
        <v>57</v>
      </c>
      <c r="E16" s="2" t="s">
        <v>66</v>
      </c>
      <c r="F16" s="2" t="s">
        <v>67</v>
      </c>
      <c r="G16" s="2" t="s">
        <v>68</v>
      </c>
      <c r="H16" s="7"/>
      <c r="I16" s="2" t="s">
        <v>9</v>
      </c>
      <c r="J16" t="s">
        <v>7332</v>
      </c>
      <c r="K16" t="e">
        <v>#N/A</v>
      </c>
      <c r="L16" s="2" t="s">
        <v>8398</v>
      </c>
      <c r="M16" s="10" t="s">
        <v>8397</v>
      </c>
      <c r="N16" s="5" t="s">
        <v>8435</v>
      </c>
    </row>
    <row r="17" spans="1:14" ht="52" x14ac:dyDescent="0.3">
      <c r="A17" s="1" t="str">
        <f>HYPERLINK("https://ipmanager.doe.gov/IPManager//ExternalLink.aspx?6ibkph2k9yi6F%2B0Vz7YoTlNm8snv%2FZpHjpGCSIJUo0c%3D","Link")</f>
        <v>Link</v>
      </c>
      <c r="B17" s="2" t="s">
        <v>72</v>
      </c>
      <c r="C17" s="2" t="s">
        <v>26</v>
      </c>
      <c r="D17" s="2" t="s">
        <v>57</v>
      </c>
      <c r="E17" s="2" t="s">
        <v>73</v>
      </c>
      <c r="F17" s="2" t="s">
        <v>74</v>
      </c>
      <c r="G17" s="2" t="s">
        <v>75</v>
      </c>
      <c r="H17" s="7"/>
      <c r="I17" s="2" t="s">
        <v>9</v>
      </c>
      <c r="J17" t="s">
        <v>7337</v>
      </c>
      <c r="K17" t="s">
        <v>7336</v>
      </c>
      <c r="L17" s="2" t="s">
        <v>8398</v>
      </c>
      <c r="M17" s="10" t="s">
        <v>8397</v>
      </c>
      <c r="N17" s="5" t="s">
        <v>8434</v>
      </c>
    </row>
    <row r="18" spans="1:14" ht="65" x14ac:dyDescent="0.3">
      <c r="A18" s="1" t="str">
        <f>HYPERLINK("https://ipmanager.doe.gov/IPManager//ExternalLink.aspx?6ibkph2k9yi6F%2B0Vz7YoTlNm8snv%2FZpH4k6lbOfJx4U%3D","Link")</f>
        <v>Link</v>
      </c>
      <c r="B18" s="2" t="s">
        <v>76</v>
      </c>
      <c r="C18" s="2" t="s">
        <v>26</v>
      </c>
      <c r="D18" s="2" t="s">
        <v>57</v>
      </c>
      <c r="E18" s="2" t="s">
        <v>77</v>
      </c>
      <c r="F18" s="2" t="s">
        <v>78</v>
      </c>
      <c r="G18" s="2" t="s">
        <v>60</v>
      </c>
      <c r="H18" s="7"/>
      <c r="I18" s="2" t="s">
        <v>9</v>
      </c>
      <c r="J18" t="s">
        <v>7344</v>
      </c>
      <c r="K18" t="s">
        <v>7346</v>
      </c>
      <c r="L18" s="2" t="s">
        <v>8398</v>
      </c>
      <c r="M18" s="10" t="s">
        <v>8397</v>
      </c>
      <c r="N18" s="5" t="s">
        <v>8434</v>
      </c>
    </row>
    <row r="19" spans="1:14" ht="104" x14ac:dyDescent="0.3">
      <c r="A19" s="1" t="str">
        <f>HYPERLINK("https://ipmanager.doe.gov/IPManager//ExternalLink.aspx?6ibkph2k9yi6F%2B0Vz7YoTvPUg%2FVZPl3ii%2FtLZ1n5d34%3D","Link")</f>
        <v>Link</v>
      </c>
      <c r="B19" s="2" t="s">
        <v>51</v>
      </c>
      <c r="C19" s="2" t="s">
        <v>26</v>
      </c>
      <c r="D19" s="2" t="s">
        <v>27</v>
      </c>
      <c r="E19" s="2" t="s">
        <v>52</v>
      </c>
      <c r="F19" s="2" t="s">
        <v>53</v>
      </c>
      <c r="G19" s="2" t="s">
        <v>54</v>
      </c>
      <c r="H19" s="7"/>
      <c r="I19" s="2" t="s">
        <v>9</v>
      </c>
      <c r="J19" t="s">
        <v>7339</v>
      </c>
      <c r="K19" t="s">
        <v>7334</v>
      </c>
      <c r="L19" s="2" t="s">
        <v>8398</v>
      </c>
      <c r="M19" s="10" t="s">
        <v>8397</v>
      </c>
      <c r="N19" s="5" t="s">
        <v>8436</v>
      </c>
    </row>
    <row r="20" spans="1:14" ht="39" x14ac:dyDescent="0.3">
      <c r="A20" s="1" t="str">
        <f>HYPERLINK("https://ipmanager.doe.gov/IPManager//ExternalLink.aspx?6ibkph2k9yi6F%2B0Vz7YoTlNm8snv%2FZpHZNcKFBGKRmY%3D","Link")</f>
        <v>Link</v>
      </c>
      <c r="B20" s="2" t="s">
        <v>84</v>
      </c>
      <c r="C20" s="2" t="s">
        <v>85</v>
      </c>
      <c r="D20" s="2" t="s">
        <v>86</v>
      </c>
      <c r="E20" s="2" t="s">
        <v>87</v>
      </c>
      <c r="F20" s="2"/>
      <c r="G20" s="2" t="s">
        <v>9</v>
      </c>
      <c r="H20" s="2"/>
      <c r="I20" s="2" t="s">
        <v>9</v>
      </c>
      <c r="K20" t="e">
        <v>#N/A</v>
      </c>
      <c r="L20" s="2" t="s">
        <v>8442</v>
      </c>
      <c r="M20" t="s">
        <v>7980</v>
      </c>
      <c r="N20" s="4"/>
    </row>
    <row r="21" spans="1:14" ht="39" x14ac:dyDescent="0.3">
      <c r="A21" s="1" t="str">
        <f>HYPERLINK("https://ipmanager.doe.gov/IPManager//ExternalLink.aspx?6ibkph2k9yi6F%2B0Vz7YoTlNm8snv%2FZpHENvFLHh2nrA%3D","Link")</f>
        <v>Link</v>
      </c>
      <c r="B21" s="2" t="s">
        <v>91</v>
      </c>
      <c r="C21" s="2" t="s">
        <v>85</v>
      </c>
      <c r="D21" s="2" t="s">
        <v>86</v>
      </c>
      <c r="E21" s="2" t="s">
        <v>87</v>
      </c>
      <c r="F21" s="2"/>
      <c r="G21" s="2" t="s">
        <v>9</v>
      </c>
      <c r="H21" s="2"/>
      <c r="I21" s="2" t="s">
        <v>9</v>
      </c>
      <c r="K21" t="e">
        <v>#N/A</v>
      </c>
      <c r="L21" s="2" t="s">
        <v>8442</v>
      </c>
      <c r="M21" t="s">
        <v>7980</v>
      </c>
      <c r="N21" s="4"/>
    </row>
    <row r="22" spans="1:14" ht="39" x14ac:dyDescent="0.3">
      <c r="A22" s="1" t="str">
        <f>HYPERLINK("https://ipmanager.doe.gov/IPManager//ExternalLink.aspx?6ibkph2k9yi6F%2B0Vz7YoTlNm8snv%2FZpHHxephbGgmz0%3D","Link")</f>
        <v>Link</v>
      </c>
      <c r="B22" s="2" t="s">
        <v>88</v>
      </c>
      <c r="C22" s="2" t="s">
        <v>85</v>
      </c>
      <c r="D22" s="2" t="s">
        <v>86</v>
      </c>
      <c r="E22" s="2" t="s">
        <v>87</v>
      </c>
      <c r="F22" s="2" t="s">
        <v>89</v>
      </c>
      <c r="G22" s="2" t="s">
        <v>90</v>
      </c>
      <c r="H22" s="2"/>
      <c r="I22" s="2" t="s">
        <v>9</v>
      </c>
      <c r="J22" t="s">
        <v>7345</v>
      </c>
      <c r="K22" t="s">
        <v>7682</v>
      </c>
      <c r="L22" s="2" t="s">
        <v>8442</v>
      </c>
      <c r="M22" t="s">
        <v>7980</v>
      </c>
    </row>
    <row r="23" spans="1:14" ht="65" x14ac:dyDescent="0.3">
      <c r="A23" s="1" t="str">
        <f>HYPERLINK("https://ipmanager.doe.gov/IPManager//ExternalLink.aspx?6ibkph2k9yi6F%2B0Vz7YoTipZ798QK%2BbPszb8u98j%2Fw0%3D","Link")</f>
        <v>Link</v>
      </c>
      <c r="B23" s="2" t="s">
        <v>99</v>
      </c>
      <c r="C23" s="2" t="s">
        <v>94</v>
      </c>
      <c r="D23" s="2" t="s">
        <v>100</v>
      </c>
      <c r="E23" s="2" t="s">
        <v>101</v>
      </c>
      <c r="F23" s="2"/>
      <c r="G23" s="2" t="s">
        <v>9</v>
      </c>
      <c r="H23" s="2"/>
      <c r="I23" s="2" t="s">
        <v>9</v>
      </c>
      <c r="J23" t="s">
        <v>7331</v>
      </c>
      <c r="K23" t="e">
        <v>#N/A</v>
      </c>
      <c r="L23" s="2" t="s">
        <v>8443</v>
      </c>
      <c r="M23" t="s">
        <v>7981</v>
      </c>
      <c r="N23" s="4"/>
    </row>
    <row r="24" spans="1:14" ht="65" x14ac:dyDescent="0.3">
      <c r="A24" s="1" t="str">
        <f>HYPERLINK("https://ipmanager.doe.gov/IPManager//ExternalLink.aspx?6ibkph2k9yi6F%2B0Vz7YoTnXVN2REjGcWiznfWl3I9po%3D","Link")</f>
        <v>Link</v>
      </c>
      <c r="B24" s="2" t="s">
        <v>102</v>
      </c>
      <c r="C24" s="2" t="s">
        <v>94</v>
      </c>
      <c r="D24" s="2" t="s">
        <v>95</v>
      </c>
      <c r="E24" s="2" t="s">
        <v>103</v>
      </c>
      <c r="F24" s="2" t="s">
        <v>104</v>
      </c>
      <c r="G24" s="2" t="s">
        <v>105</v>
      </c>
      <c r="H24" s="2"/>
      <c r="I24" s="2" t="s">
        <v>9</v>
      </c>
      <c r="J24" t="s">
        <v>7348</v>
      </c>
      <c r="K24" t="e">
        <v>#N/A</v>
      </c>
      <c r="L24" s="2" t="s">
        <v>8443</v>
      </c>
      <c r="M24" t="s">
        <v>7981</v>
      </c>
    </row>
    <row r="25" spans="1:14" ht="65" x14ac:dyDescent="0.3">
      <c r="A25" s="1" t="str">
        <f>HYPERLINK("https://ipmanager.doe.gov/IPManager//ExternalLink.aspx?6ibkph2k9yi6F%2B0Vz7YoTnXVN2REjGcWKQCwSBndi6s%3D","Link")</f>
        <v>Link</v>
      </c>
      <c r="B25" s="2" t="s">
        <v>106</v>
      </c>
      <c r="C25" s="2" t="s">
        <v>94</v>
      </c>
      <c r="D25" s="2" t="s">
        <v>95</v>
      </c>
      <c r="E25" s="2" t="s">
        <v>103</v>
      </c>
      <c r="F25" s="2" t="s">
        <v>107</v>
      </c>
      <c r="G25" s="2" t="s">
        <v>105</v>
      </c>
      <c r="H25" s="2"/>
      <c r="I25" s="2" t="s">
        <v>9</v>
      </c>
      <c r="J25" t="s">
        <v>7347</v>
      </c>
      <c r="K25" t="s">
        <v>7333</v>
      </c>
      <c r="L25" s="2" t="s">
        <v>8443</v>
      </c>
      <c r="M25" t="s">
        <v>7981</v>
      </c>
    </row>
    <row r="26" spans="1:14" ht="65" x14ac:dyDescent="0.3">
      <c r="A26" s="1" t="str">
        <f>HYPERLINK("https://ipmanager.doe.gov/IPManager//ExternalLink.aspx?6ibkph2k9yi6F%2B0Vz7YoTipZ798QK%2BbPPiNqq0OV%2B3w%3D","Link")</f>
        <v>Link</v>
      </c>
      <c r="B26" s="2" t="s">
        <v>108</v>
      </c>
      <c r="C26" s="2" t="s">
        <v>94</v>
      </c>
      <c r="D26" s="2" t="s">
        <v>95</v>
      </c>
      <c r="E26" s="2" t="s">
        <v>103</v>
      </c>
      <c r="F26" s="2" t="s">
        <v>107</v>
      </c>
      <c r="G26" s="2" t="s">
        <v>105</v>
      </c>
      <c r="H26" s="2">
        <v>9917323</v>
      </c>
      <c r="I26" s="2" t="s">
        <v>109</v>
      </c>
      <c r="J26" t="s">
        <v>7347</v>
      </c>
      <c r="K26" t="s">
        <v>7333</v>
      </c>
      <c r="L26" s="2" t="s">
        <v>8443</v>
      </c>
      <c r="M26" t="s">
        <v>7981</v>
      </c>
    </row>
    <row r="27" spans="1:14" ht="65" x14ac:dyDescent="0.3">
      <c r="A27" s="1" t="str">
        <f>HYPERLINK("https://ipmanager.doe.gov/IPManager//ExternalLink.aspx?6ibkph2k9yi6F%2B0Vz7YoTu0g4zH%2BOsvyXIiKuBiP0fA%3D","Link")</f>
        <v>Link</v>
      </c>
      <c r="B27" s="2" t="s">
        <v>114</v>
      </c>
      <c r="C27" s="2" t="s">
        <v>94</v>
      </c>
      <c r="D27" s="2" t="s">
        <v>95</v>
      </c>
      <c r="E27" s="2" t="s">
        <v>103</v>
      </c>
      <c r="F27" s="2" t="s">
        <v>104</v>
      </c>
      <c r="G27" s="2" t="s">
        <v>105</v>
      </c>
      <c r="H27" s="2"/>
      <c r="I27" s="2" t="s">
        <v>9</v>
      </c>
      <c r="J27" t="s">
        <v>7348</v>
      </c>
      <c r="K27" t="e">
        <v>#N/A</v>
      </c>
      <c r="L27" s="2" t="s">
        <v>8443</v>
      </c>
      <c r="M27" t="s">
        <v>7981</v>
      </c>
    </row>
    <row r="28" spans="1:14" ht="65" x14ac:dyDescent="0.3">
      <c r="A28" s="1" t="str">
        <f>HYPERLINK("https://ipmanager.doe.gov/IPManager//ExternalLink.aspx?6ibkph2k9yi6F%2B0Vz7YoTjnDGhmGHGI72wfYmdsVliM%3D","Link")</f>
        <v>Link</v>
      </c>
      <c r="B28" s="2" t="s">
        <v>93</v>
      </c>
      <c r="C28" s="2" t="s">
        <v>94</v>
      </c>
      <c r="D28" s="2" t="s">
        <v>95</v>
      </c>
      <c r="E28" s="2" t="s">
        <v>96</v>
      </c>
      <c r="F28" s="2" t="s">
        <v>97</v>
      </c>
      <c r="G28" s="2" t="s">
        <v>98</v>
      </c>
      <c r="H28" s="7"/>
      <c r="I28" s="2" t="s">
        <v>9</v>
      </c>
      <c r="J28" t="s">
        <v>169</v>
      </c>
      <c r="K28" t="s">
        <v>7351</v>
      </c>
      <c r="L28" s="2" t="s">
        <v>8443</v>
      </c>
      <c r="M28" t="s">
        <v>7981</v>
      </c>
    </row>
    <row r="29" spans="1:14" ht="65" x14ac:dyDescent="0.3">
      <c r="A29" s="1" t="str">
        <f>HYPERLINK("https://ipmanager.doe.gov/IPManager//ExternalLink.aspx?6ibkph2k9yi6F%2B0Vz7YoTipZ798QK%2BbPEi2iNwUAIYU%3D","Link")</f>
        <v>Link</v>
      </c>
      <c r="B29" s="2" t="s">
        <v>110</v>
      </c>
      <c r="C29" s="2" t="s">
        <v>94</v>
      </c>
      <c r="D29" s="2" t="s">
        <v>95</v>
      </c>
      <c r="E29" s="2" t="s">
        <v>111</v>
      </c>
      <c r="F29" s="2" t="s">
        <v>112</v>
      </c>
      <c r="G29" s="2" t="s">
        <v>113</v>
      </c>
      <c r="H29" s="7"/>
      <c r="I29" s="2" t="s">
        <v>9</v>
      </c>
      <c r="K29" t="e">
        <v>#N/A</v>
      </c>
      <c r="L29" s="2" t="s">
        <v>8443</v>
      </c>
      <c r="M29" t="s">
        <v>7981</v>
      </c>
      <c r="N29" s="4"/>
    </row>
    <row r="30" spans="1:14" ht="39" x14ac:dyDescent="0.3">
      <c r="A30" s="1" t="str">
        <f>HYPERLINK("https://ipmanager.doe.gov/IPManager//ExternalLink.aspx?6ibkph2k9yi6F%2B0Vz7YoTipZ798QK%2BbP4DJ2O5G6c8o%3D","Link")</f>
        <v>Link</v>
      </c>
      <c r="B30" s="2" t="s">
        <v>121</v>
      </c>
      <c r="C30" s="2" t="s">
        <v>116</v>
      </c>
      <c r="D30" s="2" t="s">
        <v>117</v>
      </c>
      <c r="E30" s="2" t="s">
        <v>122</v>
      </c>
      <c r="F30" s="2"/>
      <c r="G30" s="2" t="s">
        <v>9</v>
      </c>
      <c r="H30" s="2"/>
      <c r="I30" s="2" t="s">
        <v>9</v>
      </c>
      <c r="K30" t="e">
        <v>#N/A</v>
      </c>
      <c r="L30" s="2" t="s">
        <v>8444</v>
      </c>
      <c r="M30" t="s">
        <v>7982</v>
      </c>
      <c r="N30" s="4"/>
    </row>
    <row r="31" spans="1:14" ht="52" x14ac:dyDescent="0.3">
      <c r="A31" s="1" t="str">
        <f>HYPERLINK("https://ipmanager.doe.gov/IPManager//ExternalLink.aspx?6ibkph2k9yi6F%2B0Vz7YoTipZ798QK%2BbPEr7ezv7GhfI%3D","Link")</f>
        <v>Link</v>
      </c>
      <c r="B31" s="2" t="s">
        <v>123</v>
      </c>
      <c r="C31" s="2" t="s">
        <v>116</v>
      </c>
      <c r="D31" s="2" t="s">
        <v>117</v>
      </c>
      <c r="E31" s="2" t="s">
        <v>124</v>
      </c>
      <c r="F31" s="2"/>
      <c r="G31" s="2" t="s">
        <v>9</v>
      </c>
      <c r="H31" s="2"/>
      <c r="I31" s="2" t="s">
        <v>9</v>
      </c>
      <c r="K31" t="e">
        <v>#N/A</v>
      </c>
      <c r="L31" s="2" t="s">
        <v>8444</v>
      </c>
      <c r="M31" t="s">
        <v>7982</v>
      </c>
      <c r="N31" s="4"/>
    </row>
    <row r="32" spans="1:14" ht="104" x14ac:dyDescent="0.3">
      <c r="A32" s="1" t="str">
        <f>HYPERLINK("https://ipmanager.doe.gov/IPManager//ExternalLink.aspx?6ibkph2k9yi6F%2B0Vz7YoTk2BI6w%2FjZ2fe7PPuOgN58Q%3D","Link")</f>
        <v>Link</v>
      </c>
      <c r="B32" s="2" t="s">
        <v>126</v>
      </c>
      <c r="C32" s="2" t="s">
        <v>116</v>
      </c>
      <c r="D32" s="2" t="s">
        <v>117</v>
      </c>
      <c r="E32" s="2" t="s">
        <v>127</v>
      </c>
      <c r="F32" s="2"/>
      <c r="G32" s="2" t="s">
        <v>9</v>
      </c>
      <c r="H32" s="2"/>
      <c r="I32" s="2" t="s">
        <v>9</v>
      </c>
      <c r="K32" t="e">
        <v>#N/A</v>
      </c>
      <c r="L32" s="2" t="s">
        <v>8444</v>
      </c>
      <c r="M32" t="s">
        <v>7982</v>
      </c>
      <c r="N32" s="4"/>
    </row>
    <row r="33" spans="1:14" ht="78" x14ac:dyDescent="0.3">
      <c r="A33" s="1" t="str">
        <f>HYPERLINK("https://ipmanager.doe.gov/IPManager//ExternalLink.aspx?6ibkph2k9yi6F%2B0Vz7YoTk2BI6w%2FjZ2faJdE6bDVIy8%3D","Link")</f>
        <v>Link</v>
      </c>
      <c r="B33" s="2" t="s">
        <v>128</v>
      </c>
      <c r="C33" s="2" t="s">
        <v>116</v>
      </c>
      <c r="D33" s="2" t="s">
        <v>117</v>
      </c>
      <c r="E33" s="2" t="s">
        <v>129</v>
      </c>
      <c r="F33" s="2"/>
      <c r="G33" s="2" t="s">
        <v>9</v>
      </c>
      <c r="H33" s="2"/>
      <c r="I33" s="2" t="s">
        <v>9</v>
      </c>
      <c r="K33" t="e">
        <v>#N/A</v>
      </c>
      <c r="L33" s="2" t="s">
        <v>8444</v>
      </c>
      <c r="M33" t="s">
        <v>7982</v>
      </c>
      <c r="N33" s="4"/>
    </row>
    <row r="34" spans="1:14" ht="78" x14ac:dyDescent="0.3">
      <c r="A34" s="1" t="str">
        <f>HYPERLINK("https://ipmanager.doe.gov/IPManager//ExternalLink.aspx?6ibkph2k9yi6F%2B0Vz7YoTipZ798QK%2BbPbeYog4U93Mk%3D","Link")</f>
        <v>Link</v>
      </c>
      <c r="B34" s="2" t="s">
        <v>115</v>
      </c>
      <c r="C34" s="2" t="s">
        <v>116</v>
      </c>
      <c r="D34" s="2" t="s">
        <v>117</v>
      </c>
      <c r="E34" s="2" t="s">
        <v>118</v>
      </c>
      <c r="F34" s="2" t="s">
        <v>119</v>
      </c>
      <c r="G34" s="2" t="s">
        <v>120</v>
      </c>
      <c r="H34" s="7"/>
      <c r="I34" s="2" t="s">
        <v>9</v>
      </c>
      <c r="J34" t="s">
        <v>7350</v>
      </c>
      <c r="K34" t="s">
        <v>7349</v>
      </c>
      <c r="L34" s="2" t="s">
        <v>8444</v>
      </c>
      <c r="M34" t="s">
        <v>7982</v>
      </c>
    </row>
    <row r="35" spans="1:14" ht="39" x14ac:dyDescent="0.3">
      <c r="A35" s="1" t="str">
        <f>HYPERLINK("https://ipmanager.doe.gov/IPManager//ExternalLink.aspx?6ibkph2k9yi6F%2B0Vz7YoTipZ798QK%2BbPL1w5GIEZ1To%3D","Link")</f>
        <v>Link</v>
      </c>
      <c r="B35" s="2" t="s">
        <v>130</v>
      </c>
      <c r="C35" s="2" t="s">
        <v>131</v>
      </c>
      <c r="D35" s="2" t="s">
        <v>132</v>
      </c>
      <c r="E35" s="2" t="s">
        <v>133</v>
      </c>
      <c r="F35" s="2"/>
      <c r="G35" s="2" t="s">
        <v>9</v>
      </c>
      <c r="H35" s="2"/>
      <c r="I35" s="2" t="s">
        <v>9</v>
      </c>
      <c r="K35" t="e">
        <v>#N/A</v>
      </c>
      <c r="L35" s="2" t="s">
        <v>8445</v>
      </c>
      <c r="M35" t="s">
        <v>7983</v>
      </c>
      <c r="N35" s="4"/>
    </row>
    <row r="36" spans="1:14" ht="91" x14ac:dyDescent="0.3">
      <c r="A36" s="1" t="str">
        <f>HYPERLINK("https://ipmanager.doe.gov/IPManager//ExternalLink.aspx?6ibkph2k9yi6F%2B0Vz7YoTipZ798QK%2BbPtJjgIgw%2FsOE%3D","Link")</f>
        <v>Link</v>
      </c>
      <c r="B36" s="2" t="s">
        <v>134</v>
      </c>
      <c r="C36" s="2" t="s">
        <v>131</v>
      </c>
      <c r="D36" s="2" t="s">
        <v>135</v>
      </c>
      <c r="E36" s="2" t="s">
        <v>136</v>
      </c>
      <c r="F36" s="2"/>
      <c r="G36" s="2" t="s">
        <v>9</v>
      </c>
      <c r="H36" s="2"/>
      <c r="I36" s="2" t="s">
        <v>9</v>
      </c>
      <c r="K36" t="e">
        <v>#N/A</v>
      </c>
      <c r="L36" s="2" t="s">
        <v>8445</v>
      </c>
      <c r="M36" t="s">
        <v>7983</v>
      </c>
      <c r="N36" s="4"/>
    </row>
    <row r="37" spans="1:14" ht="78" x14ac:dyDescent="0.3">
      <c r="A37" s="1" t="str">
        <f>HYPERLINK("https://ipmanager.doe.gov/IPManager//ExternalLink.aspx?6ibkph2k9yi6F%2B0Vz7YoTipZ798QK%2BbPRA8NKiPBlFw%3D","Link")</f>
        <v>Link</v>
      </c>
      <c r="B37" s="2" t="s">
        <v>137</v>
      </c>
      <c r="C37" s="2" t="s">
        <v>131</v>
      </c>
      <c r="D37" s="2" t="s">
        <v>135</v>
      </c>
      <c r="E37" s="2" t="s">
        <v>138</v>
      </c>
      <c r="F37" s="2"/>
      <c r="G37" s="2" t="s">
        <v>9</v>
      </c>
      <c r="H37" s="2"/>
      <c r="I37" s="2" t="s">
        <v>9</v>
      </c>
      <c r="K37" t="e">
        <v>#N/A</v>
      </c>
      <c r="L37" s="2" t="s">
        <v>8445</v>
      </c>
      <c r="M37" t="s">
        <v>7983</v>
      </c>
      <c r="N37" s="4"/>
    </row>
    <row r="38" spans="1:14" ht="65" x14ac:dyDescent="0.3">
      <c r="A38" s="1" t="str">
        <f>HYPERLINK("https://ipmanager.doe.gov/IPManager//ExternalLink.aspx?6ibkph2k9yi6F%2B0Vz7YoTipZ798QK%2BbP3RdjkUxjNZ8%3D","Link")</f>
        <v>Link</v>
      </c>
      <c r="B38" s="2" t="s">
        <v>139</v>
      </c>
      <c r="C38" s="2" t="s">
        <v>131</v>
      </c>
      <c r="D38" s="2" t="s">
        <v>140</v>
      </c>
      <c r="E38" s="2" t="s">
        <v>141</v>
      </c>
      <c r="F38" s="2"/>
      <c r="G38" s="2" t="s">
        <v>9</v>
      </c>
      <c r="H38" s="2"/>
      <c r="I38" s="2" t="s">
        <v>9</v>
      </c>
      <c r="K38" t="e">
        <v>#N/A</v>
      </c>
      <c r="L38" s="2" t="s">
        <v>8445</v>
      </c>
      <c r="M38" t="s">
        <v>7983</v>
      </c>
      <c r="N38" s="4"/>
    </row>
    <row r="39" spans="1:14" ht="52" x14ac:dyDescent="0.3">
      <c r="A39" s="1" t="str">
        <f>HYPERLINK("https://ipmanager.doe.gov/IPManager//ExternalLink.aspx?6ibkph2k9yi6F%2B0Vz7YoTipZ798QK%2BbPReiCQmRPTYo%3D","Link")</f>
        <v>Link</v>
      </c>
      <c r="B39" s="2" t="s">
        <v>142</v>
      </c>
      <c r="C39" s="2" t="s">
        <v>131</v>
      </c>
      <c r="D39" s="2" t="s">
        <v>140</v>
      </c>
      <c r="E39" s="2" t="s">
        <v>143</v>
      </c>
      <c r="F39" s="2"/>
      <c r="G39" s="2" t="s">
        <v>9</v>
      </c>
      <c r="H39" s="2"/>
      <c r="I39" s="2" t="s">
        <v>9</v>
      </c>
      <c r="K39" t="e">
        <v>#N/A</v>
      </c>
      <c r="L39" s="2" t="s">
        <v>8445</v>
      </c>
      <c r="M39" t="s">
        <v>7983</v>
      </c>
      <c r="N39" s="4"/>
    </row>
    <row r="40" spans="1:14" ht="26" x14ac:dyDescent="0.3">
      <c r="A40" s="1" t="str">
        <f>HYPERLINK("https://ipmanager.doe.gov/IPManager//ExternalLink.aspx?6ibkph2k9yi6F%2B0Vz7YoTipZ798QK%2BbPYMOcXLYOx2w%3D","Link")</f>
        <v>Link</v>
      </c>
      <c r="B40" s="2" t="s">
        <v>144</v>
      </c>
      <c r="C40" s="2" t="s">
        <v>131</v>
      </c>
      <c r="D40" s="2" t="s">
        <v>140</v>
      </c>
      <c r="E40" s="2" t="s">
        <v>145</v>
      </c>
      <c r="F40" s="2"/>
      <c r="G40" s="2" t="s">
        <v>9</v>
      </c>
      <c r="H40" s="2"/>
      <c r="I40" s="2" t="s">
        <v>9</v>
      </c>
      <c r="K40" t="e">
        <v>#N/A</v>
      </c>
      <c r="L40" s="2" t="s">
        <v>8445</v>
      </c>
      <c r="M40" t="s">
        <v>7983</v>
      </c>
      <c r="N40" s="4"/>
    </row>
    <row r="41" spans="1:14" ht="26" x14ac:dyDescent="0.3">
      <c r="A41" s="1" t="str">
        <f>HYPERLINK("https://ipmanager.doe.gov/IPManager//ExternalLink.aspx?6ibkph2k9yi6F%2B0Vz7YoTipZ798QK%2BbPT5R61YfXsjo%3D","Link")</f>
        <v>Link</v>
      </c>
      <c r="B41" s="2" t="s">
        <v>147</v>
      </c>
      <c r="C41" s="2" t="s">
        <v>131</v>
      </c>
      <c r="D41" s="2" t="s">
        <v>140</v>
      </c>
      <c r="E41" s="2" t="s">
        <v>148</v>
      </c>
      <c r="F41" s="2"/>
      <c r="G41" s="2" t="s">
        <v>9</v>
      </c>
      <c r="H41" s="2"/>
      <c r="I41" s="2" t="s">
        <v>9</v>
      </c>
      <c r="K41" t="e">
        <v>#N/A</v>
      </c>
      <c r="L41" s="2" t="s">
        <v>8445</v>
      </c>
      <c r="M41" t="s">
        <v>7983</v>
      </c>
      <c r="N41" s="4"/>
    </row>
    <row r="42" spans="1:14" ht="52" x14ac:dyDescent="0.3">
      <c r="A42" s="1" t="str">
        <f>HYPERLINK("https://ipmanager.doe.gov/IPManager//ExternalLink.aspx?6ibkph2k9yi6F%2B0Vz7YoTipZ798QK%2BbPeP1IUD4vQDw%3D","Link")</f>
        <v>Link</v>
      </c>
      <c r="B42" s="2" t="s">
        <v>149</v>
      </c>
      <c r="C42" s="2" t="s">
        <v>131</v>
      </c>
      <c r="D42" s="2" t="s">
        <v>135</v>
      </c>
      <c r="E42" s="2" t="s">
        <v>150</v>
      </c>
      <c r="F42" s="2"/>
      <c r="G42" s="2" t="s">
        <v>9</v>
      </c>
      <c r="H42" s="2"/>
      <c r="I42" s="2" t="s">
        <v>9</v>
      </c>
      <c r="K42" t="e">
        <v>#N/A</v>
      </c>
      <c r="L42" s="2" t="s">
        <v>8445</v>
      </c>
      <c r="M42" t="s">
        <v>7983</v>
      </c>
      <c r="N42" s="4"/>
    </row>
    <row r="43" spans="1:14" ht="91" x14ac:dyDescent="0.3">
      <c r="A43" s="1" t="str">
        <f>HYPERLINK("https://ipmanager.doe.gov/IPManager//ExternalLink.aspx?6ibkph2k9yi6F%2B0Vz7YoTipZ798QK%2BbPFAYdDxNu3u0%3D","Link")</f>
        <v>Link</v>
      </c>
      <c r="B43" s="2" t="s">
        <v>151</v>
      </c>
      <c r="C43" s="2" t="s">
        <v>131</v>
      </c>
      <c r="D43" s="2" t="s">
        <v>140</v>
      </c>
      <c r="E43" s="2" t="s">
        <v>152</v>
      </c>
      <c r="F43" s="2"/>
      <c r="G43" s="2" t="s">
        <v>9</v>
      </c>
      <c r="H43" s="2"/>
      <c r="I43" s="2" t="s">
        <v>9</v>
      </c>
      <c r="K43" t="e">
        <v>#N/A</v>
      </c>
      <c r="L43" s="2" t="s">
        <v>8445</v>
      </c>
      <c r="M43" t="s">
        <v>7983</v>
      </c>
      <c r="N43" s="4"/>
    </row>
    <row r="44" spans="1:14" ht="39" x14ac:dyDescent="0.3">
      <c r="A44" s="1" t="str">
        <f>HYPERLINK("https://ipmanager.doe.gov/IPManager//ExternalLink.aspx?6ibkph2k9yi6F%2B0Vz7YoTipZ798QK%2BbPftSCPGgCbk4%3D","Link")</f>
        <v>Link</v>
      </c>
      <c r="B44" s="2" t="s">
        <v>153</v>
      </c>
      <c r="C44" s="2" t="s">
        <v>131</v>
      </c>
      <c r="D44" s="2" t="s">
        <v>154</v>
      </c>
      <c r="E44" s="2" t="s">
        <v>133</v>
      </c>
      <c r="F44" s="2"/>
      <c r="G44" s="2" t="s">
        <v>9</v>
      </c>
      <c r="H44" s="2"/>
      <c r="I44" s="2" t="s">
        <v>9</v>
      </c>
      <c r="K44" t="e">
        <v>#N/A</v>
      </c>
      <c r="L44" s="2" t="s">
        <v>8445</v>
      </c>
      <c r="M44" t="s">
        <v>7983</v>
      </c>
      <c r="N44" s="4"/>
    </row>
    <row r="45" spans="1:14" ht="52" x14ac:dyDescent="0.3">
      <c r="A45" s="1" t="str">
        <f>HYPERLINK("https://ipmanager.doe.gov/IPManager//ExternalLink.aspx?6ibkph2k9yi6F%2B0Vz7YoTjnDGhmGHGI7bVPg4SMHZUU%3D","Link")</f>
        <v>Link</v>
      </c>
      <c r="B45" s="2" t="s">
        <v>156</v>
      </c>
      <c r="C45" s="2" t="s">
        <v>131</v>
      </c>
      <c r="D45" s="2" t="s">
        <v>132</v>
      </c>
      <c r="E45" s="2" t="s">
        <v>157</v>
      </c>
      <c r="F45" s="2" t="s">
        <v>158</v>
      </c>
      <c r="G45" s="2" t="s">
        <v>159</v>
      </c>
      <c r="H45" s="2">
        <v>9303264</v>
      </c>
      <c r="I45" s="2" t="s">
        <v>160</v>
      </c>
      <c r="J45" t="s">
        <v>7365</v>
      </c>
      <c r="K45" t="s">
        <v>7364</v>
      </c>
      <c r="L45" s="2" t="s">
        <v>8445</v>
      </c>
      <c r="M45" t="s">
        <v>7983</v>
      </c>
    </row>
    <row r="46" spans="1:14" ht="52" x14ac:dyDescent="0.3">
      <c r="A46" s="1" t="str">
        <f>HYPERLINK("https://ipmanager.doe.gov/IPManager//ExternalLink.aspx?6ibkph2k9yi6F%2B0Vz7YoTipZ798QK%2BbP8xgQMfGUGzg%3D","Link")</f>
        <v>Link</v>
      </c>
      <c r="B46" s="2" t="s">
        <v>161</v>
      </c>
      <c r="C46" s="2" t="s">
        <v>131</v>
      </c>
      <c r="D46" s="2" t="s">
        <v>86</v>
      </c>
      <c r="E46" s="2" t="s">
        <v>162</v>
      </c>
      <c r="F46" s="2"/>
      <c r="G46" s="2" t="s">
        <v>9</v>
      </c>
      <c r="H46" s="2"/>
      <c r="I46" s="2" t="s">
        <v>9</v>
      </c>
      <c r="K46" t="e">
        <v>#N/A</v>
      </c>
      <c r="L46" s="2" t="s">
        <v>8445</v>
      </c>
      <c r="M46" t="s">
        <v>7983</v>
      </c>
      <c r="N46" s="4"/>
    </row>
    <row r="47" spans="1:14" ht="39" x14ac:dyDescent="0.3">
      <c r="A47" s="1" t="str">
        <f>HYPERLINK("https://ipmanager.doe.gov/IPManager//ExternalLink.aspx?6ibkph2k9yi6F%2B0Vz7YoTgZwfmYxrNyKAsftMk29TXQ%3D","Link")</f>
        <v>Link</v>
      </c>
      <c r="B47" s="2" t="s">
        <v>163</v>
      </c>
      <c r="C47" s="2" t="s">
        <v>131</v>
      </c>
      <c r="D47" s="2" t="s">
        <v>132</v>
      </c>
      <c r="E47" s="2" t="s">
        <v>164</v>
      </c>
      <c r="F47" s="2" t="s">
        <v>165</v>
      </c>
      <c r="G47" s="2" t="s">
        <v>166</v>
      </c>
      <c r="H47" s="2">
        <v>9255283</v>
      </c>
      <c r="I47" s="2" t="s">
        <v>167</v>
      </c>
      <c r="J47" t="s">
        <v>7366</v>
      </c>
      <c r="K47" t="s">
        <v>7367</v>
      </c>
      <c r="L47" s="2" t="s">
        <v>8445</v>
      </c>
      <c r="M47" t="s">
        <v>7983</v>
      </c>
    </row>
    <row r="48" spans="1:14" ht="39" x14ac:dyDescent="0.3">
      <c r="A48" s="1" t="str">
        <f>HYPERLINK("https://ipmanager.doe.gov/IPManager//ExternalLink.aspx?6ibkph2k9yi6F%2B0Vz7YoTq6RR9BlGHHiXjiq66SWysc%3D","Link")</f>
        <v>Link</v>
      </c>
      <c r="B48" s="2" t="s">
        <v>168</v>
      </c>
      <c r="C48" s="2" t="s">
        <v>131</v>
      </c>
      <c r="D48" s="2" t="s">
        <v>132</v>
      </c>
      <c r="E48" s="2" t="s">
        <v>164</v>
      </c>
      <c r="F48" s="2" t="s">
        <v>169</v>
      </c>
      <c r="G48" s="2" t="s">
        <v>166</v>
      </c>
      <c r="H48" s="2">
        <v>9255283</v>
      </c>
      <c r="I48" s="2" t="s">
        <v>167</v>
      </c>
      <c r="J48" t="s">
        <v>7366</v>
      </c>
      <c r="K48" t="s">
        <v>7367</v>
      </c>
      <c r="L48" s="2" t="s">
        <v>8445</v>
      </c>
      <c r="M48" t="s">
        <v>7983</v>
      </c>
      <c r="N48" s="5" t="s">
        <v>7526</v>
      </c>
    </row>
    <row r="49" spans="1:14" ht="26" x14ac:dyDescent="0.3">
      <c r="A49" s="1" t="str">
        <f>HYPERLINK("https://ipmanager.doe.gov/IPManager//ExternalLink.aspx?6ibkph2k9yi6F%2B0Vz7YoTlNm8snv%2FZpHov6Rsxdt4PQ%3D","Link")</f>
        <v>Link</v>
      </c>
      <c r="B49" s="2" t="s">
        <v>170</v>
      </c>
      <c r="C49" s="2" t="s">
        <v>171</v>
      </c>
      <c r="D49" s="2" t="s">
        <v>172</v>
      </c>
      <c r="E49" s="2" t="s">
        <v>173</v>
      </c>
      <c r="F49" s="2"/>
      <c r="G49" s="2" t="s">
        <v>9</v>
      </c>
      <c r="H49" s="2"/>
      <c r="I49" s="2" t="s">
        <v>9</v>
      </c>
      <c r="K49" t="e">
        <v>#N/A</v>
      </c>
      <c r="L49" s="2" t="s">
        <v>8446</v>
      </c>
      <c r="M49" t="s">
        <v>7984</v>
      </c>
      <c r="N49" s="4"/>
    </row>
    <row r="50" spans="1:14" ht="26" x14ac:dyDescent="0.3">
      <c r="A50" s="1" t="str">
        <f>HYPERLINK("https://ipmanager.doe.gov/IPManager//ExternalLink.aspx?6ibkph2k9yi6F%2B0Vz7YoTlNm8snv%2FZpHfPC6MZxgKQo%3D","Link")</f>
        <v>Link</v>
      </c>
      <c r="B50" s="2" t="s">
        <v>174</v>
      </c>
      <c r="C50" s="2" t="s">
        <v>171</v>
      </c>
      <c r="D50" s="2" t="s">
        <v>172</v>
      </c>
      <c r="E50" s="2" t="s">
        <v>175</v>
      </c>
      <c r="F50" s="2" t="s">
        <v>176</v>
      </c>
      <c r="G50" s="2" t="s">
        <v>177</v>
      </c>
      <c r="H50" s="7"/>
      <c r="I50" s="2" t="s">
        <v>9</v>
      </c>
      <c r="J50" t="s">
        <v>7353</v>
      </c>
      <c r="K50" t="s">
        <v>7352</v>
      </c>
      <c r="L50" s="2" t="s">
        <v>8446</v>
      </c>
      <c r="M50" t="s">
        <v>7984</v>
      </c>
      <c r="N50" s="4"/>
    </row>
    <row r="51" spans="1:14" ht="26" x14ac:dyDescent="0.3">
      <c r="A51" s="1" t="str">
        <f>HYPERLINK("https://ipmanager.doe.gov/IPManager//ExternalLink.aspx?6ibkph2k9yi6F%2B0Vz7YoTlNm8snv%2FZpH4Lx%2BlfFnWP0%3D","Link")</f>
        <v>Link</v>
      </c>
      <c r="B51" s="2" t="s">
        <v>178</v>
      </c>
      <c r="C51" s="2" t="s">
        <v>171</v>
      </c>
      <c r="D51" s="2" t="s">
        <v>172</v>
      </c>
      <c r="E51" s="2" t="s">
        <v>175</v>
      </c>
      <c r="F51" s="2" t="s">
        <v>179</v>
      </c>
      <c r="G51" s="2" t="s">
        <v>180</v>
      </c>
      <c r="H51" s="7"/>
      <c r="I51" s="2" t="s">
        <v>9</v>
      </c>
      <c r="J51" t="s">
        <v>7353</v>
      </c>
      <c r="K51" t="s">
        <v>7352</v>
      </c>
      <c r="L51" s="2" t="s">
        <v>8446</v>
      </c>
      <c r="M51" t="s">
        <v>7984</v>
      </c>
      <c r="N51" s="4"/>
    </row>
    <row r="52" spans="1:14" ht="39" x14ac:dyDescent="0.3">
      <c r="A52" s="1" t="str">
        <f>HYPERLINK("https://ipmanager.doe.gov/IPManager//ExternalLink.aspx?6ibkph2k9yi6F%2B0Vz7YoTlNm8snv%2FZpHixXTEaBjadI%3D","Link")</f>
        <v>Link</v>
      </c>
      <c r="B52" s="2" t="s">
        <v>181</v>
      </c>
      <c r="C52" s="2" t="s">
        <v>171</v>
      </c>
      <c r="D52" s="2" t="s">
        <v>172</v>
      </c>
      <c r="E52" s="2" t="s">
        <v>182</v>
      </c>
      <c r="F52" s="2" t="s">
        <v>183</v>
      </c>
      <c r="G52" s="2" t="s">
        <v>184</v>
      </c>
      <c r="H52" s="7"/>
      <c r="I52" s="2" t="s">
        <v>9</v>
      </c>
      <c r="K52" t="e">
        <v>#N/A</v>
      </c>
      <c r="L52" s="2" t="s">
        <v>8446</v>
      </c>
      <c r="M52" t="s">
        <v>7984</v>
      </c>
      <c r="N52" s="4"/>
    </row>
    <row r="53" spans="1:14" ht="52" x14ac:dyDescent="0.3">
      <c r="A53" s="1" t="str">
        <f>HYPERLINK("https://ipmanager.doe.gov/IPManager//ExternalLink.aspx?6ibkph2k9yi6F%2B0Vz7YoTjnDGhmGHGI7G8a3C0JV9aU%3D","Link")</f>
        <v>Link</v>
      </c>
      <c r="B53" s="2" t="s">
        <v>185</v>
      </c>
      <c r="C53" s="2" t="s">
        <v>186</v>
      </c>
      <c r="D53" s="2" t="s">
        <v>187</v>
      </c>
      <c r="E53" s="2" t="s">
        <v>188</v>
      </c>
      <c r="F53" s="2" t="s">
        <v>189</v>
      </c>
      <c r="G53" s="2" t="s">
        <v>190</v>
      </c>
      <c r="H53" s="2">
        <v>8796738</v>
      </c>
      <c r="I53" s="2" t="s">
        <v>191</v>
      </c>
      <c r="J53" t="s">
        <v>7368</v>
      </c>
      <c r="K53" t="s">
        <v>7375</v>
      </c>
      <c r="L53" s="2" t="s">
        <v>8447</v>
      </c>
      <c r="M53" t="s">
        <v>7985</v>
      </c>
    </row>
    <row r="54" spans="1:14" ht="39" x14ac:dyDescent="0.3">
      <c r="A54" s="1" t="str">
        <f>HYPERLINK("https://ipmanager.doe.gov/IPManager//ExternalLink.aspx?6ibkph2k9yi6F%2B0Vz7YoTjnDGhmGHGI73vVHocf16pc%3D","Link")</f>
        <v>Link</v>
      </c>
      <c r="B54" s="2" t="s">
        <v>192</v>
      </c>
      <c r="C54" s="2" t="s">
        <v>186</v>
      </c>
      <c r="D54" s="2" t="s">
        <v>187</v>
      </c>
      <c r="E54" s="2" t="s">
        <v>193</v>
      </c>
      <c r="F54" s="2" t="s">
        <v>194</v>
      </c>
      <c r="G54" s="2" t="s">
        <v>195</v>
      </c>
      <c r="H54" s="2">
        <v>8659030</v>
      </c>
      <c r="I54" s="2" t="s">
        <v>196</v>
      </c>
      <c r="J54" t="s">
        <v>7369</v>
      </c>
      <c r="K54" t="s">
        <v>7376</v>
      </c>
      <c r="L54" s="2" t="s">
        <v>8447</v>
      </c>
      <c r="M54" t="s">
        <v>7985</v>
      </c>
    </row>
    <row r="55" spans="1:14" ht="39" x14ac:dyDescent="0.3">
      <c r="A55" s="1" t="str">
        <f>HYPERLINK("https://ipmanager.doe.gov/IPManager//ExternalLink.aspx?6ibkph2k9yi6F%2B0Vz7YoTjnDGhmGHGI7qYG32lDbkrA%3D","Link")</f>
        <v>Link</v>
      </c>
      <c r="B55" s="2" t="s">
        <v>197</v>
      </c>
      <c r="C55" s="2" t="s">
        <v>186</v>
      </c>
      <c r="D55" s="2" t="s">
        <v>187</v>
      </c>
      <c r="E55" s="2" t="s">
        <v>198</v>
      </c>
      <c r="F55" s="2" t="s">
        <v>199</v>
      </c>
      <c r="G55" s="2" t="s">
        <v>200</v>
      </c>
      <c r="H55" s="2">
        <v>8969881</v>
      </c>
      <c r="I55" s="2" t="s">
        <v>201</v>
      </c>
      <c r="J55" t="s">
        <v>7370</v>
      </c>
      <c r="K55" t="s">
        <v>7377</v>
      </c>
      <c r="L55" s="2" t="s">
        <v>8447</v>
      </c>
      <c r="M55" t="s">
        <v>7985</v>
      </c>
    </row>
    <row r="56" spans="1:14" ht="52" x14ac:dyDescent="0.3">
      <c r="A56" s="1" t="str">
        <f>HYPERLINK("https://ipmanager.doe.gov/IPManager//ExternalLink.aspx?6ibkph2k9yi6F%2B0Vz7YoTjnDGhmGHGI7fYr%2BjcG%2B0UI%3D","Link")</f>
        <v>Link</v>
      </c>
      <c r="B56" s="2" t="s">
        <v>202</v>
      </c>
      <c r="C56" s="2" t="s">
        <v>186</v>
      </c>
      <c r="D56" s="2" t="s">
        <v>187</v>
      </c>
      <c r="E56" s="2" t="s">
        <v>203</v>
      </c>
      <c r="F56" s="2" t="s">
        <v>204</v>
      </c>
      <c r="G56" s="2" t="s">
        <v>205</v>
      </c>
      <c r="H56" s="2">
        <v>8957454</v>
      </c>
      <c r="I56" s="2" t="s">
        <v>206</v>
      </c>
      <c r="J56" t="s">
        <v>7371</v>
      </c>
      <c r="K56" t="s">
        <v>7378</v>
      </c>
      <c r="L56" s="2" t="s">
        <v>8447</v>
      </c>
      <c r="M56" t="s">
        <v>7985</v>
      </c>
    </row>
    <row r="57" spans="1:14" ht="39" x14ac:dyDescent="0.3">
      <c r="A57" s="1" t="str">
        <f>HYPERLINK("https://ipmanager.doe.gov/IPManager//ExternalLink.aspx?6ibkph2k9yi6F%2B0Vz7YoTjnDGhmGHGI7TTTyrmPtvHs%3D","Link")</f>
        <v>Link</v>
      </c>
      <c r="B57" s="2" t="s">
        <v>207</v>
      </c>
      <c r="C57" s="2" t="s">
        <v>186</v>
      </c>
      <c r="D57" s="2" t="s">
        <v>187</v>
      </c>
      <c r="E57" s="2" t="s">
        <v>208</v>
      </c>
      <c r="F57" s="2" t="s">
        <v>209</v>
      </c>
      <c r="G57" s="2" t="s">
        <v>210</v>
      </c>
      <c r="H57" s="2">
        <v>9070755</v>
      </c>
      <c r="I57" s="2" t="s">
        <v>211</v>
      </c>
      <c r="J57" t="s">
        <v>7372</v>
      </c>
      <c r="K57" t="s">
        <v>7380</v>
      </c>
      <c r="L57" s="2" t="s">
        <v>8447</v>
      </c>
      <c r="M57" t="s">
        <v>7985</v>
      </c>
    </row>
    <row r="58" spans="1:14" ht="39" x14ac:dyDescent="0.3">
      <c r="A58" s="1" t="str">
        <f>HYPERLINK("https://ipmanager.doe.gov/IPManager//ExternalLink.aspx?6ibkph2k9yi6F%2B0Vz7YoTvPUg%2FVZPl3i6geziBdSHpg%3D","Link")</f>
        <v>Link</v>
      </c>
      <c r="B58" s="2" t="s">
        <v>212</v>
      </c>
      <c r="C58" s="2" t="s">
        <v>186</v>
      </c>
      <c r="D58" s="2" t="s">
        <v>187</v>
      </c>
      <c r="E58" s="2" t="s">
        <v>213</v>
      </c>
      <c r="F58" s="2" t="s">
        <v>214</v>
      </c>
      <c r="G58" s="2" t="s">
        <v>215</v>
      </c>
      <c r="H58" s="2">
        <v>9564498</v>
      </c>
      <c r="I58" s="2" t="s">
        <v>216</v>
      </c>
      <c r="J58" t="s">
        <v>7373</v>
      </c>
      <c r="K58" t="e">
        <v>#N/A</v>
      </c>
      <c r="L58" s="2" t="s">
        <v>8447</v>
      </c>
      <c r="M58" t="s">
        <v>7985</v>
      </c>
    </row>
    <row r="59" spans="1:14" ht="39" x14ac:dyDescent="0.3">
      <c r="A59" s="1" t="str">
        <f>HYPERLINK("https://ipmanager.doe.gov/IPManager//ExternalLink.aspx?6ibkph2k9yi6F%2B0Vz7YoTjnDGhmGHGI7LsYo3yYZwVw%3D","Link")</f>
        <v>Link</v>
      </c>
      <c r="B59" s="2" t="s">
        <v>217</v>
      </c>
      <c r="C59" s="2" t="s">
        <v>186</v>
      </c>
      <c r="D59" s="2" t="s">
        <v>187</v>
      </c>
      <c r="E59" s="2" t="s">
        <v>218</v>
      </c>
      <c r="F59" s="2" t="s">
        <v>219</v>
      </c>
      <c r="G59" s="2" t="s">
        <v>220</v>
      </c>
      <c r="H59" s="2">
        <v>9379231</v>
      </c>
      <c r="I59" s="2" t="s">
        <v>221</v>
      </c>
      <c r="J59" t="s">
        <v>7374</v>
      </c>
      <c r="K59" t="s">
        <v>7381</v>
      </c>
      <c r="L59" s="2" t="s">
        <v>8447</v>
      </c>
      <c r="M59" t="s">
        <v>7985</v>
      </c>
    </row>
    <row r="60" spans="1:14" ht="52" x14ac:dyDescent="0.3">
      <c r="A60" s="1" t="str">
        <f>HYPERLINK("https://ipmanager.doe.gov/IPManager//ExternalLink.aspx?6ibkph2k9yi6F%2B0Vz7YoTipZ798QK%2BbP%2FckNruaT0Vg%3D","Link")</f>
        <v>Link</v>
      </c>
      <c r="B60" s="2" t="s">
        <v>222</v>
      </c>
      <c r="C60" s="2" t="s">
        <v>223</v>
      </c>
      <c r="D60" s="2" t="s">
        <v>8</v>
      </c>
      <c r="E60" s="2" t="s">
        <v>224</v>
      </c>
      <c r="F60" s="2" t="s">
        <v>7603</v>
      </c>
      <c r="G60" s="2" t="s">
        <v>225</v>
      </c>
      <c r="H60" s="7"/>
      <c r="I60" s="2" t="s">
        <v>9</v>
      </c>
      <c r="J60" t="s">
        <v>1463</v>
      </c>
      <c r="K60" t="s">
        <v>7683</v>
      </c>
      <c r="L60" s="2" t="s">
        <v>8448</v>
      </c>
      <c r="M60" t="s">
        <v>7986</v>
      </c>
      <c r="N60" s="4"/>
    </row>
    <row r="61" spans="1:14" ht="39" x14ac:dyDescent="0.3">
      <c r="A61" s="1" t="str">
        <f>HYPERLINK("https://ipmanager.doe.gov/IPManager//ExternalLink.aspx?6ibkph2k9yi6F%2B0Vz7YoTipZ798QK%2BbPymYruTemny4%3D","Link")</f>
        <v>Link</v>
      </c>
      <c r="B61" s="2" t="s">
        <v>226</v>
      </c>
      <c r="C61" s="2" t="s">
        <v>223</v>
      </c>
      <c r="D61" s="2" t="s">
        <v>8</v>
      </c>
      <c r="E61" s="2" t="s">
        <v>227</v>
      </c>
      <c r="F61" s="2" t="s">
        <v>228</v>
      </c>
      <c r="G61" s="2" t="s">
        <v>229</v>
      </c>
      <c r="H61" s="7"/>
      <c r="I61" s="2" t="s">
        <v>9</v>
      </c>
      <c r="J61" t="s">
        <v>5563</v>
      </c>
      <c r="K61" t="s">
        <v>7684</v>
      </c>
      <c r="L61" s="2" t="s">
        <v>8448</v>
      </c>
      <c r="M61" t="s">
        <v>7986</v>
      </c>
      <c r="N61" s="4"/>
    </row>
    <row r="62" spans="1:14" ht="26" x14ac:dyDescent="0.3">
      <c r="A62" s="1" t="str">
        <f>HYPERLINK("https://ipmanager.doe.gov/IPManager//ExternalLink.aspx?6ibkph2k9yi6F%2B0Vz7YoTr7J5I%2BY4foYnAJ3dDzfZYE%3D","Link")</f>
        <v>Link</v>
      </c>
      <c r="B62" s="2" t="s">
        <v>231</v>
      </c>
      <c r="C62" s="2" t="s">
        <v>232</v>
      </c>
      <c r="D62" s="2" t="s">
        <v>233</v>
      </c>
      <c r="E62" s="2" t="s">
        <v>234</v>
      </c>
      <c r="F62" s="2"/>
      <c r="G62" s="2" t="s">
        <v>9</v>
      </c>
      <c r="H62" s="2"/>
      <c r="I62" s="2" t="s">
        <v>9</v>
      </c>
      <c r="K62" t="e">
        <v>#N/A</v>
      </c>
      <c r="L62" s="2" t="s">
        <v>8449</v>
      </c>
      <c r="M62" t="s">
        <v>7987</v>
      </c>
      <c r="N62" s="4"/>
    </row>
    <row r="63" spans="1:14" ht="26" x14ac:dyDescent="0.3">
      <c r="A63" s="1" t="str">
        <f>HYPERLINK("https://ipmanager.doe.gov/IPManager//ExternalLink.aspx?6ibkph2k9yi6F%2B0Vz7YoTipZ798QK%2BbP%2FwU%2BEXEJ09g%3D","Link")</f>
        <v>Link</v>
      </c>
      <c r="B63" s="2" t="s">
        <v>240</v>
      </c>
      <c r="C63" s="2" t="s">
        <v>232</v>
      </c>
      <c r="D63" s="2" t="s">
        <v>233</v>
      </c>
      <c r="E63" s="2" t="s">
        <v>241</v>
      </c>
      <c r="F63" s="2"/>
      <c r="G63" s="2" t="s">
        <v>9</v>
      </c>
      <c r="H63" s="2"/>
      <c r="I63" s="2" t="s">
        <v>9</v>
      </c>
      <c r="J63" t="e">
        <v>#N/A</v>
      </c>
      <c r="K63" t="e">
        <v>#N/A</v>
      </c>
      <c r="L63" s="2" t="s">
        <v>8449</v>
      </c>
      <c r="M63" t="s">
        <v>7987</v>
      </c>
      <c r="N63" s="4"/>
    </row>
    <row r="64" spans="1:14" ht="26" x14ac:dyDescent="0.3">
      <c r="A64" s="1" t="str">
        <f>HYPERLINK("https://ipmanager.doe.gov/IPManager//ExternalLink.aspx?6ibkph2k9yi6F%2B0Vz7YoTipZ798QK%2BbP8yleM5J%2FIqU%3D","Link")</f>
        <v>Link</v>
      </c>
      <c r="B64" s="2" t="s">
        <v>235</v>
      </c>
      <c r="C64" s="2" t="s">
        <v>232</v>
      </c>
      <c r="D64" s="2" t="s">
        <v>233</v>
      </c>
      <c r="E64" s="2" t="s">
        <v>236</v>
      </c>
      <c r="F64" s="2" t="s">
        <v>237</v>
      </c>
      <c r="G64" s="2" t="s">
        <v>238</v>
      </c>
      <c r="H64" s="2"/>
      <c r="I64" s="2" t="s">
        <v>9</v>
      </c>
      <c r="J64" t="s">
        <v>7379</v>
      </c>
      <c r="K64" t="s">
        <v>7389</v>
      </c>
      <c r="L64" s="2" t="s">
        <v>8449</v>
      </c>
      <c r="M64" t="s">
        <v>7987</v>
      </c>
      <c r="N64" s="4"/>
    </row>
    <row r="65" spans="1:14" ht="39" x14ac:dyDescent="0.3">
      <c r="A65" s="1" t="str">
        <f>HYPERLINK("https://ipmanager.doe.gov/IPManager//ExternalLink.aspx?6ibkph2k9yi6F%2B0Vz7YoTjnDGhmGHGI7GY2TLadENwk%3D","Link")</f>
        <v>Link</v>
      </c>
      <c r="B65" s="2" t="s">
        <v>243</v>
      </c>
      <c r="C65" s="2" t="s">
        <v>244</v>
      </c>
      <c r="D65" s="2" t="s">
        <v>245</v>
      </c>
      <c r="E65" s="2" t="s">
        <v>246</v>
      </c>
      <c r="F65" s="2" t="s">
        <v>247</v>
      </c>
      <c r="G65" s="2" t="s">
        <v>248</v>
      </c>
      <c r="H65" s="2">
        <v>9217198</v>
      </c>
      <c r="I65" s="2" t="s">
        <v>249</v>
      </c>
      <c r="J65" t="s">
        <v>247</v>
      </c>
      <c r="K65" t="s">
        <v>7382</v>
      </c>
      <c r="L65" s="2" t="s">
        <v>8450</v>
      </c>
      <c r="M65" t="s">
        <v>7988</v>
      </c>
    </row>
    <row r="66" spans="1:14" ht="39" x14ac:dyDescent="0.3">
      <c r="A66" s="1" t="str">
        <f>HYPERLINK("https://ipmanager.doe.gov/IPManager//ExternalLink.aspx?6ibkph2k9yi6F%2B0Vz7YoTlNm8snv%2FZpHX2Vj5sU5%2FPI%3D","Link")</f>
        <v>Link</v>
      </c>
      <c r="B66" s="2" t="s">
        <v>250</v>
      </c>
      <c r="C66" s="2" t="s">
        <v>244</v>
      </c>
      <c r="D66" s="2" t="s">
        <v>245</v>
      </c>
      <c r="E66" s="2" t="s">
        <v>251</v>
      </c>
      <c r="F66" s="2" t="s">
        <v>252</v>
      </c>
      <c r="G66" s="2" t="s">
        <v>253</v>
      </c>
      <c r="H66" s="8">
        <v>9013777</v>
      </c>
      <c r="I66" s="2" t="s">
        <v>254</v>
      </c>
      <c r="J66" t="s">
        <v>252</v>
      </c>
      <c r="K66" t="s">
        <v>7390</v>
      </c>
      <c r="L66" s="2" t="s">
        <v>8450</v>
      </c>
      <c r="M66" t="s">
        <v>7988</v>
      </c>
    </row>
    <row r="67" spans="1:14" ht="26" x14ac:dyDescent="0.3">
      <c r="A67" s="1" t="str">
        <f>HYPERLINK("https://ipmanager.doe.gov/IPManager//ExternalLink.aspx?6ibkph2k9yi6F%2B0Vz7YoTjnDGhmGHGI77PbHIo20J6Q%3D","Link")</f>
        <v>Link</v>
      </c>
      <c r="B67" s="2" t="s">
        <v>255</v>
      </c>
      <c r="C67" s="2" t="s">
        <v>244</v>
      </c>
      <c r="D67" s="2" t="s">
        <v>245</v>
      </c>
      <c r="E67" s="2" t="s">
        <v>256</v>
      </c>
      <c r="F67" s="2" t="s">
        <v>257</v>
      </c>
      <c r="G67" s="2" t="s">
        <v>258</v>
      </c>
      <c r="H67" s="7">
        <v>8637996</v>
      </c>
      <c r="I67" s="2" t="s">
        <v>259</v>
      </c>
      <c r="J67" t="s">
        <v>257</v>
      </c>
      <c r="K67" t="s">
        <v>7391</v>
      </c>
      <c r="L67" s="2" t="s">
        <v>8450</v>
      </c>
      <c r="M67" t="s">
        <v>7988</v>
      </c>
    </row>
    <row r="68" spans="1:14" ht="26" x14ac:dyDescent="0.3">
      <c r="A68" s="1" t="str">
        <f>HYPERLINK("https://ipmanager.doe.gov/IPManager//ExternalLink.aspx?6ibkph2k9yi6F%2B0Vz7YoTjnDGhmGHGI7WzES0YJEcsM%3D","Link")</f>
        <v>Link</v>
      </c>
      <c r="B68" s="2" t="s">
        <v>260</v>
      </c>
      <c r="C68" s="2" t="s">
        <v>244</v>
      </c>
      <c r="D68" s="2" t="s">
        <v>245</v>
      </c>
      <c r="E68" s="2" t="s">
        <v>261</v>
      </c>
      <c r="F68" s="2" t="s">
        <v>262</v>
      </c>
      <c r="G68" s="2" t="s">
        <v>253</v>
      </c>
      <c r="H68" s="7">
        <v>8976440</v>
      </c>
      <c r="I68" s="2" t="s">
        <v>263</v>
      </c>
      <c r="J68" t="s">
        <v>7383</v>
      </c>
      <c r="K68" t="s">
        <v>7392</v>
      </c>
      <c r="L68" s="2" t="s">
        <v>8450</v>
      </c>
      <c r="M68" t="s">
        <v>7988</v>
      </c>
    </row>
    <row r="69" spans="1:14" ht="52" x14ac:dyDescent="0.3">
      <c r="A69" s="1" t="str">
        <f>HYPERLINK("https://ipmanager.doe.gov/IPManager//ExternalLink.aspx?6ibkph2k9yi6F%2B0Vz7YoTgZwfmYxrNyKTO7HivF%2BY1M%3D","Link")</f>
        <v>Link</v>
      </c>
      <c r="B69" s="2" t="s">
        <v>264</v>
      </c>
      <c r="C69" s="2" t="s">
        <v>265</v>
      </c>
      <c r="D69" s="2" t="s">
        <v>266</v>
      </c>
      <c r="E69" s="2" t="s">
        <v>267</v>
      </c>
      <c r="F69" s="2" t="s">
        <v>268</v>
      </c>
      <c r="G69" s="2" t="s">
        <v>269</v>
      </c>
      <c r="H69" s="8">
        <v>9589792</v>
      </c>
      <c r="I69" s="2" t="s">
        <v>270</v>
      </c>
      <c r="J69" t="s">
        <v>7384</v>
      </c>
      <c r="K69" t="s">
        <v>7393</v>
      </c>
      <c r="L69" s="2" t="s">
        <v>8451</v>
      </c>
      <c r="M69" t="s">
        <v>7989</v>
      </c>
    </row>
    <row r="70" spans="1:14" ht="39" x14ac:dyDescent="0.3">
      <c r="A70" s="1" t="str">
        <f>HYPERLINK("https://ipmanager.doe.gov/IPManager//ExternalLink.aspx?6ibkph2k9yi6F%2B0Vz7YoTgZwfmYxrNyKZoS2JNtRBX0%3D","Link")</f>
        <v>Link</v>
      </c>
      <c r="B70" s="2" t="s">
        <v>271</v>
      </c>
      <c r="C70" s="2" t="s">
        <v>265</v>
      </c>
      <c r="D70" s="2" t="s">
        <v>266</v>
      </c>
      <c r="E70" s="2" t="s">
        <v>272</v>
      </c>
      <c r="F70" s="2" t="s">
        <v>273</v>
      </c>
      <c r="G70" s="2" t="s">
        <v>274</v>
      </c>
      <c r="H70" s="8">
        <v>9543392</v>
      </c>
      <c r="I70" s="2" t="s">
        <v>275</v>
      </c>
      <c r="J70" t="s">
        <v>7385</v>
      </c>
      <c r="K70" t="s">
        <v>7394</v>
      </c>
      <c r="L70" s="2" t="s">
        <v>8451</v>
      </c>
      <c r="M70" t="s">
        <v>7989</v>
      </c>
    </row>
    <row r="71" spans="1:14" ht="39" x14ac:dyDescent="0.3">
      <c r="A71" s="1" t="str">
        <f>HYPERLINK("https://ipmanager.doe.gov/IPManager//ExternalLink.aspx?6ibkph2k9yi6F%2B0Vz7YoTlNm8snv%2FZpH%2F4CYdlKmwIQ%3D","Link")</f>
        <v>Link</v>
      </c>
      <c r="B71" s="2" t="s">
        <v>281</v>
      </c>
      <c r="C71" s="2" t="s">
        <v>265</v>
      </c>
      <c r="D71" s="2" t="s">
        <v>266</v>
      </c>
      <c r="E71" s="2" t="s">
        <v>282</v>
      </c>
      <c r="F71" s="2" t="s">
        <v>283</v>
      </c>
      <c r="G71" s="2" t="s">
        <v>284</v>
      </c>
      <c r="H71" s="7">
        <v>10145021</v>
      </c>
      <c r="I71" s="2" t="s">
        <v>285</v>
      </c>
      <c r="J71" t="s">
        <v>7387</v>
      </c>
      <c r="K71" t="s">
        <v>7397</v>
      </c>
      <c r="L71" s="2" t="s">
        <v>8451</v>
      </c>
      <c r="M71" t="s">
        <v>7989</v>
      </c>
    </row>
    <row r="72" spans="1:14" ht="39" x14ac:dyDescent="0.3">
      <c r="A72" s="1" t="str">
        <f>HYPERLINK("https://ipmanager.doe.gov/IPManager//ExternalLink.aspx?6ibkph2k9yi6F%2B0Vz7YoTgZwfmYxrNyK5lE9Me9%2F4uI%3D","Link")</f>
        <v>Link</v>
      </c>
      <c r="B72" s="2" t="s">
        <v>277</v>
      </c>
      <c r="C72" s="2" t="s">
        <v>265</v>
      </c>
      <c r="D72" s="2" t="s">
        <v>266</v>
      </c>
      <c r="E72" s="2" t="s">
        <v>278</v>
      </c>
      <c r="F72" s="2" t="s">
        <v>279</v>
      </c>
      <c r="G72" s="2" t="s">
        <v>280</v>
      </c>
      <c r="H72" s="7"/>
      <c r="I72" s="2" t="s">
        <v>9</v>
      </c>
      <c r="J72" t="s">
        <v>7386</v>
      </c>
      <c r="K72" t="s">
        <v>7396</v>
      </c>
      <c r="L72" s="2" t="s">
        <v>8451</v>
      </c>
      <c r="M72" t="s">
        <v>7989</v>
      </c>
      <c r="N72" s="4"/>
    </row>
    <row r="73" spans="1:14" ht="39" x14ac:dyDescent="0.3">
      <c r="A73" s="1" t="str">
        <f>HYPERLINK("https://ipmanager.doe.gov/IPManager//ExternalLink.aspx?6ibkph2k9yi6F%2B0Vz7YoTu0g4zH%2BOsvydYDTwQ4ogT0%3D","Link")</f>
        <v>Link</v>
      </c>
      <c r="B73" s="2" t="s">
        <v>286</v>
      </c>
      <c r="C73" s="2" t="s">
        <v>265</v>
      </c>
      <c r="D73" s="2" t="s">
        <v>266</v>
      </c>
      <c r="E73" s="2" t="s">
        <v>278</v>
      </c>
      <c r="F73" s="2" t="s">
        <v>287</v>
      </c>
      <c r="G73" s="2" t="s">
        <v>288</v>
      </c>
      <c r="H73" s="7"/>
      <c r="I73" s="2" t="s">
        <v>9</v>
      </c>
      <c r="J73" t="s">
        <v>7388</v>
      </c>
      <c r="K73" t="e">
        <v>#N/A</v>
      </c>
      <c r="L73" s="2" t="s">
        <v>8451</v>
      </c>
      <c r="M73" t="s">
        <v>7989</v>
      </c>
      <c r="N73" s="4"/>
    </row>
    <row r="74" spans="1:14" ht="39" x14ac:dyDescent="0.3">
      <c r="A74" s="1" t="str">
        <f>HYPERLINK("https://ipmanager.doe.gov/IPManager//ExternalLink.aspx?6ibkph2k9yi6F%2B0Vz7YoTkqAgjuWMa9QSZGfbu2sRVY%3D","Link")</f>
        <v>Link</v>
      </c>
      <c r="B74" s="2" t="s">
        <v>289</v>
      </c>
      <c r="C74" s="2" t="s">
        <v>265</v>
      </c>
      <c r="D74" s="2" t="s">
        <v>266</v>
      </c>
      <c r="E74" s="2" t="s">
        <v>282</v>
      </c>
      <c r="F74" s="2" t="s">
        <v>290</v>
      </c>
      <c r="G74" s="2" t="s">
        <v>71</v>
      </c>
      <c r="H74" s="7"/>
      <c r="I74" s="2" t="s">
        <v>9</v>
      </c>
      <c r="J74" t="s">
        <v>290</v>
      </c>
      <c r="K74" t="s">
        <v>7398</v>
      </c>
      <c r="L74" s="2" t="s">
        <v>8451</v>
      </c>
      <c r="M74" t="s">
        <v>7989</v>
      </c>
      <c r="N74" s="4"/>
    </row>
    <row r="75" spans="1:14" ht="52" x14ac:dyDescent="0.3">
      <c r="A75" s="1" t="str">
        <f>HYPERLINK("https://ipmanager.doe.gov/IPManager//ExternalLink.aspx?6ibkph2k9yi6F%2B0Vz7YoTipZ798QK%2BbPEJaWmNin%2FwQ%3D","Link")</f>
        <v>Link</v>
      </c>
      <c r="B75" s="2" t="s">
        <v>291</v>
      </c>
      <c r="C75" s="2" t="s">
        <v>292</v>
      </c>
      <c r="D75" s="2" t="s">
        <v>293</v>
      </c>
      <c r="E75" s="2" t="s">
        <v>294</v>
      </c>
      <c r="F75" s="2" t="s">
        <v>295</v>
      </c>
      <c r="G75" s="2" t="s">
        <v>296</v>
      </c>
      <c r="H75" s="7"/>
      <c r="I75" s="2" t="s">
        <v>9</v>
      </c>
      <c r="J75" t="s">
        <v>7395</v>
      </c>
      <c r="K75" t="s">
        <v>7399</v>
      </c>
      <c r="L75" s="2" t="s">
        <v>8452</v>
      </c>
      <c r="M75" t="s">
        <v>7990</v>
      </c>
      <c r="N75" s="4"/>
    </row>
    <row r="76" spans="1:14" ht="78" x14ac:dyDescent="0.3">
      <c r="A76" s="1" t="str">
        <f>HYPERLINK("https://ipmanager.doe.gov/IPManager//ExternalLink.aspx?6ibkph2k9yi6F%2B0Vz7YoTipZ798QK%2BbPr69L0NO14Ow%3D","Link")</f>
        <v>Link</v>
      </c>
      <c r="B76" s="2" t="s">
        <v>297</v>
      </c>
      <c r="C76" s="2" t="s">
        <v>292</v>
      </c>
      <c r="D76" s="2" t="s">
        <v>293</v>
      </c>
      <c r="E76" s="2" t="s">
        <v>298</v>
      </c>
      <c r="F76" s="2" t="s">
        <v>7646</v>
      </c>
      <c r="G76" s="2" t="s">
        <v>299</v>
      </c>
      <c r="H76" s="7"/>
      <c r="I76" s="2" t="s">
        <v>9</v>
      </c>
      <c r="J76" t="s">
        <v>7400</v>
      </c>
      <c r="K76" t="e">
        <v>#N/A</v>
      </c>
      <c r="L76" s="2" t="s">
        <v>8452</v>
      </c>
      <c r="M76" t="s">
        <v>7990</v>
      </c>
      <c r="N76" s="4"/>
    </row>
    <row r="77" spans="1:14" ht="39" x14ac:dyDescent="0.3">
      <c r="A77" s="1" t="str">
        <f>HYPERLINK("https://ipmanager.doe.gov/IPManager//ExternalLink.aspx?6ibkph2k9yi6F%2B0Vz7YoTq6RR9BlGHHijBv4QUYPDSc%3D","Link")</f>
        <v>Link</v>
      </c>
      <c r="B77" s="2" t="s">
        <v>301</v>
      </c>
      <c r="C77" s="2" t="s">
        <v>302</v>
      </c>
      <c r="D77" s="2" t="s">
        <v>303</v>
      </c>
      <c r="E77" s="2" t="s">
        <v>304</v>
      </c>
      <c r="F77" s="2" t="s">
        <v>305</v>
      </c>
      <c r="G77" s="2" t="s">
        <v>81</v>
      </c>
      <c r="H77" s="7">
        <v>9133819</v>
      </c>
      <c r="I77" s="2" t="s">
        <v>306</v>
      </c>
      <c r="J77" t="s">
        <v>7401</v>
      </c>
      <c r="K77" t="s">
        <v>7407</v>
      </c>
      <c r="L77" s="2" t="s">
        <v>8453</v>
      </c>
      <c r="M77" t="s">
        <v>7991</v>
      </c>
    </row>
    <row r="78" spans="1:14" ht="26" x14ac:dyDescent="0.3">
      <c r="A78" s="1" t="str">
        <f>HYPERLINK("https://ipmanager.doe.gov/IPManager//ExternalLink.aspx?6ibkph2k9yi6F%2B0Vz7YoTipZ798QK%2BbPy8Jb4ZuTmQ8%3D","Link")</f>
        <v>Link</v>
      </c>
      <c r="B78" s="2" t="s">
        <v>307</v>
      </c>
      <c r="C78" s="2" t="s">
        <v>302</v>
      </c>
      <c r="D78" s="2" t="s">
        <v>308</v>
      </c>
      <c r="E78" s="2" t="s">
        <v>309</v>
      </c>
      <c r="F78" s="2" t="s">
        <v>7630</v>
      </c>
      <c r="G78" s="2" t="s">
        <v>310</v>
      </c>
      <c r="H78" s="7"/>
      <c r="I78" s="2" t="s">
        <v>9</v>
      </c>
      <c r="J78" t="s">
        <v>7408</v>
      </c>
      <c r="K78" t="e">
        <v>#N/A</v>
      </c>
      <c r="L78" s="2" t="s">
        <v>8453</v>
      </c>
      <c r="M78" t="s">
        <v>7991</v>
      </c>
      <c r="N78" s="4"/>
    </row>
    <row r="79" spans="1:14" ht="39" x14ac:dyDescent="0.3">
      <c r="A79" s="1" t="str">
        <f>HYPERLINK("https://ipmanager.doe.gov/IPManager//ExternalLink.aspx?6ibkph2k9yi6F%2B0Vz7YoTlNm8snv%2FZpH2wkhIcAYiEQ%3D","Link")</f>
        <v>Link</v>
      </c>
      <c r="B79" s="2" t="s">
        <v>312</v>
      </c>
      <c r="C79" s="2" t="s">
        <v>313</v>
      </c>
      <c r="D79" s="2" t="s">
        <v>314</v>
      </c>
      <c r="E79" s="2" t="s">
        <v>315</v>
      </c>
      <c r="F79" s="2"/>
      <c r="G79" s="2" t="s">
        <v>9</v>
      </c>
      <c r="H79" s="7"/>
      <c r="I79" s="2" t="s">
        <v>9</v>
      </c>
      <c r="K79" t="e">
        <v>#N/A</v>
      </c>
      <c r="L79" s="2" t="s">
        <v>8454</v>
      </c>
      <c r="M79" t="s">
        <v>7992</v>
      </c>
      <c r="N79" s="4"/>
    </row>
    <row r="80" spans="1:14" ht="39" x14ac:dyDescent="0.3">
      <c r="A80" s="1" t="str">
        <f>HYPERLINK("https://ipmanager.doe.gov/IPManager//ExternalLink.aspx?6ibkph2k9yi6F%2B0Vz7YoTjN2oADz%2F5MxAgzkzot%2Fs0o%3D","Link")</f>
        <v>Link</v>
      </c>
      <c r="B80" s="2" t="s">
        <v>316</v>
      </c>
      <c r="C80" s="2" t="s">
        <v>313</v>
      </c>
      <c r="D80" s="2" t="s">
        <v>314</v>
      </c>
      <c r="E80" s="2" t="s">
        <v>315</v>
      </c>
      <c r="F80" s="2"/>
      <c r="G80" s="2" t="s">
        <v>9</v>
      </c>
      <c r="H80" s="7"/>
      <c r="I80" s="2" t="s">
        <v>9</v>
      </c>
      <c r="K80" t="e">
        <v>#N/A</v>
      </c>
      <c r="L80" s="2" t="s">
        <v>8454</v>
      </c>
      <c r="M80" t="s">
        <v>7992</v>
      </c>
      <c r="N80" s="4"/>
    </row>
    <row r="81" spans="1:14" ht="39" x14ac:dyDescent="0.3">
      <c r="A81" s="1" t="str">
        <f>HYPERLINK("https://ipmanager.doe.gov/IPManager//ExternalLink.aspx?6ibkph2k9yi6F%2B0Vz7YoTlNm8snv%2FZpHEosA5QWX304%3D","Link")</f>
        <v>Link</v>
      </c>
      <c r="B81" s="2" t="s">
        <v>318</v>
      </c>
      <c r="C81" s="2" t="s">
        <v>313</v>
      </c>
      <c r="D81" s="2" t="s">
        <v>314</v>
      </c>
      <c r="E81" s="2" t="s">
        <v>319</v>
      </c>
      <c r="F81" s="2"/>
      <c r="G81" s="2" t="s">
        <v>9</v>
      </c>
      <c r="H81" s="7"/>
      <c r="I81" s="2" t="s">
        <v>9</v>
      </c>
      <c r="K81" t="e">
        <v>#N/A</v>
      </c>
      <c r="L81" s="2" t="s">
        <v>8454</v>
      </c>
      <c r="M81" t="s">
        <v>7992</v>
      </c>
      <c r="N81" s="4"/>
    </row>
    <row r="82" spans="1:14" ht="26" x14ac:dyDescent="0.3">
      <c r="A82" s="1" t="str">
        <f>HYPERLINK("https://ipmanager.doe.gov/IPManager//ExternalLink.aspx?6ibkph2k9yi6F%2B0Vz7YoTlNm8snv%2FZpHBRJ%2BDt9Ooz4%3D","Link")</f>
        <v>Link</v>
      </c>
      <c r="B82" s="2" t="s">
        <v>320</v>
      </c>
      <c r="C82" s="2" t="s">
        <v>313</v>
      </c>
      <c r="D82" s="2" t="s">
        <v>314</v>
      </c>
      <c r="E82" s="2" t="s">
        <v>321</v>
      </c>
      <c r="F82" s="2"/>
      <c r="G82" s="2" t="s">
        <v>9</v>
      </c>
      <c r="H82" s="7"/>
      <c r="I82" s="2" t="s">
        <v>9</v>
      </c>
      <c r="K82" t="e">
        <v>#N/A</v>
      </c>
      <c r="L82" s="2" t="s">
        <v>8454</v>
      </c>
      <c r="M82" t="s">
        <v>7992</v>
      </c>
      <c r="N82" s="4"/>
    </row>
    <row r="83" spans="1:14" ht="26" x14ac:dyDescent="0.3">
      <c r="A83" s="1" t="str">
        <f>HYPERLINK("https://ipmanager.doe.gov/IPManager//ExternalLink.aspx?6ibkph2k9yi6F%2B0Vz7YoTlNm8snv%2FZpHKcHCDsIOMmw%3D","Link")</f>
        <v>Link</v>
      </c>
      <c r="B83" s="2" t="s">
        <v>322</v>
      </c>
      <c r="C83" s="2" t="s">
        <v>313</v>
      </c>
      <c r="D83" s="2" t="s">
        <v>314</v>
      </c>
      <c r="E83" s="2" t="s">
        <v>321</v>
      </c>
      <c r="F83" s="2"/>
      <c r="G83" s="2" t="s">
        <v>9</v>
      </c>
      <c r="H83" s="7"/>
      <c r="I83" s="2" t="s">
        <v>9</v>
      </c>
      <c r="K83" t="e">
        <v>#N/A</v>
      </c>
      <c r="L83" s="2" t="s">
        <v>8454</v>
      </c>
      <c r="M83" t="s">
        <v>7992</v>
      </c>
      <c r="N83" s="4"/>
    </row>
    <row r="84" spans="1:14" ht="26" x14ac:dyDescent="0.3">
      <c r="A84" s="1" t="str">
        <f>HYPERLINK("https://ipmanager.doe.gov/IPManager//ExternalLink.aspx?6ibkph2k9yi6F%2B0Vz7YoTlNm8snv%2FZpHWaWoEMTRNCU%3D","Link")</f>
        <v>Link</v>
      </c>
      <c r="B84" s="2" t="s">
        <v>323</v>
      </c>
      <c r="C84" s="2" t="s">
        <v>313</v>
      </c>
      <c r="D84" s="2" t="s">
        <v>314</v>
      </c>
      <c r="E84" s="2" t="s">
        <v>324</v>
      </c>
      <c r="F84" s="2"/>
      <c r="G84" s="2" t="s">
        <v>9</v>
      </c>
      <c r="H84" s="7"/>
      <c r="I84" s="2" t="s">
        <v>9</v>
      </c>
      <c r="K84" t="e">
        <v>#N/A</v>
      </c>
      <c r="L84" s="2" t="s">
        <v>8454</v>
      </c>
      <c r="M84" t="s">
        <v>7992</v>
      </c>
      <c r="N84" s="4"/>
    </row>
    <row r="85" spans="1:14" ht="39" x14ac:dyDescent="0.3">
      <c r="A85" s="1" t="str">
        <f>HYPERLINK("https://ipmanager.doe.gov/IPManager//ExternalLink.aspx?6ibkph2k9yi6F%2B0Vz7YoTlNm8snv%2FZpHC2wgjno5kPw%3D","Link")</f>
        <v>Link</v>
      </c>
      <c r="B85" s="2" t="s">
        <v>325</v>
      </c>
      <c r="C85" s="2" t="s">
        <v>313</v>
      </c>
      <c r="D85" s="2" t="s">
        <v>314</v>
      </c>
      <c r="E85" s="2" t="s">
        <v>319</v>
      </c>
      <c r="F85" s="2"/>
      <c r="G85" s="2" t="s">
        <v>9</v>
      </c>
      <c r="H85" s="7"/>
      <c r="I85" s="2" t="s">
        <v>9</v>
      </c>
      <c r="K85" t="e">
        <v>#N/A</v>
      </c>
      <c r="L85" s="2" t="s">
        <v>8454</v>
      </c>
      <c r="M85" t="s">
        <v>7992</v>
      </c>
      <c r="N85" s="4"/>
    </row>
    <row r="86" spans="1:14" ht="39" x14ac:dyDescent="0.3">
      <c r="A86" s="1" t="str">
        <f>HYPERLINK("https://ipmanager.doe.gov/IPManager//ExternalLink.aspx?6ibkph2k9yi6F%2B0Vz7YoTlNm8snv%2FZpH2XXzNEIlHlo%3D","Link")</f>
        <v>Link</v>
      </c>
      <c r="B86" s="2" t="s">
        <v>326</v>
      </c>
      <c r="C86" s="2" t="s">
        <v>313</v>
      </c>
      <c r="D86" s="2" t="s">
        <v>314</v>
      </c>
      <c r="E86" s="2" t="s">
        <v>319</v>
      </c>
      <c r="F86" s="2"/>
      <c r="G86" s="2" t="s">
        <v>9</v>
      </c>
      <c r="H86" s="7"/>
      <c r="I86" s="2" t="s">
        <v>9</v>
      </c>
      <c r="K86" t="e">
        <v>#N/A</v>
      </c>
      <c r="L86" s="2" t="s">
        <v>8454</v>
      </c>
      <c r="M86" t="s">
        <v>7992</v>
      </c>
      <c r="N86" s="4"/>
    </row>
    <row r="87" spans="1:14" ht="26" x14ac:dyDescent="0.3">
      <c r="A87" s="1" t="str">
        <f>HYPERLINK("https://ipmanager.doe.gov/IPManager//ExternalLink.aspx?6ibkph2k9yi6F%2B0Vz7YoTlNm8snv%2FZpHA5HE14N9LZM%3D","Link")</f>
        <v>Link</v>
      </c>
      <c r="B87" s="2" t="s">
        <v>328</v>
      </c>
      <c r="C87" s="2" t="s">
        <v>313</v>
      </c>
      <c r="D87" s="2" t="s">
        <v>314</v>
      </c>
      <c r="E87" s="2" t="s">
        <v>329</v>
      </c>
      <c r="F87" s="2"/>
      <c r="G87" s="2" t="s">
        <v>9</v>
      </c>
      <c r="H87" s="7"/>
      <c r="I87" s="2" t="s">
        <v>9</v>
      </c>
      <c r="K87" t="e">
        <v>#N/A</v>
      </c>
      <c r="L87" s="2" t="s">
        <v>8454</v>
      </c>
      <c r="M87" t="s">
        <v>7992</v>
      </c>
      <c r="N87" s="4"/>
    </row>
    <row r="88" spans="1:14" ht="52" x14ac:dyDescent="0.3">
      <c r="A88" s="1" t="str">
        <f>HYPERLINK("https://ipmanager.doe.gov/IPManager//ExternalLink.aspx?6ibkph2k9yi6F%2B0Vz7YoTipZ798QK%2BbPubolIgZWeyY%3D","Link")</f>
        <v>Link</v>
      </c>
      <c r="B88" s="2" t="s">
        <v>330</v>
      </c>
      <c r="C88" s="2" t="s">
        <v>331</v>
      </c>
      <c r="D88" s="2" t="s">
        <v>332</v>
      </c>
      <c r="E88" s="2" t="s">
        <v>333</v>
      </c>
      <c r="F88" s="2" t="s">
        <v>334</v>
      </c>
      <c r="G88" s="2" t="s">
        <v>335</v>
      </c>
      <c r="H88" s="7">
        <v>9227360</v>
      </c>
      <c r="I88" s="2" t="s">
        <v>336</v>
      </c>
      <c r="J88" t="s">
        <v>7409</v>
      </c>
      <c r="K88" t="s">
        <v>7409</v>
      </c>
      <c r="L88" s="2" t="s">
        <v>8399</v>
      </c>
      <c r="M88" t="s">
        <v>8403</v>
      </c>
    </row>
    <row r="89" spans="1:14" ht="52" x14ac:dyDescent="0.3">
      <c r="A89" s="1" t="str">
        <f>HYPERLINK("https://ipmanager.doe.gov/IPManager//ExternalLink.aspx?6ibkph2k9yi6F%2B0Vz7YoTgZwfmYxrNyKcVkqwCkq3QY%3D","Link")</f>
        <v>Link</v>
      </c>
      <c r="B89" s="2" t="s">
        <v>337</v>
      </c>
      <c r="C89" s="2" t="s">
        <v>331</v>
      </c>
      <c r="D89" s="2" t="s">
        <v>332</v>
      </c>
      <c r="E89" s="2" t="s">
        <v>338</v>
      </c>
      <c r="F89" s="2" t="s">
        <v>339</v>
      </c>
      <c r="G89" s="2" t="s">
        <v>41</v>
      </c>
      <c r="H89" s="7">
        <v>9216391</v>
      </c>
      <c r="I89" s="2" t="s">
        <v>249</v>
      </c>
      <c r="J89" t="s">
        <v>7402</v>
      </c>
      <c r="K89" t="s">
        <v>7410</v>
      </c>
      <c r="L89" s="2" t="s">
        <v>8399</v>
      </c>
      <c r="M89" t="s">
        <v>8403</v>
      </c>
    </row>
    <row r="90" spans="1:14" ht="26" x14ac:dyDescent="0.3">
      <c r="A90" s="1" t="str">
        <f>HYPERLINK("https://ipmanager.doe.gov/IPManager//ExternalLink.aspx?6ibkph2k9yi6F%2B0Vz7YoTipZ798QK%2BbPU%2BHr31tPnwg%3D","Link")</f>
        <v>Link</v>
      </c>
      <c r="B90" s="2" t="s">
        <v>340</v>
      </c>
      <c r="C90" s="2" t="s">
        <v>341</v>
      </c>
      <c r="D90" s="2" t="s">
        <v>342</v>
      </c>
      <c r="E90" s="2" t="s">
        <v>343</v>
      </c>
      <c r="F90" s="2" t="s">
        <v>344</v>
      </c>
      <c r="G90" s="2" t="s">
        <v>345</v>
      </c>
      <c r="H90" s="7"/>
      <c r="I90" s="2" t="s">
        <v>9</v>
      </c>
      <c r="J90" t="s">
        <v>7403</v>
      </c>
      <c r="K90" t="e">
        <v>#N/A</v>
      </c>
      <c r="L90" s="2" t="s">
        <v>8455</v>
      </c>
      <c r="M90" t="s">
        <v>7993</v>
      </c>
      <c r="N90" s="4"/>
    </row>
    <row r="91" spans="1:14" ht="52" x14ac:dyDescent="0.3">
      <c r="A91" s="1" t="str">
        <f>HYPERLINK("https://ipmanager.doe.gov/IPManager//ExternalLink.aspx?6ibkph2k9yi6F%2B0Vz7YoTipZ798QK%2BbPQ93oywlQMEc%3D","Link")</f>
        <v>Link</v>
      </c>
      <c r="B91" s="2" t="s">
        <v>346</v>
      </c>
      <c r="C91" s="2" t="s">
        <v>347</v>
      </c>
      <c r="D91" s="2" t="s">
        <v>348</v>
      </c>
      <c r="E91" s="2" t="s">
        <v>349</v>
      </c>
      <c r="F91" s="2" t="s">
        <v>350</v>
      </c>
      <c r="G91" s="2" t="s">
        <v>351</v>
      </c>
      <c r="H91" s="7">
        <v>9316545</v>
      </c>
      <c r="I91" s="2" t="s">
        <v>352</v>
      </c>
      <c r="J91" t="s">
        <v>7404</v>
      </c>
      <c r="K91" t="s">
        <v>7411</v>
      </c>
      <c r="L91" s="2" t="s">
        <v>8456</v>
      </c>
      <c r="M91" t="s">
        <v>7994</v>
      </c>
    </row>
    <row r="92" spans="1:14" ht="52" x14ac:dyDescent="0.3">
      <c r="A92" s="1" t="str">
        <f>HYPERLINK("https://ipmanager.doe.gov/IPManager//ExternalLink.aspx?6ibkph2k9yi6F%2B0Vz7YoTjnDGhmGHGI7RjmPA0uinrE%3D","Link")</f>
        <v>Link</v>
      </c>
      <c r="B92" s="2" t="s">
        <v>353</v>
      </c>
      <c r="C92" s="2" t="s">
        <v>347</v>
      </c>
      <c r="D92" s="2" t="s">
        <v>354</v>
      </c>
      <c r="E92" s="2" t="s">
        <v>355</v>
      </c>
      <c r="F92" s="2" t="s">
        <v>356</v>
      </c>
      <c r="G92" s="2" t="s">
        <v>205</v>
      </c>
      <c r="H92" s="7">
        <v>8901612</v>
      </c>
      <c r="I92" s="2" t="s">
        <v>357</v>
      </c>
      <c r="J92" t="s">
        <v>7405</v>
      </c>
      <c r="K92" t="s">
        <v>7412</v>
      </c>
      <c r="L92" s="2" t="s">
        <v>8456</v>
      </c>
      <c r="M92" t="s">
        <v>7994</v>
      </c>
    </row>
    <row r="93" spans="1:14" ht="52" x14ac:dyDescent="0.3">
      <c r="A93" s="1" t="str">
        <f>HYPERLINK("https://ipmanager.doe.gov/IPManager//ExternalLink.aspx?6ibkph2k9yi6F%2B0Vz7YoTjnDGhmGHGI7tcalp42BrAI%3D","Link")</f>
        <v>Link</v>
      </c>
      <c r="B93" s="2" t="s">
        <v>358</v>
      </c>
      <c r="C93" s="2" t="s">
        <v>347</v>
      </c>
      <c r="D93" s="2" t="s">
        <v>354</v>
      </c>
      <c r="E93" s="2" t="s">
        <v>355</v>
      </c>
      <c r="F93" s="2" t="s">
        <v>359</v>
      </c>
      <c r="G93" s="2" t="s">
        <v>360</v>
      </c>
      <c r="H93" s="7">
        <v>8563844</v>
      </c>
      <c r="I93" s="2" t="s">
        <v>357</v>
      </c>
      <c r="J93" t="s">
        <v>7406</v>
      </c>
      <c r="K93" t="e">
        <v>#N/A</v>
      </c>
      <c r="L93" s="2" t="s">
        <v>8456</v>
      </c>
      <c r="M93" t="s">
        <v>7994</v>
      </c>
    </row>
    <row r="94" spans="1:14" ht="39" x14ac:dyDescent="0.3">
      <c r="A94" s="1" t="str">
        <f>HYPERLINK("https://ipmanager.doe.gov/IPManager//ExternalLink.aspx?6ibkph2k9yi6F%2B0Vz7YoTo7DPLa3%2F%2FGg9NzrtMvht%2F0%3D","Link")</f>
        <v>Link</v>
      </c>
      <c r="B94" s="2" t="s">
        <v>361</v>
      </c>
      <c r="C94" s="2" t="s">
        <v>362</v>
      </c>
      <c r="D94" s="2" t="s">
        <v>363</v>
      </c>
      <c r="E94" s="2" t="s">
        <v>364</v>
      </c>
      <c r="F94" s="2" t="s">
        <v>365</v>
      </c>
      <c r="G94" s="2" t="s">
        <v>366</v>
      </c>
      <c r="H94" s="7">
        <v>9190694</v>
      </c>
      <c r="I94" s="2" t="s">
        <v>367</v>
      </c>
      <c r="J94" t="s">
        <v>7413</v>
      </c>
      <c r="K94" t="s">
        <v>7417</v>
      </c>
      <c r="L94" s="2" t="s">
        <v>8457</v>
      </c>
      <c r="M94" t="s">
        <v>7995</v>
      </c>
    </row>
    <row r="95" spans="1:14" ht="39" x14ac:dyDescent="0.3">
      <c r="A95" s="1" t="str">
        <f>HYPERLINK("https://ipmanager.doe.gov/IPManager//ExternalLink.aspx?6ibkph2k9yi6F%2B0Vz7YoTo7DPLa3%2F%2FGg84MI5RMdtME%3D","Link")</f>
        <v>Link</v>
      </c>
      <c r="B95" s="2" t="s">
        <v>368</v>
      </c>
      <c r="C95" s="2" t="s">
        <v>362</v>
      </c>
      <c r="D95" s="2" t="s">
        <v>363</v>
      </c>
      <c r="E95" s="2" t="s">
        <v>369</v>
      </c>
      <c r="F95" s="2" t="s">
        <v>370</v>
      </c>
      <c r="G95" s="2" t="s">
        <v>371</v>
      </c>
      <c r="H95" s="7">
        <v>9139441</v>
      </c>
      <c r="I95" s="2" t="s">
        <v>372</v>
      </c>
      <c r="J95" t="s">
        <v>7414</v>
      </c>
      <c r="K95" t="s">
        <v>7418</v>
      </c>
      <c r="L95" s="2" t="s">
        <v>8457</v>
      </c>
      <c r="M95" t="s">
        <v>7995</v>
      </c>
    </row>
    <row r="96" spans="1:14" ht="39" x14ac:dyDescent="0.3">
      <c r="A96" s="1" t="str">
        <f>HYPERLINK("https://ipmanager.doe.gov/IPManager//ExternalLink.aspx?6ibkph2k9yi6F%2B0Vz7YoTvPUg%2FVZPl3i3oP3TE9ti2w%3D","Link")</f>
        <v>Link</v>
      </c>
      <c r="B96" s="2" t="s">
        <v>373</v>
      </c>
      <c r="C96" s="2" t="s">
        <v>362</v>
      </c>
      <c r="D96" s="2" t="s">
        <v>363</v>
      </c>
      <c r="E96" s="2" t="s">
        <v>374</v>
      </c>
      <c r="F96" s="2" t="s">
        <v>375</v>
      </c>
      <c r="G96" s="2" t="s">
        <v>376</v>
      </c>
      <c r="H96" s="7">
        <v>9601228</v>
      </c>
      <c r="I96" s="2" t="s">
        <v>377</v>
      </c>
      <c r="J96" t="s">
        <v>7415</v>
      </c>
      <c r="K96" t="s">
        <v>7419</v>
      </c>
      <c r="L96" s="2" t="s">
        <v>8457</v>
      </c>
      <c r="M96" t="s">
        <v>7995</v>
      </c>
    </row>
    <row r="97" spans="1:14" ht="26" x14ac:dyDescent="0.3">
      <c r="A97" s="1" t="str">
        <f>HYPERLINK("https://ipmanager.doe.gov/IPManager//ExternalLink.aspx?6ibkph2k9yi6F%2B0Vz7YoTlNm8snv%2FZpHj1k6RoQFeO4%3D","Link")</f>
        <v>Link</v>
      </c>
      <c r="B97" s="2" t="s">
        <v>398</v>
      </c>
      <c r="C97" s="2" t="s">
        <v>378</v>
      </c>
      <c r="D97" s="2" t="s">
        <v>379</v>
      </c>
      <c r="E97" s="2" t="s">
        <v>399</v>
      </c>
      <c r="F97" s="2" t="s">
        <v>400</v>
      </c>
      <c r="G97" s="2" t="s">
        <v>401</v>
      </c>
      <c r="H97" s="7">
        <v>9218917</v>
      </c>
      <c r="I97" s="2" t="s">
        <v>249</v>
      </c>
      <c r="J97" t="s">
        <v>7424</v>
      </c>
      <c r="K97" t="s">
        <v>7426</v>
      </c>
      <c r="L97" s="2" t="s">
        <v>8458</v>
      </c>
      <c r="M97" t="s">
        <v>7996</v>
      </c>
    </row>
    <row r="98" spans="1:14" ht="39" x14ac:dyDescent="0.3">
      <c r="A98" s="1" t="str">
        <f>HYPERLINK("https://ipmanager.doe.gov/IPManager//ExternalLink.aspx?6ibkph2k9yi6F%2B0Vz7YoTlNm8snv%2FZpHh%2B6VJ4rZCKA%3D","Link")</f>
        <v>Link</v>
      </c>
      <c r="B98" s="2" t="s">
        <v>402</v>
      </c>
      <c r="C98" s="2" t="s">
        <v>378</v>
      </c>
      <c r="D98" s="2" t="s">
        <v>379</v>
      </c>
      <c r="E98" s="2" t="s">
        <v>403</v>
      </c>
      <c r="F98" s="2"/>
      <c r="G98" s="2" t="s">
        <v>9</v>
      </c>
      <c r="H98" s="7"/>
      <c r="I98" s="2" t="s">
        <v>9</v>
      </c>
      <c r="K98" t="e">
        <v>#N/A</v>
      </c>
      <c r="L98" s="2" t="s">
        <v>8458</v>
      </c>
      <c r="M98" t="s">
        <v>7996</v>
      </c>
      <c r="N98" s="4"/>
    </row>
    <row r="99" spans="1:14" ht="26" x14ac:dyDescent="0.3">
      <c r="A99" s="1" t="str">
        <f>HYPERLINK("https://ipmanager.doe.gov/IPManager//ExternalLink.aspx?6ibkph2k9yi6F%2B0Vz7YoTgZwfmYxrNyKsxlCocIKmDw%3D","Link")</f>
        <v>Link</v>
      </c>
      <c r="B99" s="2" t="s">
        <v>415</v>
      </c>
      <c r="C99" s="2" t="s">
        <v>378</v>
      </c>
      <c r="D99" s="2" t="s">
        <v>379</v>
      </c>
      <c r="E99" s="2" t="s">
        <v>416</v>
      </c>
      <c r="F99" s="2" t="s">
        <v>417</v>
      </c>
      <c r="G99" s="2" t="s">
        <v>418</v>
      </c>
      <c r="H99" s="7">
        <v>9017634</v>
      </c>
      <c r="I99" s="2" t="s">
        <v>419</v>
      </c>
      <c r="J99" t="s">
        <v>4882</v>
      </c>
      <c r="K99" t="s">
        <v>7685</v>
      </c>
      <c r="L99" s="2" t="s">
        <v>8458</v>
      </c>
      <c r="M99" t="s">
        <v>7996</v>
      </c>
    </row>
    <row r="100" spans="1:14" ht="65" x14ac:dyDescent="0.3">
      <c r="A100" s="1" t="str">
        <f>HYPERLINK("https://ipmanager.doe.gov/IPManager//ExternalLink.aspx?6ibkph2k9yi6F%2B0Vz7YoTgZwfmYxrNyKuUKgmIe3F68%3D","Link")</f>
        <v>Link</v>
      </c>
      <c r="B100" s="2" t="s">
        <v>423</v>
      </c>
      <c r="C100" s="2" t="s">
        <v>378</v>
      </c>
      <c r="D100" s="2" t="s">
        <v>379</v>
      </c>
      <c r="E100" s="2" t="s">
        <v>424</v>
      </c>
      <c r="F100" s="2"/>
      <c r="G100" s="2" t="s">
        <v>9</v>
      </c>
      <c r="H100" s="7"/>
      <c r="I100" s="2" t="s">
        <v>9</v>
      </c>
      <c r="J100" t="s">
        <v>4887</v>
      </c>
      <c r="K100" t="s">
        <v>7686</v>
      </c>
      <c r="L100" s="2" t="s">
        <v>8458</v>
      </c>
      <c r="M100" t="s">
        <v>7996</v>
      </c>
      <c r="N100" s="4"/>
    </row>
    <row r="101" spans="1:14" ht="39" x14ac:dyDescent="0.3">
      <c r="A101" s="1" t="str">
        <f>HYPERLINK("https://ipmanager.doe.gov/IPManager//ExternalLink.aspx?6ibkph2k9yi6F%2B0Vz7YoTgZwfmYxrNyKwMzN0%2Bywo%2Bk%3D","Link")</f>
        <v>Link</v>
      </c>
      <c r="B101" s="2" t="s">
        <v>425</v>
      </c>
      <c r="C101" s="2" t="s">
        <v>378</v>
      </c>
      <c r="D101" s="2" t="s">
        <v>379</v>
      </c>
      <c r="E101" s="2" t="s">
        <v>426</v>
      </c>
      <c r="F101" s="2"/>
      <c r="G101" s="2" t="s">
        <v>9</v>
      </c>
      <c r="H101" s="7"/>
      <c r="I101" s="2" t="s">
        <v>9</v>
      </c>
      <c r="J101" t="s">
        <v>517</v>
      </c>
      <c r="K101" t="s">
        <v>7687</v>
      </c>
      <c r="L101" s="2" t="s">
        <v>8458</v>
      </c>
      <c r="M101" t="s">
        <v>7996</v>
      </c>
      <c r="N101" s="4"/>
    </row>
    <row r="102" spans="1:14" ht="39" x14ac:dyDescent="0.3">
      <c r="A102" s="1" t="str">
        <f>HYPERLINK("https://ipmanager.doe.gov/IPManager//ExternalLink.aspx?6ibkph2k9yi6F%2B0Vz7YoTgZwfmYxrNyK%2B4jiFvsj1yA%3D","Link")</f>
        <v>Link</v>
      </c>
      <c r="B102" s="2" t="s">
        <v>430</v>
      </c>
      <c r="C102" s="2" t="s">
        <v>378</v>
      </c>
      <c r="D102" s="2" t="s">
        <v>379</v>
      </c>
      <c r="E102" s="2" t="s">
        <v>431</v>
      </c>
      <c r="F102" s="2" t="s">
        <v>432</v>
      </c>
      <c r="G102" s="2" t="s">
        <v>405</v>
      </c>
      <c r="H102" s="8">
        <v>9558894</v>
      </c>
      <c r="I102" s="2" t="s">
        <v>406</v>
      </c>
      <c r="J102" t="s">
        <v>2744</v>
      </c>
      <c r="K102" t="s">
        <v>7688</v>
      </c>
      <c r="L102" s="2" t="s">
        <v>8458</v>
      </c>
      <c r="M102" t="s">
        <v>7996</v>
      </c>
    </row>
    <row r="103" spans="1:14" ht="39" x14ac:dyDescent="0.3">
      <c r="A103" s="1" t="str">
        <f>HYPERLINK("https://ipmanager.doe.gov/IPManager//ExternalLink.aspx?6ibkph2k9yi6F%2B0Vz7YoTgZwfmYxrNyKVUDcSbEsccc%3D","Link")</f>
        <v>Link</v>
      </c>
      <c r="B103" s="2" t="s">
        <v>433</v>
      </c>
      <c r="C103" s="2" t="s">
        <v>378</v>
      </c>
      <c r="D103" s="2" t="s">
        <v>379</v>
      </c>
      <c r="E103" s="2" t="s">
        <v>434</v>
      </c>
      <c r="F103" s="2" t="s">
        <v>435</v>
      </c>
      <c r="G103" s="2" t="s">
        <v>436</v>
      </c>
      <c r="H103" s="7">
        <v>9001495</v>
      </c>
      <c r="I103" s="2" t="s">
        <v>437</v>
      </c>
      <c r="J103" t="s">
        <v>5679</v>
      </c>
      <c r="K103" t="s">
        <v>7689</v>
      </c>
      <c r="L103" s="2" t="s">
        <v>8458</v>
      </c>
      <c r="M103" t="s">
        <v>7996</v>
      </c>
    </row>
    <row r="104" spans="1:14" ht="26" x14ac:dyDescent="0.3">
      <c r="A104" s="1" t="str">
        <f>HYPERLINK("https://ipmanager.doe.gov/IPManager//ExternalLink.aspx?6ibkph2k9yi6F%2B0Vz7YoTgZwfmYxrNyK3f62PKGfOb8%3D","Link")</f>
        <v>Link</v>
      </c>
      <c r="B104" s="2" t="s">
        <v>382</v>
      </c>
      <c r="C104" s="2" t="s">
        <v>378</v>
      </c>
      <c r="D104" s="2" t="s">
        <v>379</v>
      </c>
      <c r="E104" s="2" t="s">
        <v>383</v>
      </c>
      <c r="F104" s="2" t="s">
        <v>384</v>
      </c>
      <c r="G104" s="2" t="s">
        <v>385</v>
      </c>
      <c r="H104" s="7"/>
      <c r="I104" s="2" t="s">
        <v>9</v>
      </c>
      <c r="J104" t="s">
        <v>7416</v>
      </c>
      <c r="K104" t="e">
        <v>#N/A</v>
      </c>
      <c r="L104" s="2" t="s">
        <v>8458</v>
      </c>
      <c r="M104" t="s">
        <v>7996</v>
      </c>
      <c r="N104" s="4"/>
    </row>
    <row r="105" spans="1:14" ht="26" x14ac:dyDescent="0.3">
      <c r="A105" s="1" t="str">
        <f>HYPERLINK("https://ipmanager.doe.gov/IPManager//ExternalLink.aspx?6ibkph2k9yi6F%2B0Vz7YoTgZwfmYxrNyKrn8ZCtM1HZQ%3D","Link")</f>
        <v>Link</v>
      </c>
      <c r="B105" s="2" t="s">
        <v>387</v>
      </c>
      <c r="C105" s="2" t="s">
        <v>378</v>
      </c>
      <c r="D105" s="2" t="s">
        <v>379</v>
      </c>
      <c r="E105" s="2" t="s">
        <v>388</v>
      </c>
      <c r="F105" s="2" t="s">
        <v>389</v>
      </c>
      <c r="G105" s="2" t="s">
        <v>390</v>
      </c>
      <c r="H105" s="7"/>
      <c r="I105" s="2" t="s">
        <v>9</v>
      </c>
      <c r="J105" t="s">
        <v>7420</v>
      </c>
      <c r="K105" t="s">
        <v>7421</v>
      </c>
      <c r="L105" s="2" t="s">
        <v>8458</v>
      </c>
      <c r="M105" t="s">
        <v>7996</v>
      </c>
      <c r="N105" s="4"/>
    </row>
    <row r="106" spans="1:14" ht="26" x14ac:dyDescent="0.3">
      <c r="A106" s="1" t="str">
        <f>HYPERLINK("https://ipmanager.doe.gov/IPManager//ExternalLink.aspx?6ibkph2k9yi6F%2B0Vz7YoTgZwfmYxrNyKluG4WoNtPT8%3D","Link")</f>
        <v>Link</v>
      </c>
      <c r="B106" s="2" t="s">
        <v>393</v>
      </c>
      <c r="C106" s="2" t="s">
        <v>378</v>
      </c>
      <c r="D106" s="2" t="s">
        <v>379</v>
      </c>
      <c r="E106" s="2" t="s">
        <v>388</v>
      </c>
      <c r="F106" s="2" t="s">
        <v>394</v>
      </c>
      <c r="G106" s="2" t="s">
        <v>392</v>
      </c>
      <c r="H106" s="7"/>
      <c r="I106" s="2" t="s">
        <v>9</v>
      </c>
      <c r="J106" t="s">
        <v>7422</v>
      </c>
      <c r="K106" t="s">
        <v>7425</v>
      </c>
      <c r="L106" s="2" t="s">
        <v>8458</v>
      </c>
      <c r="M106" t="s">
        <v>7996</v>
      </c>
      <c r="N106" s="4"/>
    </row>
    <row r="107" spans="1:14" ht="39" x14ac:dyDescent="0.3">
      <c r="A107" s="1" t="str">
        <f>HYPERLINK("https://ipmanager.doe.gov/IPManager//ExternalLink.aspx?6ibkph2k9yi6F%2B0Vz7YoTgZwfmYxrNyKndCL7MNSnBM%3D","Link")</f>
        <v>Link</v>
      </c>
      <c r="B107" s="2" t="s">
        <v>395</v>
      </c>
      <c r="C107" s="2" t="s">
        <v>378</v>
      </c>
      <c r="D107" s="2" t="s">
        <v>379</v>
      </c>
      <c r="E107" s="2" t="s">
        <v>396</v>
      </c>
      <c r="F107" s="2" t="s">
        <v>397</v>
      </c>
      <c r="G107" s="2" t="s">
        <v>380</v>
      </c>
      <c r="H107" s="7"/>
      <c r="I107" s="2" t="s">
        <v>9</v>
      </c>
      <c r="J107" t="s">
        <v>7423</v>
      </c>
      <c r="K107" t="e">
        <v>#N/A</v>
      </c>
      <c r="L107" s="2" t="s">
        <v>8458</v>
      </c>
      <c r="M107" t="s">
        <v>7996</v>
      </c>
      <c r="N107" s="4"/>
    </row>
    <row r="108" spans="1:14" ht="26" x14ac:dyDescent="0.3">
      <c r="A108" s="1" t="str">
        <f>HYPERLINK("https://ipmanager.doe.gov/IPManager//ExternalLink.aspx?6ibkph2k9yi6F%2B0Vz7YoTgZwfmYxrNyKGHlGXMioU%2Bs%3D","Link")</f>
        <v>Link</v>
      </c>
      <c r="B108" s="2" t="s">
        <v>407</v>
      </c>
      <c r="C108" s="2" t="s">
        <v>378</v>
      </c>
      <c r="D108" s="2" t="s">
        <v>379</v>
      </c>
      <c r="E108" s="2" t="s">
        <v>404</v>
      </c>
      <c r="F108" s="2" t="s">
        <v>408</v>
      </c>
      <c r="G108" s="2" t="s">
        <v>392</v>
      </c>
      <c r="H108" s="7"/>
      <c r="I108" s="2" t="s">
        <v>9</v>
      </c>
      <c r="K108" t="e">
        <v>#N/A</v>
      </c>
      <c r="L108" s="2" t="s">
        <v>8458</v>
      </c>
      <c r="M108" t="s">
        <v>7996</v>
      </c>
      <c r="N108" s="4"/>
    </row>
    <row r="109" spans="1:14" ht="26" x14ac:dyDescent="0.3">
      <c r="A109" s="1" t="str">
        <f>HYPERLINK("https://ipmanager.doe.gov/IPManager//ExternalLink.aspx?6ibkph2k9yi6F%2B0Vz7YoTgZwfmYxrNyKWlN20cgXAz0%3D","Link")</f>
        <v>Link</v>
      </c>
      <c r="B109" s="2" t="s">
        <v>409</v>
      </c>
      <c r="C109" s="2" t="s">
        <v>378</v>
      </c>
      <c r="D109" s="2" t="s">
        <v>379</v>
      </c>
      <c r="E109" s="2" t="s">
        <v>404</v>
      </c>
      <c r="F109" s="2" t="s">
        <v>391</v>
      </c>
      <c r="G109" s="2" t="s">
        <v>392</v>
      </c>
      <c r="H109" s="7"/>
      <c r="I109" s="2" t="s">
        <v>9</v>
      </c>
      <c r="K109" t="e">
        <v>#N/A</v>
      </c>
      <c r="L109" s="2" t="s">
        <v>8458</v>
      </c>
      <c r="M109" t="s">
        <v>7996</v>
      </c>
      <c r="N109" s="4"/>
    </row>
    <row r="110" spans="1:14" ht="26" x14ac:dyDescent="0.3">
      <c r="A110" s="1" t="str">
        <f>HYPERLINK("https://ipmanager.doe.gov/IPManager//ExternalLink.aspx?6ibkph2k9yi6F%2B0Vz7YoTgZwfmYxrNyK40t6HgYAUc0%3D","Link")</f>
        <v>Link</v>
      </c>
      <c r="B110" s="2" t="s">
        <v>410</v>
      </c>
      <c r="C110" s="2" t="s">
        <v>378</v>
      </c>
      <c r="D110" s="2" t="s">
        <v>379</v>
      </c>
      <c r="E110" s="2" t="s">
        <v>388</v>
      </c>
      <c r="F110" s="2" t="s">
        <v>411</v>
      </c>
      <c r="G110" s="2" t="s">
        <v>392</v>
      </c>
      <c r="H110" s="7"/>
      <c r="I110" s="2" t="s">
        <v>9</v>
      </c>
      <c r="K110" t="e">
        <v>#N/A</v>
      </c>
      <c r="L110" s="2" t="s">
        <v>8458</v>
      </c>
      <c r="M110" t="s">
        <v>7996</v>
      </c>
      <c r="N110" s="4"/>
    </row>
    <row r="111" spans="1:14" ht="26" x14ac:dyDescent="0.3">
      <c r="A111" s="1" t="str">
        <f>HYPERLINK("https://ipmanager.doe.gov/IPManager//ExternalLink.aspx?6ibkph2k9yi6F%2B0Vz7YoTgZwfmYxrNyKs0teVr0ap2Y%3D","Link")</f>
        <v>Link</v>
      </c>
      <c r="B111" s="2" t="s">
        <v>412</v>
      </c>
      <c r="C111" s="2" t="s">
        <v>378</v>
      </c>
      <c r="D111" s="2" t="s">
        <v>379</v>
      </c>
      <c r="E111" s="2" t="s">
        <v>413</v>
      </c>
      <c r="F111" s="2" t="s">
        <v>414</v>
      </c>
      <c r="G111" s="2" t="s">
        <v>392</v>
      </c>
      <c r="H111" s="7"/>
      <c r="I111" s="2" t="s">
        <v>9</v>
      </c>
      <c r="K111" t="e">
        <v>#N/A</v>
      </c>
      <c r="L111" s="2" t="s">
        <v>8458</v>
      </c>
      <c r="M111" t="s">
        <v>7996</v>
      </c>
      <c r="N111" s="4"/>
    </row>
    <row r="112" spans="1:14" ht="26" x14ac:dyDescent="0.3">
      <c r="A112" s="1" t="str">
        <f>HYPERLINK("https://ipmanager.doe.gov/IPManager//ExternalLink.aspx?6ibkph2k9yi6F%2B0Vz7YoTgZwfmYxrNyKidGv07fNYxI%3D","Link")</f>
        <v>Link</v>
      </c>
      <c r="B112" s="2" t="s">
        <v>420</v>
      </c>
      <c r="C112" s="2" t="s">
        <v>378</v>
      </c>
      <c r="D112" s="2" t="s">
        <v>379</v>
      </c>
      <c r="E112" s="2" t="s">
        <v>421</v>
      </c>
      <c r="F112" s="2" t="s">
        <v>422</v>
      </c>
      <c r="G112" s="2" t="s">
        <v>392</v>
      </c>
      <c r="H112" s="7"/>
      <c r="I112" s="2" t="s">
        <v>9</v>
      </c>
      <c r="K112" t="e">
        <v>#N/A</v>
      </c>
      <c r="L112" s="2" t="s">
        <v>8458</v>
      </c>
      <c r="M112" t="s">
        <v>7996</v>
      </c>
      <c r="N112" s="4"/>
    </row>
    <row r="113" spans="1:14" ht="26" x14ac:dyDescent="0.3">
      <c r="A113" s="1" t="str">
        <f>HYPERLINK("https://ipmanager.doe.gov/IPManager//ExternalLink.aspx?6ibkph2k9yi6F%2B0Vz7YoTgZwfmYxrNyKp5F3w74NrGU%3D","Link")</f>
        <v>Link</v>
      </c>
      <c r="B113" s="2" t="s">
        <v>427</v>
      </c>
      <c r="C113" s="2" t="s">
        <v>378</v>
      </c>
      <c r="D113" s="2" t="s">
        <v>379</v>
      </c>
      <c r="E113" s="2" t="s">
        <v>428</v>
      </c>
      <c r="F113" s="2" t="s">
        <v>429</v>
      </c>
      <c r="G113" s="2" t="s">
        <v>299</v>
      </c>
      <c r="H113" s="7"/>
      <c r="I113" s="2" t="s">
        <v>9</v>
      </c>
      <c r="K113" t="e">
        <v>#N/A</v>
      </c>
      <c r="L113" s="2" t="s">
        <v>8458</v>
      </c>
      <c r="M113" t="s">
        <v>7996</v>
      </c>
      <c r="N113" s="4"/>
    </row>
    <row r="114" spans="1:14" ht="39" x14ac:dyDescent="0.3">
      <c r="A114" s="1" t="str">
        <f>HYPERLINK("https://ipmanager.doe.gov/IPManager//ExternalLink.aspx?6ibkph2k9yi6F%2B0Vz7YoTgZwfmYxrNyKtGqxTPVACYU%3D","Link")</f>
        <v>Link</v>
      </c>
      <c r="B114" s="2" t="s">
        <v>438</v>
      </c>
      <c r="C114" s="2" t="s">
        <v>378</v>
      </c>
      <c r="D114" s="2" t="s">
        <v>379</v>
      </c>
      <c r="E114" s="2" t="s">
        <v>434</v>
      </c>
      <c r="F114" s="2" t="s">
        <v>439</v>
      </c>
      <c r="G114" s="2" t="s">
        <v>440</v>
      </c>
      <c r="H114" s="7"/>
      <c r="I114" s="2"/>
      <c r="K114" t="e">
        <v>#N/A</v>
      </c>
      <c r="L114" s="2" t="s">
        <v>8458</v>
      </c>
      <c r="M114" t="s">
        <v>7996</v>
      </c>
      <c r="N114" s="4"/>
    </row>
    <row r="115" spans="1:14" ht="39" x14ac:dyDescent="0.3">
      <c r="A115" s="1" t="str">
        <f>HYPERLINK("https://ipmanager.doe.gov/IPManager//ExternalLink.aspx?6ibkph2k9yi6F%2B0Vz7YoTjnDGhmGHGI74QU1FmBSkzk%3D","Link")</f>
        <v>Link</v>
      </c>
      <c r="B115" s="2" t="s">
        <v>441</v>
      </c>
      <c r="C115" s="2" t="s">
        <v>442</v>
      </c>
      <c r="D115" s="2" t="s">
        <v>443</v>
      </c>
      <c r="E115" s="2" t="s">
        <v>444</v>
      </c>
      <c r="F115" s="2" t="s">
        <v>445</v>
      </c>
      <c r="G115" s="2" t="s">
        <v>446</v>
      </c>
      <c r="H115" s="7">
        <v>9205420</v>
      </c>
      <c r="I115" s="2" t="s">
        <v>447</v>
      </c>
      <c r="J115" t="s">
        <v>4257</v>
      </c>
      <c r="K115" t="s">
        <v>7690</v>
      </c>
      <c r="L115" s="2" t="s">
        <v>8400</v>
      </c>
      <c r="M115" t="s">
        <v>8404</v>
      </c>
      <c r="N115" s="5" t="s">
        <v>8438</v>
      </c>
    </row>
    <row r="116" spans="1:14" ht="39" x14ac:dyDescent="0.3">
      <c r="A116" s="1" t="str">
        <f>HYPERLINK("https://ipmanager.doe.gov/IPManager//ExternalLink.aspx?6ibkph2k9yi6F%2B0Vz7YoTjN2oADz%2F5MxQNc%2BX6AbWCk%3D","Link")</f>
        <v>Link</v>
      </c>
      <c r="B116" s="2" t="s">
        <v>448</v>
      </c>
      <c r="C116" s="2" t="s">
        <v>442</v>
      </c>
      <c r="D116" s="2" t="s">
        <v>443</v>
      </c>
      <c r="E116" s="2" t="s">
        <v>449</v>
      </c>
      <c r="F116" s="2"/>
      <c r="G116" s="2" t="s">
        <v>9</v>
      </c>
      <c r="H116" s="7"/>
      <c r="I116" s="2" t="s">
        <v>9</v>
      </c>
      <c r="J116" t="s">
        <v>4257</v>
      </c>
      <c r="K116" t="s">
        <v>7690</v>
      </c>
      <c r="L116" s="2" t="s">
        <v>8400</v>
      </c>
      <c r="M116" t="s">
        <v>8404</v>
      </c>
      <c r="N116" s="5" t="s">
        <v>8438</v>
      </c>
    </row>
    <row r="117" spans="1:14" ht="39" x14ac:dyDescent="0.3">
      <c r="A117" s="1" t="str">
        <f>HYPERLINK("https://ipmanager.doe.gov/IPManager//ExternalLink.aspx?6ibkph2k9yi6F%2B0Vz7YoTjN2oADz%2F5MxCvtq8EVvtwA%3D","Link")</f>
        <v>Link</v>
      </c>
      <c r="B117" s="2" t="s">
        <v>450</v>
      </c>
      <c r="C117" s="2" t="s">
        <v>442</v>
      </c>
      <c r="D117" s="2" t="s">
        <v>443</v>
      </c>
      <c r="E117" s="2" t="s">
        <v>449</v>
      </c>
      <c r="F117" s="2"/>
      <c r="G117" s="2" t="s">
        <v>9</v>
      </c>
      <c r="H117" s="7"/>
      <c r="I117" s="2" t="s">
        <v>9</v>
      </c>
      <c r="J117" t="s">
        <v>2998</v>
      </c>
      <c r="K117" t="s">
        <v>7691</v>
      </c>
      <c r="L117" s="2" t="s">
        <v>8400</v>
      </c>
      <c r="M117" t="s">
        <v>8404</v>
      </c>
      <c r="N117" s="5" t="s">
        <v>8438</v>
      </c>
    </row>
    <row r="118" spans="1:14" ht="65" x14ac:dyDescent="0.3">
      <c r="A118" s="1" t="str">
        <f>HYPERLINK("https://ipmanager.doe.gov/IPManager//ExternalLink.aspx?6ibkph2k9yi6F%2B0Vz7YoTgZwfmYxrNyKeU1z7B7qYdQ%3D","Link")</f>
        <v>Link</v>
      </c>
      <c r="B118" s="2" t="s">
        <v>451</v>
      </c>
      <c r="C118" s="2" t="s">
        <v>442</v>
      </c>
      <c r="D118" s="2" t="s">
        <v>452</v>
      </c>
      <c r="E118" s="2" t="s">
        <v>453</v>
      </c>
      <c r="F118" s="2" t="s">
        <v>454</v>
      </c>
      <c r="G118" s="2" t="s">
        <v>455</v>
      </c>
      <c r="H118" s="7"/>
      <c r="I118" s="2" t="s">
        <v>9</v>
      </c>
      <c r="J118" s="2" t="s">
        <v>8437</v>
      </c>
      <c r="K118" t="s">
        <v>8437</v>
      </c>
      <c r="L118" s="2" t="s">
        <v>8400</v>
      </c>
      <c r="M118" t="s">
        <v>8404</v>
      </c>
      <c r="N118" s="5" t="s">
        <v>8438</v>
      </c>
    </row>
    <row r="119" spans="1:14" ht="39" x14ac:dyDescent="0.3">
      <c r="A119" s="1" t="str">
        <f>HYPERLINK("https://ipmanager.doe.gov/IPManager//ExternalLink.aspx?6ibkph2k9yi6F%2B0Vz7YoTlNm8snv%2FZpHGVXvQIxgTuk%3D","Link")</f>
        <v>Link</v>
      </c>
      <c r="B119" s="2" t="s">
        <v>456</v>
      </c>
      <c r="C119" s="2" t="s">
        <v>457</v>
      </c>
      <c r="D119" s="2" t="s">
        <v>458</v>
      </c>
      <c r="E119" s="2" t="s">
        <v>459</v>
      </c>
      <c r="F119" s="2" t="s">
        <v>7606</v>
      </c>
      <c r="G119" s="2" t="s">
        <v>460</v>
      </c>
      <c r="H119" s="7"/>
      <c r="I119" s="2" t="s">
        <v>9</v>
      </c>
      <c r="J119" t="s">
        <v>5249</v>
      </c>
      <c r="K119" t="s">
        <v>7692</v>
      </c>
      <c r="L119" s="2" t="s">
        <v>8459</v>
      </c>
      <c r="M119" t="s">
        <v>7997</v>
      </c>
      <c r="N119" s="4"/>
    </row>
    <row r="120" spans="1:14" ht="26" x14ac:dyDescent="0.3">
      <c r="A120" s="1" t="str">
        <f>HYPERLINK("https://ipmanager.doe.gov/IPManager//ExternalLink.aspx?6ibkph2k9yi6F%2B0Vz7YoTlNm8snv%2FZpHfuk5VB%2BITYo%3D","Link")</f>
        <v>Link</v>
      </c>
      <c r="B120" s="2" t="s">
        <v>462</v>
      </c>
      <c r="C120" s="2" t="s">
        <v>463</v>
      </c>
      <c r="D120" s="2" t="s">
        <v>464</v>
      </c>
      <c r="E120" s="2" t="s">
        <v>465</v>
      </c>
      <c r="F120" s="2"/>
      <c r="G120" s="2" t="s">
        <v>9</v>
      </c>
      <c r="H120" s="7"/>
      <c r="I120" s="2" t="s">
        <v>9</v>
      </c>
      <c r="J120" t="s">
        <v>6207</v>
      </c>
      <c r="K120" t="s">
        <v>7693</v>
      </c>
      <c r="L120" s="2" t="s">
        <v>8460</v>
      </c>
      <c r="M120" t="s">
        <v>7998</v>
      </c>
      <c r="N120" s="4"/>
    </row>
    <row r="121" spans="1:14" ht="26" x14ac:dyDescent="0.3">
      <c r="A121" s="1" t="str">
        <f>HYPERLINK("https://ipmanager.doe.gov/IPManager//ExternalLink.aspx?6ibkph2k9yi6F%2B0Vz7YoTlNm8snv%2FZpHKUi6JdCprFE%3D","Link")</f>
        <v>Link</v>
      </c>
      <c r="B121" s="2" t="s">
        <v>466</v>
      </c>
      <c r="C121" s="2" t="s">
        <v>463</v>
      </c>
      <c r="D121" s="2" t="s">
        <v>464</v>
      </c>
      <c r="E121" s="2" t="s">
        <v>467</v>
      </c>
      <c r="F121" s="2" t="s">
        <v>468</v>
      </c>
      <c r="G121" s="2" t="s">
        <v>469</v>
      </c>
      <c r="H121" s="7">
        <v>9118089</v>
      </c>
      <c r="I121" s="2" t="s">
        <v>470</v>
      </c>
      <c r="J121" t="s">
        <v>889</v>
      </c>
      <c r="K121" t="s">
        <v>7694</v>
      </c>
      <c r="L121" s="2" t="s">
        <v>8460</v>
      </c>
      <c r="M121" t="s">
        <v>7998</v>
      </c>
    </row>
    <row r="122" spans="1:14" x14ac:dyDescent="0.3">
      <c r="A122" s="1" t="str">
        <f>HYPERLINK("https://ipmanager.doe.gov/IPManager//ExternalLink.aspx?6ibkph2k9yi6F%2B0Vz7YoTjN2oADz%2F5Mx0LiYv8lCYO8%3D","Link")</f>
        <v>Link</v>
      </c>
      <c r="B122" s="2" t="s">
        <v>471</v>
      </c>
      <c r="C122" s="2" t="s">
        <v>463</v>
      </c>
      <c r="D122" s="2" t="s">
        <v>464</v>
      </c>
      <c r="E122" s="2" t="s">
        <v>472</v>
      </c>
      <c r="F122" s="2" t="s">
        <v>473</v>
      </c>
      <c r="G122" s="2" t="s">
        <v>474</v>
      </c>
      <c r="H122" s="7">
        <v>8808929</v>
      </c>
      <c r="I122" s="2" t="s">
        <v>475</v>
      </c>
      <c r="J122" t="s">
        <v>892</v>
      </c>
      <c r="K122" t="s">
        <v>7695</v>
      </c>
      <c r="L122" s="2" t="s">
        <v>8460</v>
      </c>
      <c r="M122" t="s">
        <v>7998</v>
      </c>
    </row>
    <row r="123" spans="1:14" ht="39" x14ac:dyDescent="0.3">
      <c r="A123" s="1" t="str">
        <f>HYPERLINK("https://ipmanager.doe.gov/IPManager//ExternalLink.aspx?6ibkph2k9yi6F%2B0Vz7YoTipZ798QK%2BbPjPDQ8X7YTgE%3D","Link")</f>
        <v>Link</v>
      </c>
      <c r="B123" s="2" t="s">
        <v>480</v>
      </c>
      <c r="C123" s="2" t="s">
        <v>463</v>
      </c>
      <c r="D123" s="2" t="s">
        <v>135</v>
      </c>
      <c r="E123" s="2" t="s">
        <v>481</v>
      </c>
      <c r="F123" s="2" t="s">
        <v>482</v>
      </c>
      <c r="G123" s="2" t="s">
        <v>483</v>
      </c>
      <c r="H123" s="7">
        <v>8895197</v>
      </c>
      <c r="I123" s="2" t="s">
        <v>484</v>
      </c>
      <c r="J123" t="s">
        <v>5672</v>
      </c>
      <c r="K123" t="s">
        <v>7696</v>
      </c>
      <c r="L123" s="2" t="s">
        <v>8460</v>
      </c>
      <c r="M123" t="s">
        <v>7998</v>
      </c>
    </row>
    <row r="124" spans="1:14" ht="26" x14ac:dyDescent="0.3">
      <c r="A124" s="1" t="str">
        <f>HYPERLINK("https://ipmanager.doe.gov/IPManager//ExternalLink.aspx?6ibkph2k9yi6F%2B0Vz7YoTipZ798QK%2BbPi%2FcDQZKfYJk%3D","Link")</f>
        <v>Link</v>
      </c>
      <c r="B124" s="2" t="s">
        <v>486</v>
      </c>
      <c r="C124" s="2" t="s">
        <v>463</v>
      </c>
      <c r="D124" s="2" t="s">
        <v>140</v>
      </c>
      <c r="E124" s="2" t="s">
        <v>487</v>
      </c>
      <c r="F124" s="2" t="s">
        <v>488</v>
      </c>
      <c r="G124" s="2" t="s">
        <v>335</v>
      </c>
      <c r="H124" s="7">
        <v>9236643</v>
      </c>
      <c r="I124" s="2" t="s">
        <v>489</v>
      </c>
      <c r="J124" t="s">
        <v>6730</v>
      </c>
      <c r="K124" t="s">
        <v>7697</v>
      </c>
      <c r="L124" s="2" t="s">
        <v>8460</v>
      </c>
      <c r="M124" t="s">
        <v>7998</v>
      </c>
    </row>
    <row r="125" spans="1:14" ht="39" x14ac:dyDescent="0.3">
      <c r="A125" s="1" t="str">
        <f>HYPERLINK("https://ipmanager.doe.gov/IPManager//ExternalLink.aspx?6ibkph2k9yi6F%2B0Vz7YoTipZ798QK%2BbPLzqP2KS4wVI%3D","Link")</f>
        <v>Link</v>
      </c>
      <c r="B125" s="2" t="s">
        <v>490</v>
      </c>
      <c r="C125" s="2" t="s">
        <v>463</v>
      </c>
      <c r="D125" s="2" t="s">
        <v>135</v>
      </c>
      <c r="E125" s="2" t="s">
        <v>491</v>
      </c>
      <c r="F125" s="2" t="s">
        <v>492</v>
      </c>
      <c r="G125" s="2" t="s">
        <v>493</v>
      </c>
      <c r="H125" s="7">
        <v>9184478</v>
      </c>
      <c r="I125" s="2" t="s">
        <v>494</v>
      </c>
      <c r="J125" t="s">
        <v>6750</v>
      </c>
      <c r="K125" t="s">
        <v>7698</v>
      </c>
      <c r="L125" s="2" t="s">
        <v>8460</v>
      </c>
      <c r="M125" t="s">
        <v>7998</v>
      </c>
    </row>
    <row r="126" spans="1:14" ht="26" x14ac:dyDescent="0.3">
      <c r="A126" s="1" t="str">
        <f>HYPERLINK("https://ipmanager.doe.gov/IPManager//ExternalLink.aspx?6ibkph2k9yi6F%2B0Vz7YoTjN2oADz%2F5MxgUMBJlQUru4%3D","Link")</f>
        <v>Link</v>
      </c>
      <c r="B126" s="2" t="s">
        <v>498</v>
      </c>
      <c r="C126" s="2" t="s">
        <v>463</v>
      </c>
      <c r="D126" s="2" t="s">
        <v>464</v>
      </c>
      <c r="E126" s="2" t="s">
        <v>499</v>
      </c>
      <c r="F126" s="2" t="s">
        <v>500</v>
      </c>
      <c r="G126" s="2" t="s">
        <v>501</v>
      </c>
      <c r="H126" s="7">
        <v>8741491</v>
      </c>
      <c r="I126" s="2" t="s">
        <v>502</v>
      </c>
      <c r="J126" t="s">
        <v>4582</v>
      </c>
      <c r="K126" t="s">
        <v>7699</v>
      </c>
      <c r="L126" s="2" t="s">
        <v>8460</v>
      </c>
      <c r="M126" t="s">
        <v>7998</v>
      </c>
    </row>
    <row r="127" spans="1:14" ht="26" x14ac:dyDescent="0.3">
      <c r="A127" s="1" t="str">
        <f>HYPERLINK("https://ipmanager.doe.gov/IPManager//ExternalLink.aspx?6ibkph2k9yi6F%2B0Vz7YoTlNm8snv%2FZpH%2FpTsxoGkTS0%3D","Link")</f>
        <v>Link</v>
      </c>
      <c r="B127" s="2" t="s">
        <v>503</v>
      </c>
      <c r="C127" s="2" t="s">
        <v>463</v>
      </c>
      <c r="D127" s="2" t="s">
        <v>464</v>
      </c>
      <c r="E127" s="2" t="s">
        <v>504</v>
      </c>
      <c r="F127" s="2" t="s">
        <v>505</v>
      </c>
      <c r="G127" s="2" t="s">
        <v>506</v>
      </c>
      <c r="H127" s="7">
        <v>9029027</v>
      </c>
      <c r="I127" s="2" t="s">
        <v>507</v>
      </c>
      <c r="J127" t="s">
        <v>3975</v>
      </c>
      <c r="K127" t="s">
        <v>7700</v>
      </c>
      <c r="L127" s="2" t="s">
        <v>8460</v>
      </c>
      <c r="M127" t="s">
        <v>7998</v>
      </c>
    </row>
    <row r="128" spans="1:14" ht="65" x14ac:dyDescent="0.3">
      <c r="A128" s="1" t="str">
        <f>HYPERLINK("https://ipmanager.doe.gov/IPManager//ExternalLink.aspx?6ibkph2k9yi6F%2B0Vz7YoTr7J5I%2BY4foY6BV3Xflzde8%3D","Link")</f>
        <v>Link</v>
      </c>
      <c r="B128" s="2" t="s">
        <v>508</v>
      </c>
      <c r="C128" s="2" t="s">
        <v>463</v>
      </c>
      <c r="D128" s="2" t="s">
        <v>464</v>
      </c>
      <c r="E128" s="2" t="s">
        <v>509</v>
      </c>
      <c r="F128" s="2" t="s">
        <v>510</v>
      </c>
      <c r="G128" s="2" t="s">
        <v>469</v>
      </c>
      <c r="H128" s="7">
        <v>9147919</v>
      </c>
      <c r="I128" s="2" t="s">
        <v>511</v>
      </c>
      <c r="J128" t="s">
        <v>6049</v>
      </c>
      <c r="K128" t="s">
        <v>7701</v>
      </c>
      <c r="L128" s="2" t="s">
        <v>8460</v>
      </c>
      <c r="M128" t="s">
        <v>7998</v>
      </c>
    </row>
    <row r="129" spans="1:14" ht="65" x14ac:dyDescent="0.3">
      <c r="A129" s="1" t="str">
        <f>HYPERLINK("https://ipmanager.doe.gov/IPManager//ExternalLink.aspx?6ibkph2k9yi6F%2B0Vz7YoTr7J5I%2BY4foYeWerWQbaXUQ%3D","Link")</f>
        <v>Link</v>
      </c>
      <c r="B129" s="2" t="s">
        <v>512</v>
      </c>
      <c r="C129" s="2" t="s">
        <v>463</v>
      </c>
      <c r="D129" s="2" t="s">
        <v>464</v>
      </c>
      <c r="E129" s="2" t="s">
        <v>513</v>
      </c>
      <c r="F129" s="2"/>
      <c r="G129" s="2" t="s">
        <v>9</v>
      </c>
      <c r="H129" s="7"/>
      <c r="I129" s="2" t="s">
        <v>9</v>
      </c>
      <c r="J129" t="s">
        <v>4371</v>
      </c>
      <c r="K129" t="s">
        <v>7702</v>
      </c>
      <c r="L129" s="2" t="s">
        <v>8460</v>
      </c>
      <c r="M129" t="s">
        <v>7998</v>
      </c>
      <c r="N129" s="4"/>
    </row>
    <row r="130" spans="1:14" ht="39" x14ac:dyDescent="0.3">
      <c r="A130" s="1" t="str">
        <f>HYPERLINK("https://ipmanager.doe.gov/IPManager//ExternalLink.aspx?6ibkph2k9yi6F%2B0Vz7YoTkqAgjuWMa9Qu5p074xcl0E%3D","Link")</f>
        <v>Link</v>
      </c>
      <c r="B130" s="2" t="s">
        <v>518</v>
      </c>
      <c r="C130" s="2" t="s">
        <v>463</v>
      </c>
      <c r="D130" s="2" t="s">
        <v>135</v>
      </c>
      <c r="E130" s="2" t="s">
        <v>491</v>
      </c>
      <c r="F130" s="2" t="s">
        <v>519</v>
      </c>
      <c r="G130" s="2" t="s">
        <v>493</v>
      </c>
      <c r="H130" s="7" t="s">
        <v>520</v>
      </c>
      <c r="I130" s="2" t="s">
        <v>521</v>
      </c>
      <c r="J130" t="s">
        <v>1399</v>
      </c>
      <c r="K130" t="e">
        <v>#N/A</v>
      </c>
      <c r="L130" s="2" t="s">
        <v>8460</v>
      </c>
      <c r="M130" t="s">
        <v>7998</v>
      </c>
    </row>
    <row r="131" spans="1:14" ht="39" x14ac:dyDescent="0.3">
      <c r="A131" s="1" t="str">
        <f>HYPERLINK("https://ipmanager.doe.gov/IPManager//ExternalLink.aspx?6ibkph2k9yi6F%2B0Vz7YoTkqAgjuWMa9QC3gNXdzo6ps%3D","Link")</f>
        <v>Link</v>
      </c>
      <c r="B131" s="2" t="s">
        <v>514</v>
      </c>
      <c r="C131" s="2" t="s">
        <v>463</v>
      </c>
      <c r="D131" s="2" t="s">
        <v>135</v>
      </c>
      <c r="E131" s="2" t="s">
        <v>491</v>
      </c>
      <c r="F131" s="2" t="s">
        <v>515</v>
      </c>
      <c r="G131" s="2" t="s">
        <v>493</v>
      </c>
      <c r="H131" s="2"/>
      <c r="I131" s="2" t="s">
        <v>9</v>
      </c>
      <c r="J131" t="s">
        <v>1485</v>
      </c>
      <c r="K131" t="s">
        <v>7703</v>
      </c>
      <c r="L131" s="2" t="s">
        <v>8460</v>
      </c>
      <c r="M131" t="s">
        <v>7998</v>
      </c>
      <c r="N131" s="4"/>
    </row>
    <row r="132" spans="1:14" ht="39" x14ac:dyDescent="0.3">
      <c r="A132" s="1" t="str">
        <f>HYPERLINK("https://ipmanager.doe.gov/IPManager//ExternalLink.aspx?6ibkph2k9yi6F%2B0Vz7YoTkqAgjuWMa9Qci%2BjzwR6MDo%3D","Link")</f>
        <v>Link</v>
      </c>
      <c r="B132" s="2" t="s">
        <v>516</v>
      </c>
      <c r="C132" s="2" t="s">
        <v>463</v>
      </c>
      <c r="D132" s="2" t="s">
        <v>135</v>
      </c>
      <c r="E132" s="2" t="s">
        <v>491</v>
      </c>
      <c r="F132" s="2" t="s">
        <v>517</v>
      </c>
      <c r="G132" s="2" t="s">
        <v>493</v>
      </c>
      <c r="H132" s="2"/>
      <c r="I132" s="2" t="s">
        <v>9</v>
      </c>
      <c r="J132" t="s">
        <v>517</v>
      </c>
      <c r="K132" t="s">
        <v>7687</v>
      </c>
      <c r="L132" s="2" t="s">
        <v>8460</v>
      </c>
      <c r="M132" t="s">
        <v>7998</v>
      </c>
      <c r="N132" s="4"/>
    </row>
    <row r="133" spans="1:14" ht="52" x14ac:dyDescent="0.3">
      <c r="A133" s="1" t="str">
        <f>HYPERLINK("https://ipmanager.doe.gov/IPManager//ExternalLink.aspx?6ibkph2k9yi6F%2B0Vz7YoTjN2oADz%2F5MxDFnIcEB5Agk%3D","Link")</f>
        <v>Link</v>
      </c>
      <c r="B133" s="2" t="s">
        <v>476</v>
      </c>
      <c r="C133" s="2" t="s">
        <v>463</v>
      </c>
      <c r="D133" s="2" t="s">
        <v>464</v>
      </c>
      <c r="E133" s="2" t="s">
        <v>477</v>
      </c>
      <c r="F133" s="2" t="s">
        <v>478</v>
      </c>
      <c r="G133" s="2" t="s">
        <v>479</v>
      </c>
      <c r="H133" s="7"/>
      <c r="I133" s="2" t="s">
        <v>9</v>
      </c>
      <c r="K133" t="e">
        <v>#N/A</v>
      </c>
      <c r="L133" s="2" t="s">
        <v>8460</v>
      </c>
      <c r="M133" t="s">
        <v>7998</v>
      </c>
      <c r="N133" s="4"/>
    </row>
    <row r="134" spans="1:14" ht="52" x14ac:dyDescent="0.3">
      <c r="A134" s="1" t="str">
        <f>HYPERLINK("https://ipmanager.doe.gov/IPManager//ExternalLink.aspx?6ibkph2k9yi6F%2B0Vz7YoTlNm8snv%2FZpHu8WoTeFWyEc%3D","Link")</f>
        <v>Link</v>
      </c>
      <c r="B134" s="2" t="s">
        <v>495</v>
      </c>
      <c r="C134" s="2" t="s">
        <v>463</v>
      </c>
      <c r="D134" s="2" t="s">
        <v>464</v>
      </c>
      <c r="E134" s="2" t="s">
        <v>496</v>
      </c>
      <c r="F134" s="2" t="s">
        <v>497</v>
      </c>
      <c r="G134" s="2" t="s">
        <v>469</v>
      </c>
      <c r="H134" s="7"/>
      <c r="I134" s="2" t="s">
        <v>9</v>
      </c>
      <c r="K134" t="e">
        <v>#N/A</v>
      </c>
      <c r="L134" s="2" t="s">
        <v>8460</v>
      </c>
      <c r="M134" t="s">
        <v>7998</v>
      </c>
      <c r="N134" s="4"/>
    </row>
    <row r="135" spans="1:14" ht="26" x14ac:dyDescent="0.3">
      <c r="A135" s="1" t="str">
        <f>HYPERLINK("https://ipmanager.doe.gov/IPManager//ExternalLink.aspx?6ibkph2k9yi6F%2B0Vz7YoTq6RR9BlGHHiswr3YoQmH%2FU%3D","Link")</f>
        <v>Link</v>
      </c>
      <c r="B135" s="2" t="s">
        <v>537</v>
      </c>
      <c r="C135" s="2" t="s">
        <v>523</v>
      </c>
      <c r="D135" s="2" t="s">
        <v>524</v>
      </c>
      <c r="E135" s="2" t="s">
        <v>538</v>
      </c>
      <c r="F135" s="2" t="s">
        <v>539</v>
      </c>
      <c r="G135" s="2" t="s">
        <v>540</v>
      </c>
      <c r="H135" s="7">
        <v>9003789</v>
      </c>
      <c r="I135" s="2" t="s">
        <v>541</v>
      </c>
      <c r="J135" t="s">
        <v>4991</v>
      </c>
      <c r="K135" t="s">
        <v>7704</v>
      </c>
      <c r="L135" s="2" t="s">
        <v>8401</v>
      </c>
      <c r="M135" t="s">
        <v>8405</v>
      </c>
      <c r="N135" s="5" t="s">
        <v>8438</v>
      </c>
    </row>
    <row r="136" spans="1:14" ht="65" x14ac:dyDescent="0.3">
      <c r="A136" s="1" t="str">
        <f>HYPERLINK("https://ipmanager.doe.gov/IPManager//ExternalLink.aspx?6ibkph2k9yi6F%2B0Vz7YoTq6RR9BlGHHiVFU2qQVI1bs%3D","Link")</f>
        <v>Link</v>
      </c>
      <c r="B136" s="2" t="s">
        <v>544</v>
      </c>
      <c r="C136" s="2" t="s">
        <v>523</v>
      </c>
      <c r="D136" s="2" t="s">
        <v>524</v>
      </c>
      <c r="E136" s="2" t="s">
        <v>545</v>
      </c>
      <c r="F136" s="2"/>
      <c r="G136" s="2" t="s">
        <v>9</v>
      </c>
      <c r="H136" s="7"/>
      <c r="I136" s="2" t="s">
        <v>9</v>
      </c>
      <c r="J136" t="s">
        <v>1964</v>
      </c>
      <c r="K136" t="s">
        <v>7705</v>
      </c>
      <c r="L136" s="2" t="s">
        <v>8401</v>
      </c>
      <c r="M136" t="s">
        <v>8405</v>
      </c>
      <c r="N136" s="5" t="s">
        <v>8438</v>
      </c>
    </row>
    <row r="137" spans="1:14" ht="52" x14ac:dyDescent="0.3">
      <c r="A137" s="1" t="str">
        <f>HYPERLINK("https://ipmanager.doe.gov/IPManager//ExternalLink.aspx?6ibkph2k9yi6F%2B0Vz7YoTq6RR9BlGHHiiBhaOHfGlSE%3D","Link")</f>
        <v>Link</v>
      </c>
      <c r="B137" s="2" t="s">
        <v>546</v>
      </c>
      <c r="C137" s="2" t="s">
        <v>523</v>
      </c>
      <c r="D137" s="2" t="s">
        <v>524</v>
      </c>
      <c r="E137" s="2" t="s">
        <v>547</v>
      </c>
      <c r="F137" s="2"/>
      <c r="G137" s="2" t="s">
        <v>9</v>
      </c>
      <c r="H137" s="7"/>
      <c r="I137" s="2" t="s">
        <v>9</v>
      </c>
      <c r="J137" t="s">
        <v>1975</v>
      </c>
      <c r="K137" t="s">
        <v>7706</v>
      </c>
      <c r="L137" s="2" t="s">
        <v>8401</v>
      </c>
      <c r="M137" t="s">
        <v>8405</v>
      </c>
      <c r="N137" s="5" t="s">
        <v>8438</v>
      </c>
    </row>
    <row r="138" spans="1:14" ht="39" x14ac:dyDescent="0.3">
      <c r="A138" s="1" t="str">
        <f>HYPERLINK("https://ipmanager.doe.gov/IPManager//ExternalLink.aspx?6ibkph2k9yi6F%2B0Vz7YoTr7J5I%2BY4foYzE0p1W3E7NU%3D","Link")</f>
        <v>Link</v>
      </c>
      <c r="B138" s="2" t="s">
        <v>548</v>
      </c>
      <c r="C138" s="2" t="s">
        <v>523</v>
      </c>
      <c r="D138" s="2" t="s">
        <v>524</v>
      </c>
      <c r="E138" s="2" t="s">
        <v>549</v>
      </c>
      <c r="F138" s="2" t="s">
        <v>550</v>
      </c>
      <c r="G138" s="2" t="s">
        <v>540</v>
      </c>
      <c r="H138" s="7">
        <v>8607562</v>
      </c>
      <c r="I138" s="2" t="s">
        <v>551</v>
      </c>
      <c r="J138" t="s">
        <v>5592</v>
      </c>
      <c r="K138" t="s">
        <v>7707</v>
      </c>
      <c r="L138" s="2" t="s">
        <v>8401</v>
      </c>
      <c r="M138" t="s">
        <v>8405</v>
      </c>
      <c r="N138" s="5" t="s">
        <v>8438</v>
      </c>
    </row>
    <row r="139" spans="1:14" ht="39" x14ac:dyDescent="0.3">
      <c r="A139" s="1" t="str">
        <f>HYPERLINK("https://ipmanager.doe.gov/IPManager//ExternalLink.aspx?6ibkph2k9yi6F%2B0Vz7YoTlNm8snv%2FZpHqZZZMaaQcoU%3D","Link")</f>
        <v>Link</v>
      </c>
      <c r="B139" s="2" t="s">
        <v>552</v>
      </c>
      <c r="C139" s="2" t="s">
        <v>523</v>
      </c>
      <c r="D139" s="2" t="s">
        <v>524</v>
      </c>
      <c r="E139" s="2" t="s">
        <v>553</v>
      </c>
      <c r="F139" s="2" t="s">
        <v>554</v>
      </c>
      <c r="G139" s="2" t="s">
        <v>540</v>
      </c>
      <c r="H139" s="7">
        <v>8844281</v>
      </c>
      <c r="I139" s="2" t="s">
        <v>555</v>
      </c>
      <c r="J139" t="s">
        <v>5988</v>
      </c>
      <c r="K139" t="s">
        <v>7708</v>
      </c>
      <c r="L139" s="2" t="s">
        <v>8401</v>
      </c>
      <c r="M139" t="s">
        <v>8405</v>
      </c>
      <c r="N139" s="5" t="s">
        <v>8438</v>
      </c>
    </row>
    <row r="140" spans="1:14" ht="39" x14ac:dyDescent="0.3">
      <c r="A140" s="1" t="str">
        <f>HYPERLINK("https://ipmanager.doe.gov/IPManager//ExternalLink.aspx?6ibkph2k9yi6F%2B0Vz7YoTjnDGhmGHGI7%2FsnvM46WEFU%3D","Link")</f>
        <v>Link</v>
      </c>
      <c r="B140" s="2" t="s">
        <v>556</v>
      </c>
      <c r="C140" s="2" t="s">
        <v>523</v>
      </c>
      <c r="D140" s="2" t="s">
        <v>524</v>
      </c>
      <c r="E140" s="2" t="s">
        <v>557</v>
      </c>
      <c r="F140" s="2" t="s">
        <v>558</v>
      </c>
      <c r="G140" s="2" t="s">
        <v>540</v>
      </c>
      <c r="H140" s="7">
        <v>8800283</v>
      </c>
      <c r="I140" s="2" t="s">
        <v>559</v>
      </c>
      <c r="J140" t="s">
        <v>5810</v>
      </c>
      <c r="K140" t="s">
        <v>7709</v>
      </c>
      <c r="L140" s="2" t="s">
        <v>8401</v>
      </c>
      <c r="M140" t="s">
        <v>8405</v>
      </c>
      <c r="N140" s="5" t="s">
        <v>8438</v>
      </c>
    </row>
    <row r="141" spans="1:14" ht="39" x14ac:dyDescent="0.3">
      <c r="A141" s="1" t="str">
        <f>HYPERLINK("https://ipmanager.doe.gov/IPManager//ExternalLink.aspx?6ibkph2k9yi6F%2B0Vz7YoTq6RR9BlGHHihNz3iN%2FgFnM%3D","Link")</f>
        <v>Link</v>
      </c>
      <c r="B141" s="2" t="s">
        <v>522</v>
      </c>
      <c r="C141" s="2" t="s">
        <v>523</v>
      </c>
      <c r="D141" s="2" t="s">
        <v>524</v>
      </c>
      <c r="E141" s="2" t="s">
        <v>525</v>
      </c>
      <c r="F141" s="2" t="s">
        <v>526</v>
      </c>
      <c r="G141" s="2" t="s">
        <v>527</v>
      </c>
      <c r="H141" s="7"/>
      <c r="I141" s="2" t="s">
        <v>9</v>
      </c>
      <c r="K141" t="e">
        <v>#N/A</v>
      </c>
      <c r="L141" s="2" t="s">
        <v>8401</v>
      </c>
      <c r="M141" t="s">
        <v>8405</v>
      </c>
      <c r="N141" s="5" t="s">
        <v>8438</v>
      </c>
    </row>
    <row r="142" spans="1:14" ht="26" x14ac:dyDescent="0.3">
      <c r="A142" s="1" t="str">
        <f>HYPERLINK("https://ipmanager.doe.gov/IPManager//ExternalLink.aspx?6ibkph2k9yi6F%2B0Vz7YoTq6RR9BlGHHiIdOM3wuHjgQ%3D","Link")</f>
        <v>Link</v>
      </c>
      <c r="B142" s="2" t="s">
        <v>528</v>
      </c>
      <c r="C142" s="2" t="s">
        <v>523</v>
      </c>
      <c r="D142" s="2" t="s">
        <v>524</v>
      </c>
      <c r="E142" s="2" t="s">
        <v>529</v>
      </c>
      <c r="F142" s="2" t="s">
        <v>530</v>
      </c>
      <c r="G142" s="2" t="s">
        <v>527</v>
      </c>
      <c r="H142" s="7"/>
      <c r="I142" s="2" t="s">
        <v>9</v>
      </c>
      <c r="K142" t="e">
        <v>#N/A</v>
      </c>
      <c r="L142" s="2" t="s">
        <v>8401</v>
      </c>
      <c r="M142" t="s">
        <v>8405</v>
      </c>
      <c r="N142" s="5" t="s">
        <v>8438</v>
      </c>
    </row>
    <row r="143" spans="1:14" ht="52" x14ac:dyDescent="0.3">
      <c r="A143" s="1" t="str">
        <f>HYPERLINK("https://ipmanager.doe.gov/IPManager//ExternalLink.aspx?6ibkph2k9yi6F%2B0Vz7YoTq6RR9BlGHHieN%2B9a%2BCnHPo%3D","Link")</f>
        <v>Link</v>
      </c>
      <c r="B143" s="2" t="s">
        <v>531</v>
      </c>
      <c r="C143" s="2" t="s">
        <v>523</v>
      </c>
      <c r="D143" s="2" t="s">
        <v>524</v>
      </c>
      <c r="E143" s="2" t="s">
        <v>532</v>
      </c>
      <c r="F143" s="2" t="s">
        <v>533</v>
      </c>
      <c r="G143" s="2" t="s">
        <v>527</v>
      </c>
      <c r="H143" s="7"/>
      <c r="I143" s="2" t="s">
        <v>9</v>
      </c>
      <c r="K143" t="e">
        <v>#N/A</v>
      </c>
      <c r="L143" s="2" t="s">
        <v>8401</v>
      </c>
      <c r="M143" t="s">
        <v>8405</v>
      </c>
      <c r="N143" s="5" t="s">
        <v>8438</v>
      </c>
    </row>
    <row r="144" spans="1:14" ht="52" x14ac:dyDescent="0.3">
      <c r="A144" s="1" t="str">
        <f>HYPERLINK("https://ipmanager.doe.gov/IPManager//ExternalLink.aspx?6ibkph2k9yi6F%2B0Vz7YoTq6RR9BlGHHiv6gcdD3zYTU%3D","Link")</f>
        <v>Link</v>
      </c>
      <c r="B144" s="2" t="s">
        <v>534</v>
      </c>
      <c r="C144" s="2" t="s">
        <v>523</v>
      </c>
      <c r="D144" s="2" t="s">
        <v>524</v>
      </c>
      <c r="E144" s="2" t="s">
        <v>535</v>
      </c>
      <c r="F144" s="2" t="s">
        <v>536</v>
      </c>
      <c r="G144" s="2" t="s">
        <v>527</v>
      </c>
      <c r="H144" s="7"/>
      <c r="I144" s="2" t="s">
        <v>9</v>
      </c>
      <c r="K144" t="e">
        <v>#N/A</v>
      </c>
      <c r="L144" s="2" t="s">
        <v>8401</v>
      </c>
      <c r="M144" t="s">
        <v>8405</v>
      </c>
      <c r="N144" s="5" t="s">
        <v>8438</v>
      </c>
    </row>
    <row r="145" spans="1:14" ht="26" x14ac:dyDescent="0.3">
      <c r="A145" s="1" t="str">
        <f>HYPERLINK("https://ipmanager.doe.gov/IPManager//ExternalLink.aspx?6ibkph2k9yi6F%2B0Vz7YoTq6RR9BlGHHilumRFhmo%2BsU%3D","Link")</f>
        <v>Link</v>
      </c>
      <c r="B145" s="2" t="s">
        <v>542</v>
      </c>
      <c r="C145" s="2" t="s">
        <v>523</v>
      </c>
      <c r="D145" s="2" t="s">
        <v>524</v>
      </c>
      <c r="E145" s="2" t="s">
        <v>538</v>
      </c>
      <c r="F145" s="2" t="s">
        <v>543</v>
      </c>
      <c r="G145" s="2" t="s">
        <v>527</v>
      </c>
      <c r="H145" s="7"/>
      <c r="I145" s="2" t="s">
        <v>9</v>
      </c>
      <c r="K145" t="e">
        <v>#N/A</v>
      </c>
      <c r="L145" s="2" t="s">
        <v>8401</v>
      </c>
      <c r="M145" t="s">
        <v>8405</v>
      </c>
      <c r="N145" s="5" t="s">
        <v>8438</v>
      </c>
    </row>
    <row r="146" spans="1:14" ht="52" x14ac:dyDescent="0.3">
      <c r="A146" s="1" t="str">
        <f>HYPERLINK("https://ipmanager.doe.gov/IPManager//ExternalLink.aspx?6ibkph2k9yi6F%2B0Vz7YoTr7J5I%2BY4foYIIzawIfgWPw%3D","Link")</f>
        <v>Link</v>
      </c>
      <c r="B146" s="2" t="s">
        <v>560</v>
      </c>
      <c r="C146" s="2" t="s">
        <v>561</v>
      </c>
      <c r="D146" s="2" t="s">
        <v>562</v>
      </c>
      <c r="E146" s="2" t="s">
        <v>563</v>
      </c>
      <c r="F146" s="2"/>
      <c r="G146" s="2" t="s">
        <v>9</v>
      </c>
      <c r="H146" s="7"/>
      <c r="I146" s="2" t="s">
        <v>9</v>
      </c>
      <c r="J146" t="s">
        <v>810</v>
      </c>
      <c r="K146" t="s">
        <v>7710</v>
      </c>
      <c r="L146" s="2" t="s">
        <v>8461</v>
      </c>
      <c r="M146" t="s">
        <v>7999</v>
      </c>
      <c r="N146" s="4"/>
    </row>
    <row r="147" spans="1:14" ht="26" x14ac:dyDescent="0.3">
      <c r="A147" s="1" t="str">
        <f>HYPERLINK("https://ipmanager.doe.gov/IPManager//ExternalLink.aspx?6ibkph2k9yi6F%2B0Vz7YoTgZwfmYxrNyKM8UtR1gV%2B1U%3D","Link")</f>
        <v>Link</v>
      </c>
      <c r="B147" s="2" t="s">
        <v>564</v>
      </c>
      <c r="C147" s="2" t="s">
        <v>565</v>
      </c>
      <c r="D147" s="2" t="s">
        <v>566</v>
      </c>
      <c r="E147" s="2" t="s">
        <v>567</v>
      </c>
      <c r="F147" s="2" t="s">
        <v>7604</v>
      </c>
      <c r="G147" s="2" t="s">
        <v>568</v>
      </c>
      <c r="H147" s="7"/>
      <c r="I147" s="2" t="s">
        <v>9</v>
      </c>
      <c r="J147" t="s">
        <v>4239</v>
      </c>
      <c r="K147" t="s">
        <v>7711</v>
      </c>
      <c r="L147" s="2" t="s">
        <v>8462</v>
      </c>
      <c r="M147" t="s">
        <v>8000</v>
      </c>
      <c r="N147" s="4"/>
    </row>
    <row r="148" spans="1:14" ht="39" x14ac:dyDescent="0.3">
      <c r="A148" s="1" t="str">
        <f>HYPERLINK("https://ipmanager.doe.gov/IPManager//ExternalLink.aspx?6ibkph2k9yi6F%2B0Vz7YoTjN2oADz%2F5MxDnfJOKi3MD0%3D","Link")</f>
        <v>Link</v>
      </c>
      <c r="B148" s="2" t="s">
        <v>569</v>
      </c>
      <c r="C148" s="2" t="s">
        <v>565</v>
      </c>
      <c r="D148" s="2" t="s">
        <v>566</v>
      </c>
      <c r="E148" s="2" t="s">
        <v>570</v>
      </c>
      <c r="F148" s="2" t="s">
        <v>7607</v>
      </c>
      <c r="G148" s="2" t="s">
        <v>571</v>
      </c>
      <c r="H148" s="7">
        <v>9464333</v>
      </c>
      <c r="I148" s="2" t="s">
        <v>572</v>
      </c>
      <c r="J148" t="s">
        <v>861</v>
      </c>
      <c r="K148" t="s">
        <v>7712</v>
      </c>
      <c r="L148" s="2" t="s">
        <v>8462</v>
      </c>
      <c r="M148" t="s">
        <v>8000</v>
      </c>
    </row>
    <row r="149" spans="1:14" ht="26" x14ac:dyDescent="0.3">
      <c r="A149" s="1" t="str">
        <f>HYPERLINK("https://ipmanager.doe.gov/IPManager//ExternalLink.aspx?6ibkph2k9yi6F%2B0Vz7YoTgZwfmYxrNyKTg7hT2qntkQ%3D","Link")</f>
        <v>Link</v>
      </c>
      <c r="B149" s="2" t="s">
        <v>573</v>
      </c>
      <c r="C149" s="2" t="s">
        <v>565</v>
      </c>
      <c r="D149" s="2" t="s">
        <v>566</v>
      </c>
      <c r="E149" s="2" t="s">
        <v>567</v>
      </c>
      <c r="F149" s="2"/>
      <c r="G149" s="2" t="s">
        <v>9</v>
      </c>
      <c r="H149" s="7"/>
      <c r="I149" s="2" t="s">
        <v>9</v>
      </c>
      <c r="J149" t="s">
        <v>863</v>
      </c>
      <c r="K149" t="s">
        <v>7713</v>
      </c>
      <c r="L149" s="2" t="s">
        <v>8462</v>
      </c>
      <c r="M149" t="s">
        <v>8000</v>
      </c>
      <c r="N149" s="4"/>
    </row>
    <row r="150" spans="1:14" ht="65" x14ac:dyDescent="0.3">
      <c r="A150" s="1" t="str">
        <f>HYPERLINK("https://ipmanager.doe.gov/IPManager//ExternalLink.aspx?6ibkph2k9yi6F%2B0Vz7YoTgZwfmYxrNyKhlhvVjQzFCw%3D","Link")</f>
        <v>Link</v>
      </c>
      <c r="B150" s="2" t="s">
        <v>574</v>
      </c>
      <c r="C150" s="2" t="s">
        <v>565</v>
      </c>
      <c r="D150" s="2" t="s">
        <v>566</v>
      </c>
      <c r="E150" s="2" t="s">
        <v>575</v>
      </c>
      <c r="F150" s="2" t="s">
        <v>576</v>
      </c>
      <c r="G150" s="2" t="s">
        <v>300</v>
      </c>
      <c r="H150" s="8">
        <v>9249474</v>
      </c>
      <c r="I150" s="2" t="s">
        <v>577</v>
      </c>
      <c r="J150" t="s">
        <v>865</v>
      </c>
      <c r="K150" t="e">
        <v>#N/A</v>
      </c>
      <c r="L150" s="2" t="s">
        <v>8462</v>
      </c>
      <c r="M150" t="s">
        <v>8000</v>
      </c>
    </row>
    <row r="151" spans="1:14" ht="65" x14ac:dyDescent="0.3">
      <c r="A151" s="1" t="str">
        <f>HYPERLINK("https://ipmanager.doe.gov/IPManager//ExternalLink.aspx?6ibkph2k9yi6F%2B0Vz7YoTo7DPLa3%2F%2FGgifPvVcUWtzA%3D","Link")</f>
        <v>Link</v>
      </c>
      <c r="B151" s="2" t="s">
        <v>578</v>
      </c>
      <c r="C151" s="2" t="s">
        <v>579</v>
      </c>
      <c r="D151" s="2" t="s">
        <v>580</v>
      </c>
      <c r="E151" s="2" t="s">
        <v>581</v>
      </c>
      <c r="F151" s="2" t="s">
        <v>582</v>
      </c>
      <c r="G151" s="2" t="s">
        <v>583</v>
      </c>
      <c r="H151" s="2">
        <v>9244235</v>
      </c>
      <c r="I151" s="2" t="s">
        <v>584</v>
      </c>
      <c r="J151" t="s">
        <v>873</v>
      </c>
      <c r="K151" t="s">
        <v>7714</v>
      </c>
      <c r="L151" s="2" t="s">
        <v>8463</v>
      </c>
      <c r="M151" t="s">
        <v>8001</v>
      </c>
    </row>
    <row r="152" spans="1:14" ht="52" x14ac:dyDescent="0.3">
      <c r="A152" s="1" t="str">
        <f>HYPERLINK("https://ipmanager.doe.gov/IPManager//ExternalLink.aspx?6ibkph2k9yi6F%2B0Vz7YoTjnDGhmGHGI7gag6nrqTBc8%3D","Link")</f>
        <v>Link</v>
      </c>
      <c r="B152" s="2" t="s">
        <v>585</v>
      </c>
      <c r="C152" s="2" t="s">
        <v>579</v>
      </c>
      <c r="D152" s="2" t="s">
        <v>580</v>
      </c>
      <c r="E152" s="2" t="s">
        <v>586</v>
      </c>
      <c r="F152" s="2" t="s">
        <v>587</v>
      </c>
      <c r="G152" s="2" t="s">
        <v>588</v>
      </c>
      <c r="H152" s="2">
        <v>9027668</v>
      </c>
      <c r="I152" s="2" t="s">
        <v>507</v>
      </c>
      <c r="J152" t="s">
        <v>1053</v>
      </c>
      <c r="K152" t="s">
        <v>7715</v>
      </c>
      <c r="L152" s="2" t="s">
        <v>8463</v>
      </c>
      <c r="M152" t="s">
        <v>8001</v>
      </c>
    </row>
    <row r="153" spans="1:14" ht="52" x14ac:dyDescent="0.3">
      <c r="A153" s="1" t="str">
        <f>HYPERLINK("https://ipmanager.doe.gov/IPManager//ExternalLink.aspx?6ibkph2k9yi6F%2B0Vz7YoTlNm8snv%2FZpHrJ6jdXQsrzo%3D","Link")</f>
        <v>Link</v>
      </c>
      <c r="B153" s="2" t="s">
        <v>593</v>
      </c>
      <c r="C153" s="2" t="s">
        <v>579</v>
      </c>
      <c r="D153" s="2" t="s">
        <v>580</v>
      </c>
      <c r="E153" s="2" t="s">
        <v>594</v>
      </c>
      <c r="F153" s="2" t="s">
        <v>595</v>
      </c>
      <c r="G153" s="2" t="s">
        <v>596</v>
      </c>
      <c r="H153" s="2">
        <v>9360643</v>
      </c>
      <c r="I153" s="2" t="s">
        <v>597</v>
      </c>
      <c r="J153" t="s">
        <v>2302</v>
      </c>
      <c r="K153" t="s">
        <v>7716</v>
      </c>
      <c r="L153" s="2" t="s">
        <v>8463</v>
      </c>
      <c r="M153" t="s">
        <v>8001</v>
      </c>
    </row>
    <row r="154" spans="1:14" ht="65" x14ac:dyDescent="0.3">
      <c r="A154" s="1" t="str">
        <f>HYPERLINK("https://ipmanager.doe.gov/IPManager//ExternalLink.aspx?6ibkph2k9yi6F%2B0Vz7YoTr7J5I%2BY4foYu26ik16eKy8%3D","Link")</f>
        <v>Link</v>
      </c>
      <c r="B154" s="2" t="s">
        <v>602</v>
      </c>
      <c r="C154" s="2" t="s">
        <v>579</v>
      </c>
      <c r="D154" s="2" t="s">
        <v>580</v>
      </c>
      <c r="E154" s="2" t="s">
        <v>603</v>
      </c>
      <c r="F154" s="2" t="s">
        <v>604</v>
      </c>
      <c r="G154" s="2" t="s">
        <v>605</v>
      </c>
      <c r="H154" s="2">
        <v>8571368</v>
      </c>
      <c r="I154" s="2" t="s">
        <v>606</v>
      </c>
      <c r="J154" t="s">
        <v>2458</v>
      </c>
      <c r="K154" t="e">
        <v>#N/A</v>
      </c>
      <c r="L154" s="2" t="s">
        <v>8463</v>
      </c>
      <c r="M154" t="s">
        <v>8001</v>
      </c>
    </row>
    <row r="155" spans="1:14" ht="26" x14ac:dyDescent="0.3">
      <c r="A155" s="1" t="str">
        <f>HYPERLINK("https://ipmanager.doe.gov/IPManager//ExternalLink.aspx?6ibkph2k9yi6F%2B0Vz7YoTlNm8snv%2FZpHsXxRm7uAKoo%3D","Link")</f>
        <v>Link</v>
      </c>
      <c r="B155" s="2" t="s">
        <v>610</v>
      </c>
      <c r="C155" s="2" t="s">
        <v>579</v>
      </c>
      <c r="D155" s="2" t="s">
        <v>580</v>
      </c>
      <c r="E155" s="2" t="s">
        <v>611</v>
      </c>
      <c r="F155" s="2" t="s">
        <v>612</v>
      </c>
      <c r="G155" s="2" t="s">
        <v>588</v>
      </c>
      <c r="H155" s="2">
        <v>9360631</v>
      </c>
      <c r="I155" s="2" t="s">
        <v>597</v>
      </c>
      <c r="J155" t="s">
        <v>2465</v>
      </c>
      <c r="K155" t="s">
        <v>7717</v>
      </c>
      <c r="L155" s="2" t="s">
        <v>8463</v>
      </c>
      <c r="M155" t="s">
        <v>8001</v>
      </c>
    </row>
    <row r="156" spans="1:14" ht="39" x14ac:dyDescent="0.3">
      <c r="A156" s="1" t="str">
        <f>HYPERLINK("https://ipmanager.doe.gov/IPManager//ExternalLink.aspx?6ibkph2k9yi6F%2B0Vz7YoTlNm8snv%2FZpHOVEus%2BIBQLE%3D","Link")</f>
        <v>Link</v>
      </c>
      <c r="B156" s="2" t="s">
        <v>613</v>
      </c>
      <c r="C156" s="2" t="s">
        <v>579</v>
      </c>
      <c r="D156" s="2" t="s">
        <v>580</v>
      </c>
      <c r="E156" s="2" t="s">
        <v>614</v>
      </c>
      <c r="F156" s="2" t="s">
        <v>615</v>
      </c>
      <c r="G156" s="2" t="s">
        <v>588</v>
      </c>
      <c r="H156" s="2">
        <v>9562395</v>
      </c>
      <c r="I156" s="2" t="s">
        <v>9</v>
      </c>
      <c r="J156" t="s">
        <v>2711</v>
      </c>
      <c r="K156" t="s">
        <v>7718</v>
      </c>
      <c r="L156" s="2" t="s">
        <v>8463</v>
      </c>
      <c r="M156" t="s">
        <v>8001</v>
      </c>
    </row>
    <row r="157" spans="1:14" ht="65" x14ac:dyDescent="0.3">
      <c r="A157" s="1" t="str">
        <f>HYPERLINK("https://ipmanager.doe.gov/IPManager//ExternalLink.aspx?6ibkph2k9yi6F%2B0Vz7YoTlNm8snv%2FZpHiOXrP6Ssahw%3D","Link")</f>
        <v>Link</v>
      </c>
      <c r="B157" s="2" t="s">
        <v>616</v>
      </c>
      <c r="C157" s="2" t="s">
        <v>579</v>
      </c>
      <c r="D157" s="2" t="s">
        <v>580</v>
      </c>
      <c r="E157" s="2" t="s">
        <v>617</v>
      </c>
      <c r="F157" s="2" t="s">
        <v>618</v>
      </c>
      <c r="G157" s="2" t="s">
        <v>588</v>
      </c>
      <c r="H157" s="2"/>
      <c r="I157" s="2" t="s">
        <v>9</v>
      </c>
      <c r="J157" t="s">
        <v>2925</v>
      </c>
      <c r="K157" t="s">
        <v>7719</v>
      </c>
      <c r="L157" s="2" t="s">
        <v>8463</v>
      </c>
      <c r="M157" t="s">
        <v>8001</v>
      </c>
      <c r="N157" s="4"/>
    </row>
    <row r="158" spans="1:14" ht="26" x14ac:dyDescent="0.3">
      <c r="A158" s="1" t="str">
        <f>HYPERLINK("https://ipmanager.doe.gov/IPManager//ExternalLink.aspx?6ibkph2k9yi6F%2B0Vz7YoTlNm8snv%2FZpHvmeCF8egjBQ%3D","Link")</f>
        <v>Link</v>
      </c>
      <c r="B158" s="2" t="s">
        <v>622</v>
      </c>
      <c r="C158" s="2" t="s">
        <v>579</v>
      </c>
      <c r="D158" s="2" t="s">
        <v>580</v>
      </c>
      <c r="E158" s="2" t="s">
        <v>623</v>
      </c>
      <c r="F158" s="2" t="s">
        <v>624</v>
      </c>
      <c r="G158" s="2" t="s">
        <v>588</v>
      </c>
      <c r="H158" s="2">
        <v>9074422</v>
      </c>
      <c r="I158" s="2" t="s">
        <v>625</v>
      </c>
      <c r="J158" t="s">
        <v>5207</v>
      </c>
      <c r="K158" t="s">
        <v>7720</v>
      </c>
      <c r="L158" s="2" t="s">
        <v>8463</v>
      </c>
      <c r="M158" t="s">
        <v>8001</v>
      </c>
    </row>
    <row r="159" spans="1:14" ht="65" x14ac:dyDescent="0.3">
      <c r="A159" s="1" t="str">
        <f>HYPERLINK("https://ipmanager.doe.gov/IPManager//ExternalLink.aspx?6ibkph2k9yi6F%2B0Vz7YoTlNm8snv%2FZpH1iLRHb7a3rA%3D","Link")</f>
        <v>Link</v>
      </c>
      <c r="B159" s="2" t="s">
        <v>630</v>
      </c>
      <c r="C159" s="2" t="s">
        <v>579</v>
      </c>
      <c r="D159" s="2" t="s">
        <v>580</v>
      </c>
      <c r="E159" s="2" t="s">
        <v>617</v>
      </c>
      <c r="F159" s="2" t="s">
        <v>618</v>
      </c>
      <c r="G159" s="2" t="s">
        <v>588</v>
      </c>
      <c r="H159" s="2">
        <v>9267330</v>
      </c>
      <c r="I159" s="2" t="s">
        <v>631</v>
      </c>
      <c r="J159" t="s">
        <v>2811</v>
      </c>
      <c r="K159" t="s">
        <v>7721</v>
      </c>
      <c r="L159" s="2" t="s">
        <v>8463</v>
      </c>
      <c r="M159" t="s">
        <v>8001</v>
      </c>
    </row>
    <row r="160" spans="1:14" ht="52" x14ac:dyDescent="0.3">
      <c r="A160" s="1" t="str">
        <f>HYPERLINK("https://ipmanager.doe.gov/IPManager//ExternalLink.aspx?6ibkph2k9yi6F%2B0Vz7YoTjN2oADz%2F5Mxlgt60ob5EQw%3D","Link")</f>
        <v>Link</v>
      </c>
      <c r="B160" s="2" t="s">
        <v>642</v>
      </c>
      <c r="C160" s="2" t="s">
        <v>579</v>
      </c>
      <c r="D160" s="2" t="s">
        <v>580</v>
      </c>
      <c r="E160" s="2" t="s">
        <v>586</v>
      </c>
      <c r="F160" s="2" t="s">
        <v>587</v>
      </c>
      <c r="G160" s="2" t="s">
        <v>588</v>
      </c>
      <c r="H160" s="2">
        <v>9027668</v>
      </c>
      <c r="I160" s="2" t="s">
        <v>507</v>
      </c>
      <c r="J160" t="s">
        <v>3202</v>
      </c>
      <c r="K160" t="s">
        <v>7722</v>
      </c>
      <c r="L160" s="2" t="s">
        <v>8463</v>
      </c>
      <c r="M160" t="s">
        <v>8001</v>
      </c>
    </row>
    <row r="161" spans="1:14" ht="26" x14ac:dyDescent="0.3">
      <c r="A161" s="1" t="str">
        <f>HYPERLINK("https://ipmanager.doe.gov/IPManager//ExternalLink.aspx?6ibkph2k9yi6F%2B0Vz7YoTjN2oADz%2F5MxI%2BW0dvEr%2FzE%3D","Link")</f>
        <v>Link</v>
      </c>
      <c r="B161" s="2" t="s">
        <v>650</v>
      </c>
      <c r="C161" s="2" t="s">
        <v>579</v>
      </c>
      <c r="D161" s="2" t="s">
        <v>580</v>
      </c>
      <c r="E161" s="2" t="s">
        <v>651</v>
      </c>
      <c r="F161" s="2"/>
      <c r="G161" s="2" t="s">
        <v>9</v>
      </c>
      <c r="H161" s="2"/>
      <c r="I161" s="2" t="s">
        <v>9</v>
      </c>
      <c r="J161" t="s">
        <v>4234</v>
      </c>
      <c r="K161" t="s">
        <v>7723</v>
      </c>
      <c r="L161" s="2" t="s">
        <v>8463</v>
      </c>
      <c r="M161" t="s">
        <v>8001</v>
      </c>
      <c r="N161" s="4"/>
    </row>
    <row r="162" spans="1:14" ht="52" x14ac:dyDescent="0.3">
      <c r="A162" s="1" t="str">
        <f>HYPERLINK("https://ipmanager.doe.gov/IPManager//ExternalLink.aspx?6ibkph2k9yi6F%2B0Vz7YoTjN2oADz%2F5MxtLfZGbZW%2BJY%3D","Link")</f>
        <v>Link</v>
      </c>
      <c r="B162" s="2" t="s">
        <v>661</v>
      </c>
      <c r="C162" s="2" t="s">
        <v>579</v>
      </c>
      <c r="D162" s="2" t="s">
        <v>580</v>
      </c>
      <c r="E162" s="2" t="s">
        <v>662</v>
      </c>
      <c r="F162" s="2" t="s">
        <v>663</v>
      </c>
      <c r="G162" s="2" t="s">
        <v>664</v>
      </c>
      <c r="H162" s="2">
        <v>9347271</v>
      </c>
      <c r="I162" s="2" t="s">
        <v>665</v>
      </c>
      <c r="J162" t="s">
        <v>6235</v>
      </c>
      <c r="K162" t="s">
        <v>7724</v>
      </c>
      <c r="L162" s="2" t="s">
        <v>8463</v>
      </c>
      <c r="M162" t="s">
        <v>8001</v>
      </c>
    </row>
    <row r="163" spans="1:14" ht="52" x14ac:dyDescent="0.3">
      <c r="A163" s="1" t="str">
        <f>HYPERLINK("https://ipmanager.doe.gov/IPManager//ExternalLink.aspx?6ibkph2k9yi6F%2B0Vz7YoTo7DPLa3%2F%2FGghjQJ9%2BFvEas%3D","Link")</f>
        <v>Link</v>
      </c>
      <c r="B163" s="2" t="s">
        <v>685</v>
      </c>
      <c r="C163" s="2" t="s">
        <v>579</v>
      </c>
      <c r="D163" s="2" t="s">
        <v>580</v>
      </c>
      <c r="E163" s="2" t="s">
        <v>686</v>
      </c>
      <c r="F163" s="2" t="s">
        <v>687</v>
      </c>
      <c r="G163" s="2" t="s">
        <v>688</v>
      </c>
      <c r="H163" s="2">
        <v>9284783</v>
      </c>
      <c r="I163" s="2" t="s">
        <v>689</v>
      </c>
      <c r="J163" t="s">
        <v>3651</v>
      </c>
      <c r="K163" t="s">
        <v>7725</v>
      </c>
      <c r="L163" s="2" t="s">
        <v>8463</v>
      </c>
      <c r="M163" t="s">
        <v>8001</v>
      </c>
    </row>
    <row r="164" spans="1:14" ht="26" x14ac:dyDescent="0.3">
      <c r="A164" s="1" t="str">
        <f>HYPERLINK("https://ipmanager.doe.gov/IPManager//ExternalLink.aspx?6ibkph2k9yi6F%2B0Vz7YoTlNm8snv%2FZpHYSGgIO0dbC4%3D","Link")</f>
        <v>Link</v>
      </c>
      <c r="B164" s="2" t="s">
        <v>690</v>
      </c>
      <c r="C164" s="2" t="s">
        <v>579</v>
      </c>
      <c r="D164" s="2" t="s">
        <v>580</v>
      </c>
      <c r="E164" s="2" t="s">
        <v>691</v>
      </c>
      <c r="F164" s="2" t="s">
        <v>692</v>
      </c>
      <c r="G164" s="2" t="s">
        <v>693</v>
      </c>
      <c r="H164" s="2">
        <v>9242309</v>
      </c>
      <c r="I164" s="2" t="s">
        <v>584</v>
      </c>
      <c r="J164" t="s">
        <v>3655</v>
      </c>
      <c r="K164" t="s">
        <v>7726</v>
      </c>
      <c r="L164" s="2" t="s">
        <v>8463</v>
      </c>
      <c r="M164" t="s">
        <v>8001</v>
      </c>
    </row>
    <row r="165" spans="1:14" ht="65" x14ac:dyDescent="0.3">
      <c r="A165" s="1" t="str">
        <f>HYPERLINK("https://ipmanager.doe.gov/IPManager//ExternalLink.aspx?6ibkph2k9yi6F%2B0Vz7YoTjnDGhmGHGI7QQKyV46iVCY%3D","Link")</f>
        <v>Link</v>
      </c>
      <c r="B165" s="2" t="s">
        <v>697</v>
      </c>
      <c r="C165" s="2" t="s">
        <v>579</v>
      </c>
      <c r="D165" s="2" t="s">
        <v>580</v>
      </c>
      <c r="E165" s="2" t="s">
        <v>698</v>
      </c>
      <c r="F165" s="2" t="s">
        <v>699</v>
      </c>
      <c r="G165" s="2" t="s">
        <v>700</v>
      </c>
      <c r="H165" s="2">
        <v>8997894</v>
      </c>
      <c r="I165" s="2" t="s">
        <v>437</v>
      </c>
      <c r="J165" t="s">
        <v>5743</v>
      </c>
      <c r="K165" t="s">
        <v>7727</v>
      </c>
      <c r="L165" s="2" t="s">
        <v>8463</v>
      </c>
      <c r="M165" t="s">
        <v>8001</v>
      </c>
    </row>
    <row r="166" spans="1:14" ht="52" x14ac:dyDescent="0.3">
      <c r="A166" s="1" t="str">
        <f>HYPERLINK("https://ipmanager.doe.gov/IPManager//ExternalLink.aspx?6ibkph2k9yi6F%2B0Vz7YoTjnDGhmGHGI715WlwnkZJok%3D","Link")</f>
        <v>Link</v>
      </c>
      <c r="B166" s="2" t="s">
        <v>705</v>
      </c>
      <c r="C166" s="2" t="s">
        <v>579</v>
      </c>
      <c r="D166" s="2" t="s">
        <v>580</v>
      </c>
      <c r="E166" s="2" t="s">
        <v>706</v>
      </c>
      <c r="F166" s="2" t="s">
        <v>707</v>
      </c>
      <c r="G166" s="2" t="s">
        <v>679</v>
      </c>
      <c r="H166" s="2">
        <v>8662160</v>
      </c>
      <c r="I166" s="2" t="s">
        <v>708</v>
      </c>
      <c r="J166" t="s">
        <v>5748</v>
      </c>
      <c r="K166" t="s">
        <v>7666</v>
      </c>
      <c r="L166" s="2" t="s">
        <v>8463</v>
      </c>
      <c r="M166" t="s">
        <v>8001</v>
      </c>
    </row>
    <row r="167" spans="1:14" ht="26" x14ac:dyDescent="0.3">
      <c r="A167" s="1" t="str">
        <f>HYPERLINK("https://ipmanager.doe.gov/IPManager//ExternalLink.aspx?6ibkph2k9yi6F%2B0Vz7YoTjN2oADz%2F5MxAGHWEXe2bZ8%3D","Link")</f>
        <v>Link</v>
      </c>
      <c r="B167" s="2" t="s">
        <v>709</v>
      </c>
      <c r="C167" s="2" t="s">
        <v>579</v>
      </c>
      <c r="D167" s="2" t="s">
        <v>580</v>
      </c>
      <c r="E167" s="2" t="s">
        <v>710</v>
      </c>
      <c r="F167" s="2" t="s">
        <v>711</v>
      </c>
      <c r="G167" s="2" t="s">
        <v>712</v>
      </c>
      <c r="H167" s="2">
        <v>8627901</v>
      </c>
      <c r="I167" s="2" t="s">
        <v>713</v>
      </c>
      <c r="J167" t="s">
        <v>5751</v>
      </c>
      <c r="K167" t="s">
        <v>7728</v>
      </c>
      <c r="L167" s="2" t="s">
        <v>8463</v>
      </c>
      <c r="M167" t="s">
        <v>8001</v>
      </c>
    </row>
    <row r="168" spans="1:14" ht="65" x14ac:dyDescent="0.3">
      <c r="A168" s="1" t="str">
        <f>HYPERLINK("https://ipmanager.doe.gov/IPManager//ExternalLink.aspx?6ibkph2k9yi6F%2B0Vz7YoTjN2oADz%2F5MxYgRahxhmLC4%3D","Link")</f>
        <v>Link</v>
      </c>
      <c r="B168" s="2" t="s">
        <v>714</v>
      </c>
      <c r="C168" s="2" t="s">
        <v>579</v>
      </c>
      <c r="D168" s="2" t="s">
        <v>580</v>
      </c>
      <c r="E168" s="2" t="s">
        <v>715</v>
      </c>
      <c r="F168" s="2" t="s">
        <v>716</v>
      </c>
      <c r="G168" s="2" t="s">
        <v>717</v>
      </c>
      <c r="H168" s="2">
        <v>8879876</v>
      </c>
      <c r="I168" s="2" t="s">
        <v>461</v>
      </c>
      <c r="J168" t="s">
        <v>6402</v>
      </c>
      <c r="K168" t="s">
        <v>7729</v>
      </c>
      <c r="L168" s="2" t="s">
        <v>8463</v>
      </c>
      <c r="M168" t="s">
        <v>8001</v>
      </c>
    </row>
    <row r="169" spans="1:14" ht="52" x14ac:dyDescent="0.3">
      <c r="A169" s="1" t="str">
        <f>HYPERLINK("https://ipmanager.doe.gov/IPManager//ExternalLink.aspx?6ibkph2k9yi6F%2B0Vz7YoTjN2oADz%2F5MxIkzClWBAFYA%3D","Link")</f>
        <v>Link</v>
      </c>
      <c r="B169" s="2" t="s">
        <v>718</v>
      </c>
      <c r="C169" s="2" t="s">
        <v>579</v>
      </c>
      <c r="D169" s="2" t="s">
        <v>580</v>
      </c>
      <c r="E169" s="2" t="s">
        <v>719</v>
      </c>
      <c r="F169" s="2" t="s">
        <v>720</v>
      </c>
      <c r="G169" s="2" t="s">
        <v>704</v>
      </c>
      <c r="H169" s="2">
        <v>8636085</v>
      </c>
      <c r="I169" s="2" t="s">
        <v>259</v>
      </c>
      <c r="J169" t="s">
        <v>6557</v>
      </c>
      <c r="K169" t="s">
        <v>7730</v>
      </c>
      <c r="L169" s="2" t="s">
        <v>8463</v>
      </c>
      <c r="M169" t="s">
        <v>8001</v>
      </c>
    </row>
    <row r="170" spans="1:14" ht="52" x14ac:dyDescent="0.3">
      <c r="A170" s="1" t="str">
        <f>HYPERLINK("https://ipmanager.doe.gov/IPManager//ExternalLink.aspx?6ibkph2k9yi6F%2B0Vz7YoTjN2oADz%2F5Mxgp2AM6NfHg0%3D","Link")</f>
        <v>Link</v>
      </c>
      <c r="B170" s="2" t="s">
        <v>721</v>
      </c>
      <c r="C170" s="2" t="s">
        <v>579</v>
      </c>
      <c r="D170" s="2" t="s">
        <v>580</v>
      </c>
      <c r="E170" s="2" t="s">
        <v>722</v>
      </c>
      <c r="F170" s="2" t="s">
        <v>723</v>
      </c>
      <c r="G170" s="2" t="s">
        <v>704</v>
      </c>
      <c r="H170" s="2">
        <v>8826973</v>
      </c>
      <c r="I170" s="2" t="s">
        <v>724</v>
      </c>
      <c r="J170" t="s">
        <v>6564</v>
      </c>
      <c r="K170" t="s">
        <v>7731</v>
      </c>
      <c r="L170" s="2" t="s">
        <v>8463</v>
      </c>
      <c r="M170" t="s">
        <v>8001</v>
      </c>
    </row>
    <row r="171" spans="1:14" ht="39" x14ac:dyDescent="0.3">
      <c r="A171" s="1" t="str">
        <f>HYPERLINK("https://ipmanager.doe.gov/IPManager//ExternalLink.aspx?6ibkph2k9yi6F%2B0Vz7YoTjN2oADz%2F5MxjLiPqUAcrzY%3D","Link")</f>
        <v>Link</v>
      </c>
      <c r="B171" s="2" t="s">
        <v>725</v>
      </c>
      <c r="C171" s="2" t="s">
        <v>579</v>
      </c>
      <c r="D171" s="2" t="s">
        <v>580</v>
      </c>
      <c r="E171" s="2" t="s">
        <v>726</v>
      </c>
      <c r="F171" s="2" t="s">
        <v>727</v>
      </c>
      <c r="G171" s="2" t="s">
        <v>704</v>
      </c>
      <c r="H171" s="2">
        <v>8820434</v>
      </c>
      <c r="I171" s="2" t="s">
        <v>728</v>
      </c>
      <c r="J171" t="s">
        <v>6551</v>
      </c>
      <c r="K171" t="s">
        <v>7732</v>
      </c>
      <c r="L171" s="2" t="s">
        <v>8463</v>
      </c>
      <c r="M171" t="s">
        <v>8001</v>
      </c>
    </row>
    <row r="172" spans="1:14" ht="65" x14ac:dyDescent="0.3">
      <c r="A172" s="1" t="str">
        <f>HYPERLINK("https://ipmanager.doe.gov/IPManager//ExternalLink.aspx?6ibkph2k9yi6F%2B0Vz7YoTn4YCwUxBRoJTz48BL9FQWQ%3D","Link")</f>
        <v>Link</v>
      </c>
      <c r="B172" s="2" t="s">
        <v>729</v>
      </c>
      <c r="C172" s="2" t="s">
        <v>579</v>
      </c>
      <c r="D172" s="2" t="s">
        <v>580</v>
      </c>
      <c r="E172" s="2" t="s">
        <v>698</v>
      </c>
      <c r="F172" s="2" t="s">
        <v>701</v>
      </c>
      <c r="G172" s="2" t="s">
        <v>730</v>
      </c>
      <c r="H172" s="2">
        <v>8511401</v>
      </c>
      <c r="I172" s="2" t="s">
        <v>702</v>
      </c>
      <c r="J172" t="s">
        <v>5702</v>
      </c>
      <c r="K172" t="s">
        <v>7733</v>
      </c>
      <c r="L172" s="2" t="s">
        <v>8463</v>
      </c>
      <c r="M172" t="s">
        <v>8001</v>
      </c>
    </row>
    <row r="173" spans="1:14" ht="52" x14ac:dyDescent="0.3">
      <c r="A173" s="1" t="str">
        <f>HYPERLINK("https://ipmanager.doe.gov/IPManager//ExternalLink.aspx?6ibkph2k9yi6F%2B0Vz7YoTvPUg%2FVZPl3iiBRL4gWTv1M%3D","Link")</f>
        <v>Link</v>
      </c>
      <c r="B173" s="2" t="s">
        <v>731</v>
      </c>
      <c r="C173" s="2" t="s">
        <v>579</v>
      </c>
      <c r="D173" s="2" t="s">
        <v>580</v>
      </c>
      <c r="E173" s="2" t="s">
        <v>719</v>
      </c>
      <c r="F173" s="2" t="s">
        <v>732</v>
      </c>
      <c r="G173" s="2" t="s">
        <v>733</v>
      </c>
      <c r="H173" s="2">
        <v>9512679</v>
      </c>
      <c r="I173" s="2" t="s">
        <v>734</v>
      </c>
      <c r="J173" t="s">
        <v>5706</v>
      </c>
      <c r="K173" t="s">
        <v>7734</v>
      </c>
      <c r="L173" s="2" t="s">
        <v>8463</v>
      </c>
      <c r="M173" t="s">
        <v>8001</v>
      </c>
    </row>
    <row r="174" spans="1:14" ht="26" x14ac:dyDescent="0.3">
      <c r="A174" s="1" t="str">
        <f>HYPERLINK("https://ipmanager.doe.gov/IPManager//ExternalLink.aspx?6ibkph2k9yi6F%2B0Vz7YoTvPUg%2FVZPl3inRtbPWeLM30%3D","Link")</f>
        <v>Link</v>
      </c>
      <c r="B174" s="2" t="s">
        <v>735</v>
      </c>
      <c r="C174" s="2" t="s">
        <v>579</v>
      </c>
      <c r="D174" s="2" t="s">
        <v>580</v>
      </c>
      <c r="E174" s="2" t="s">
        <v>736</v>
      </c>
      <c r="F174" s="2" t="s">
        <v>737</v>
      </c>
      <c r="G174" s="2" t="s">
        <v>738</v>
      </c>
      <c r="H174" s="2" t="s">
        <v>739</v>
      </c>
      <c r="I174" s="2" t="s">
        <v>740</v>
      </c>
      <c r="J174" t="s">
        <v>5706</v>
      </c>
      <c r="K174" t="s">
        <v>7734</v>
      </c>
      <c r="L174" s="2" t="s">
        <v>8463</v>
      </c>
      <c r="M174" t="s">
        <v>8001</v>
      </c>
    </row>
    <row r="175" spans="1:14" ht="39" x14ac:dyDescent="0.3">
      <c r="A175" s="1" t="str">
        <f>HYPERLINK("https://ipmanager.doe.gov/IPManager//ExternalLink.aspx?6ibkph2k9yi6F%2B0Vz7YoTjnDGhmGHGI7YwFmrP4VXhU%3D","Link")</f>
        <v>Link</v>
      </c>
      <c r="B175" s="2" t="s">
        <v>741</v>
      </c>
      <c r="C175" s="2" t="s">
        <v>579</v>
      </c>
      <c r="D175" s="2" t="s">
        <v>580</v>
      </c>
      <c r="E175" s="2" t="s">
        <v>742</v>
      </c>
      <c r="F175" s="2" t="s">
        <v>703</v>
      </c>
      <c r="G175" s="2" t="s">
        <v>704</v>
      </c>
      <c r="H175" s="2">
        <v>8424617</v>
      </c>
      <c r="I175" s="2" t="s">
        <v>317</v>
      </c>
      <c r="J175" t="s">
        <v>4296</v>
      </c>
      <c r="K175" t="s">
        <v>7735</v>
      </c>
      <c r="L175" s="2" t="s">
        <v>8463</v>
      </c>
      <c r="M175" t="s">
        <v>8001</v>
      </c>
    </row>
    <row r="176" spans="1:14" ht="52" x14ac:dyDescent="0.3">
      <c r="A176" s="1" t="str">
        <f>HYPERLINK("https://ipmanager.doe.gov/IPManager//ExternalLink.aspx?6ibkph2k9yi6F%2B0Vz7YoTjnDGhmGHGI7KRjiizGCB2A%3D","Link")</f>
        <v>Link</v>
      </c>
      <c r="B176" s="2" t="s">
        <v>743</v>
      </c>
      <c r="C176" s="2" t="s">
        <v>579</v>
      </c>
      <c r="D176" s="2" t="s">
        <v>580</v>
      </c>
      <c r="E176" s="2" t="s">
        <v>744</v>
      </c>
      <c r="F176" s="2" t="s">
        <v>745</v>
      </c>
      <c r="G176" s="2" t="s">
        <v>746</v>
      </c>
      <c r="H176" s="2">
        <v>8701794</v>
      </c>
      <c r="I176" s="2" t="s">
        <v>747</v>
      </c>
      <c r="J176" t="s">
        <v>5632</v>
      </c>
      <c r="K176" t="s">
        <v>7736</v>
      </c>
      <c r="L176" s="2" t="s">
        <v>8463</v>
      </c>
      <c r="M176" t="s">
        <v>8001</v>
      </c>
    </row>
    <row r="177" spans="1:14" ht="52" x14ac:dyDescent="0.3">
      <c r="A177" s="1" t="str">
        <f>HYPERLINK("https://ipmanager.doe.gov/IPManager//ExternalLink.aspx?6ibkph2k9yi6F%2B0Vz7YoTjnDGhmGHGI7Qv4aMow%2B97A%3D","Link")</f>
        <v>Link</v>
      </c>
      <c r="B177" s="2" t="s">
        <v>748</v>
      </c>
      <c r="C177" s="2" t="s">
        <v>579</v>
      </c>
      <c r="D177" s="2" t="s">
        <v>580</v>
      </c>
      <c r="E177" s="2" t="s">
        <v>749</v>
      </c>
      <c r="F177" s="2" t="s">
        <v>750</v>
      </c>
      <c r="G177" s="2" t="s">
        <v>746</v>
      </c>
      <c r="H177" s="2">
        <v>8869914</v>
      </c>
      <c r="I177" s="2" t="s">
        <v>751</v>
      </c>
      <c r="J177" t="s">
        <v>6780</v>
      </c>
      <c r="K177" t="s">
        <v>7737</v>
      </c>
      <c r="L177" s="2" t="s">
        <v>8463</v>
      </c>
      <c r="M177" t="s">
        <v>8001</v>
      </c>
    </row>
    <row r="178" spans="1:14" ht="52" x14ac:dyDescent="0.3">
      <c r="A178" s="1" t="str">
        <f>HYPERLINK("https://ipmanager.doe.gov/IPManager//ExternalLink.aspx?6ibkph2k9yi6F%2B0Vz7YoTjnDGhmGHGI7f2SLfe1RuAE%3D","Link")</f>
        <v>Link</v>
      </c>
      <c r="B178" s="2" t="s">
        <v>752</v>
      </c>
      <c r="C178" s="2" t="s">
        <v>579</v>
      </c>
      <c r="D178" s="2" t="s">
        <v>580</v>
      </c>
      <c r="E178" s="2" t="s">
        <v>753</v>
      </c>
      <c r="F178" s="2" t="s">
        <v>754</v>
      </c>
      <c r="G178" s="2" t="s">
        <v>746</v>
      </c>
      <c r="H178" s="2">
        <v>8936108</v>
      </c>
      <c r="I178" s="2" t="s">
        <v>755</v>
      </c>
      <c r="J178" t="s">
        <v>2732</v>
      </c>
      <c r="K178" t="s">
        <v>7738</v>
      </c>
      <c r="L178" s="2" t="s">
        <v>8463</v>
      </c>
      <c r="M178" t="s">
        <v>8001</v>
      </c>
    </row>
    <row r="179" spans="1:14" ht="65" x14ac:dyDescent="0.3">
      <c r="A179" s="1" t="str">
        <f>HYPERLINK("https://ipmanager.doe.gov/IPManager//ExternalLink.aspx?6ibkph2k9yi6F%2B0Vz7YoTjnDGhmGHGI7XEt7xk5bt38%3D","Link")</f>
        <v>Link</v>
      </c>
      <c r="B179" s="2" t="s">
        <v>756</v>
      </c>
      <c r="C179" s="2" t="s">
        <v>579</v>
      </c>
      <c r="D179" s="2" t="s">
        <v>580</v>
      </c>
      <c r="E179" s="2" t="s">
        <v>757</v>
      </c>
      <c r="F179" s="2" t="s">
        <v>758</v>
      </c>
      <c r="G179" s="2" t="s">
        <v>746</v>
      </c>
      <c r="H179" s="2">
        <v>8757292</v>
      </c>
      <c r="I179" s="2" t="s">
        <v>759</v>
      </c>
      <c r="J179" t="s">
        <v>3086</v>
      </c>
      <c r="K179" t="s">
        <v>7739</v>
      </c>
      <c r="L179" s="2" t="s">
        <v>8463</v>
      </c>
      <c r="M179" t="s">
        <v>8001</v>
      </c>
    </row>
    <row r="180" spans="1:14" ht="65" x14ac:dyDescent="0.3">
      <c r="A180" s="1" t="str">
        <f>HYPERLINK("https://ipmanager.doe.gov/IPManager//ExternalLink.aspx?6ibkph2k9yi6F%2B0Vz7YoTjnDGhmGHGI7R9jjhEYxAOs%3D","Link")</f>
        <v>Link</v>
      </c>
      <c r="B180" s="2" t="s">
        <v>760</v>
      </c>
      <c r="C180" s="2" t="s">
        <v>579</v>
      </c>
      <c r="D180" s="2" t="s">
        <v>580</v>
      </c>
      <c r="E180" s="2" t="s">
        <v>715</v>
      </c>
      <c r="F180" s="2" t="s">
        <v>604</v>
      </c>
      <c r="G180" s="2" t="s">
        <v>605</v>
      </c>
      <c r="H180" s="2">
        <v>8571368</v>
      </c>
      <c r="I180" s="2" t="s">
        <v>606</v>
      </c>
      <c r="J180" t="s">
        <v>1190</v>
      </c>
      <c r="K180" t="s">
        <v>7740</v>
      </c>
      <c r="L180" s="2" t="s">
        <v>8463</v>
      </c>
      <c r="M180" t="s">
        <v>8001</v>
      </c>
    </row>
    <row r="181" spans="1:14" ht="39" x14ac:dyDescent="0.3">
      <c r="A181" s="1" t="str">
        <f>HYPERLINK("https://ipmanager.doe.gov/IPManager//ExternalLink.aspx?6ibkph2k9yi6F%2B0Vz7YoTlNm8snv%2FZpHJvpXFGqIKg8%3D","Link")</f>
        <v>Link</v>
      </c>
      <c r="B181" s="2" t="s">
        <v>589</v>
      </c>
      <c r="C181" s="2" t="s">
        <v>579</v>
      </c>
      <c r="D181" s="2" t="s">
        <v>580</v>
      </c>
      <c r="E181" s="2" t="s">
        <v>590</v>
      </c>
      <c r="F181" s="2" t="s">
        <v>591</v>
      </c>
      <c r="G181" s="2" t="s">
        <v>592</v>
      </c>
      <c r="H181" s="7"/>
      <c r="I181" s="2" t="s">
        <v>9</v>
      </c>
      <c r="K181" t="e">
        <v>#N/A</v>
      </c>
      <c r="L181" s="2" t="s">
        <v>8463</v>
      </c>
      <c r="M181" t="s">
        <v>8001</v>
      </c>
      <c r="N181" s="4"/>
    </row>
    <row r="182" spans="1:14" ht="52" x14ac:dyDescent="0.3">
      <c r="A182" s="1" t="str">
        <f>HYPERLINK("https://ipmanager.doe.gov/IPManager//ExternalLink.aspx?6ibkph2k9yi6F%2B0Vz7YoTlNm8snv%2FZpHt7MDwZ5hgn0%3D","Link")</f>
        <v>Link</v>
      </c>
      <c r="B182" s="2" t="s">
        <v>598</v>
      </c>
      <c r="C182" s="2" t="s">
        <v>579</v>
      </c>
      <c r="D182" s="2" t="s">
        <v>580</v>
      </c>
      <c r="E182" s="2" t="s">
        <v>599</v>
      </c>
      <c r="F182" s="2" t="s">
        <v>600</v>
      </c>
      <c r="G182" s="2" t="s">
        <v>601</v>
      </c>
      <c r="H182" s="7"/>
      <c r="I182" s="2" t="s">
        <v>9</v>
      </c>
      <c r="K182" t="e">
        <v>#N/A</v>
      </c>
      <c r="L182" s="2" t="s">
        <v>8463</v>
      </c>
      <c r="M182" t="s">
        <v>8001</v>
      </c>
      <c r="N182" s="4"/>
    </row>
    <row r="183" spans="1:14" ht="26" x14ac:dyDescent="0.3">
      <c r="A183" s="1" t="str">
        <f>HYPERLINK("https://ipmanager.doe.gov/IPManager//ExternalLink.aspx?6ibkph2k9yi6F%2B0Vz7YoTlNm8snv%2FZpHEup8dyq298k%3D","Link")</f>
        <v>Link</v>
      </c>
      <c r="B183" s="2" t="s">
        <v>607</v>
      </c>
      <c r="C183" s="2" t="s">
        <v>579</v>
      </c>
      <c r="D183" s="2" t="s">
        <v>580</v>
      </c>
      <c r="E183" s="2" t="s">
        <v>608</v>
      </c>
      <c r="F183" s="2" t="s">
        <v>609</v>
      </c>
      <c r="G183" s="2" t="s">
        <v>592</v>
      </c>
      <c r="H183" s="7"/>
      <c r="I183" s="2" t="s">
        <v>9</v>
      </c>
      <c r="K183" t="e">
        <v>#N/A</v>
      </c>
      <c r="L183" s="2" t="s">
        <v>8463</v>
      </c>
      <c r="M183" t="s">
        <v>8001</v>
      </c>
      <c r="N183" s="4"/>
    </row>
    <row r="184" spans="1:14" ht="26" x14ac:dyDescent="0.3">
      <c r="A184" s="1" t="str">
        <f>HYPERLINK("https://ipmanager.doe.gov/IPManager//ExternalLink.aspx?6ibkph2k9yi6F%2B0Vz7YoTlNm8snv%2FZpH0tKwE0yOslU%3D","Link")</f>
        <v>Link</v>
      </c>
      <c r="B184" s="2" t="s">
        <v>619</v>
      </c>
      <c r="C184" s="2" t="s">
        <v>579</v>
      </c>
      <c r="D184" s="2" t="s">
        <v>580</v>
      </c>
      <c r="E184" s="2" t="s">
        <v>620</v>
      </c>
      <c r="F184" s="2" t="s">
        <v>621</v>
      </c>
      <c r="G184" s="2" t="s">
        <v>588</v>
      </c>
      <c r="H184" s="7"/>
      <c r="I184" s="2" t="s">
        <v>9</v>
      </c>
      <c r="K184" t="e">
        <v>#N/A</v>
      </c>
      <c r="L184" s="2" t="s">
        <v>8463</v>
      </c>
      <c r="M184" t="s">
        <v>8001</v>
      </c>
      <c r="N184" s="4"/>
    </row>
    <row r="185" spans="1:14" ht="26" x14ac:dyDescent="0.3">
      <c r="A185" s="1" t="str">
        <f>HYPERLINK("https://ipmanager.doe.gov/IPManager//ExternalLink.aspx?6ibkph2k9yi6F%2B0Vz7YoTlNm8snv%2FZpHelFQz55VgAs%3D","Link")</f>
        <v>Link</v>
      </c>
      <c r="B185" s="2" t="s">
        <v>627</v>
      </c>
      <c r="C185" s="2" t="s">
        <v>579</v>
      </c>
      <c r="D185" s="2" t="s">
        <v>580</v>
      </c>
      <c r="E185" s="2" t="s">
        <v>628</v>
      </c>
      <c r="F185" s="2" t="s">
        <v>629</v>
      </c>
      <c r="G185" s="2" t="s">
        <v>592</v>
      </c>
      <c r="H185" s="7"/>
      <c r="I185" s="2" t="s">
        <v>9</v>
      </c>
      <c r="K185" t="e">
        <v>#N/A</v>
      </c>
      <c r="L185" s="2" t="s">
        <v>8463</v>
      </c>
      <c r="M185" t="s">
        <v>8001</v>
      </c>
      <c r="N185" s="4"/>
    </row>
    <row r="186" spans="1:14" ht="26" x14ac:dyDescent="0.3">
      <c r="A186" s="1" t="str">
        <f>HYPERLINK("https://ipmanager.doe.gov/IPManager//ExternalLink.aspx?6ibkph2k9yi6F%2B0Vz7YoTlNm8snv%2FZpHs1ykE9Ins5Y%3D","Link")</f>
        <v>Link</v>
      </c>
      <c r="B186" s="2" t="s">
        <v>632</v>
      </c>
      <c r="C186" s="2" t="s">
        <v>579</v>
      </c>
      <c r="D186" s="2" t="s">
        <v>580</v>
      </c>
      <c r="E186" s="2" t="s">
        <v>633</v>
      </c>
      <c r="F186" s="2" t="s">
        <v>634</v>
      </c>
      <c r="G186" s="2" t="s">
        <v>592</v>
      </c>
      <c r="H186" s="7"/>
      <c r="I186" s="2" t="s">
        <v>9</v>
      </c>
      <c r="K186" t="e">
        <v>#N/A</v>
      </c>
      <c r="L186" s="2" t="s">
        <v>8463</v>
      </c>
      <c r="M186" t="s">
        <v>8001</v>
      </c>
      <c r="N186" s="4"/>
    </row>
    <row r="187" spans="1:14" ht="65" x14ac:dyDescent="0.3">
      <c r="A187" s="1" t="str">
        <f>HYPERLINK("https://ipmanager.doe.gov/IPManager//ExternalLink.aspx?6ibkph2k9yi6F%2B0Vz7YoTlNm8snv%2FZpHqSds5tT%2BiMs%3D","Link")</f>
        <v>Link</v>
      </c>
      <c r="B187" s="2" t="s">
        <v>635</v>
      </c>
      <c r="C187" s="2" t="s">
        <v>579</v>
      </c>
      <c r="D187" s="2" t="s">
        <v>580</v>
      </c>
      <c r="E187" s="2" t="s">
        <v>636</v>
      </c>
      <c r="F187" s="2" t="s">
        <v>637</v>
      </c>
      <c r="G187" s="2" t="s">
        <v>588</v>
      </c>
      <c r="H187" s="7"/>
      <c r="I187" s="2" t="s">
        <v>9</v>
      </c>
      <c r="K187" t="e">
        <v>#N/A</v>
      </c>
      <c r="L187" s="2" t="s">
        <v>8463</v>
      </c>
      <c r="M187" t="s">
        <v>8001</v>
      </c>
      <c r="N187" s="4"/>
    </row>
    <row r="188" spans="1:14" ht="39" x14ac:dyDescent="0.3">
      <c r="A188" s="1" t="str">
        <f>HYPERLINK("https://ipmanager.doe.gov/IPManager//ExternalLink.aspx?6ibkph2k9yi6F%2B0Vz7YoTjN2oADz%2F5MxLqoDHqDaDFM%3D","Link")</f>
        <v>Link</v>
      </c>
      <c r="B188" s="2" t="s">
        <v>638</v>
      </c>
      <c r="C188" s="2" t="s">
        <v>579</v>
      </c>
      <c r="D188" s="2" t="s">
        <v>580</v>
      </c>
      <c r="E188" s="2" t="s">
        <v>639</v>
      </c>
      <c r="F188" s="2" t="s">
        <v>640</v>
      </c>
      <c r="G188" s="2" t="s">
        <v>641</v>
      </c>
      <c r="H188" s="7"/>
      <c r="I188" s="2" t="s">
        <v>9</v>
      </c>
      <c r="K188" t="e">
        <v>#N/A</v>
      </c>
      <c r="L188" s="2" t="s">
        <v>8463</v>
      </c>
      <c r="M188" t="s">
        <v>8001</v>
      </c>
      <c r="N188" s="4"/>
    </row>
    <row r="189" spans="1:14" ht="65" x14ac:dyDescent="0.3">
      <c r="A189" s="1" t="str">
        <f>HYPERLINK("https://ipmanager.doe.gov/IPManager//ExternalLink.aspx?6ibkph2k9yi6F%2B0Vz7YoTjN2oADz%2F5MxZLHYKc0sDp8%3D","Link")</f>
        <v>Link</v>
      </c>
      <c r="B189" s="2" t="s">
        <v>643</v>
      </c>
      <c r="C189" s="2" t="s">
        <v>579</v>
      </c>
      <c r="D189" s="2" t="s">
        <v>580</v>
      </c>
      <c r="E189" s="2" t="s">
        <v>617</v>
      </c>
      <c r="F189" s="2" t="s">
        <v>644</v>
      </c>
      <c r="G189" s="2" t="s">
        <v>641</v>
      </c>
      <c r="H189" s="7"/>
      <c r="I189" s="2" t="s">
        <v>9</v>
      </c>
      <c r="K189" t="e">
        <v>#N/A</v>
      </c>
      <c r="L189" s="2" t="s">
        <v>8463</v>
      </c>
      <c r="M189" t="s">
        <v>8001</v>
      </c>
      <c r="N189" s="4"/>
    </row>
    <row r="190" spans="1:14" ht="26" x14ac:dyDescent="0.3">
      <c r="A190" s="1" t="str">
        <f>HYPERLINK("https://ipmanager.doe.gov/IPManager//ExternalLink.aspx?6ibkph2k9yi6F%2B0Vz7YoTjN2oADz%2F5MxYOo1Ji9p3hE%3D","Link")</f>
        <v>Link</v>
      </c>
      <c r="B190" s="2" t="s">
        <v>645</v>
      </c>
      <c r="C190" s="2" t="s">
        <v>579</v>
      </c>
      <c r="D190" s="2" t="s">
        <v>580</v>
      </c>
      <c r="E190" s="2" t="s">
        <v>620</v>
      </c>
      <c r="F190" s="2" t="s">
        <v>646</v>
      </c>
      <c r="G190" s="2" t="s">
        <v>641</v>
      </c>
      <c r="H190" s="7"/>
      <c r="I190" s="2" t="s">
        <v>9</v>
      </c>
      <c r="K190" t="e">
        <v>#N/A</v>
      </c>
      <c r="L190" s="2" t="s">
        <v>8463</v>
      </c>
      <c r="M190" t="s">
        <v>8001</v>
      </c>
      <c r="N190" s="4"/>
    </row>
    <row r="191" spans="1:14" ht="39" x14ac:dyDescent="0.3">
      <c r="A191" s="1" t="str">
        <f>HYPERLINK("https://ipmanager.doe.gov/IPManager//ExternalLink.aspx?6ibkph2k9yi6F%2B0Vz7YoTjN2oADz%2F5MxkX5N%2B1RBNYE%3D","Link")</f>
        <v>Link</v>
      </c>
      <c r="B191" s="2" t="s">
        <v>647</v>
      </c>
      <c r="C191" s="2" t="s">
        <v>579</v>
      </c>
      <c r="D191" s="2" t="s">
        <v>580</v>
      </c>
      <c r="E191" s="2" t="s">
        <v>648</v>
      </c>
      <c r="F191" s="2" t="s">
        <v>649</v>
      </c>
      <c r="G191" s="2" t="s">
        <v>641</v>
      </c>
      <c r="H191" s="7"/>
      <c r="I191" s="2" t="s">
        <v>9</v>
      </c>
      <c r="K191" t="e">
        <v>#N/A</v>
      </c>
      <c r="L191" s="2" t="s">
        <v>8463</v>
      </c>
      <c r="M191" t="s">
        <v>8001</v>
      </c>
      <c r="N191" s="4"/>
    </row>
    <row r="192" spans="1:14" ht="39" x14ac:dyDescent="0.3">
      <c r="A192" s="1" t="str">
        <f>HYPERLINK("https://ipmanager.doe.gov/IPManager//ExternalLink.aspx?6ibkph2k9yi6F%2B0Vz7YoTjN2oADz%2F5MxNW1IHkDtR5o%3D","Link")</f>
        <v>Link</v>
      </c>
      <c r="B192" s="2" t="s">
        <v>653</v>
      </c>
      <c r="C192" s="2" t="s">
        <v>579</v>
      </c>
      <c r="D192" s="2" t="s">
        <v>580</v>
      </c>
      <c r="E192" s="2" t="s">
        <v>654</v>
      </c>
      <c r="F192" s="2" t="s">
        <v>655</v>
      </c>
      <c r="G192" s="2" t="s">
        <v>656</v>
      </c>
      <c r="H192" s="7"/>
      <c r="I192" s="2" t="s">
        <v>9</v>
      </c>
      <c r="K192" t="e">
        <v>#N/A</v>
      </c>
      <c r="L192" s="2" t="s">
        <v>8463</v>
      </c>
      <c r="M192" t="s">
        <v>8001</v>
      </c>
      <c r="N192" s="4"/>
    </row>
    <row r="193" spans="1:14" ht="52" x14ac:dyDescent="0.3">
      <c r="A193" s="1" t="str">
        <f>HYPERLINK("https://ipmanager.doe.gov/IPManager//ExternalLink.aspx?6ibkph2k9yi6F%2B0Vz7YoTjN2oADz%2F5Mx9sx1X2H9opo%3D","Link")</f>
        <v>Link</v>
      </c>
      <c r="B193" s="2" t="s">
        <v>657</v>
      </c>
      <c r="C193" s="2" t="s">
        <v>579</v>
      </c>
      <c r="D193" s="2" t="s">
        <v>580</v>
      </c>
      <c r="E193" s="2" t="s">
        <v>658</v>
      </c>
      <c r="F193" s="2" t="s">
        <v>659</v>
      </c>
      <c r="G193" s="2" t="s">
        <v>660</v>
      </c>
      <c r="H193" s="7"/>
      <c r="I193" s="2" t="s">
        <v>9</v>
      </c>
      <c r="K193" t="e">
        <v>#N/A</v>
      </c>
      <c r="L193" s="2" t="s">
        <v>8463</v>
      </c>
      <c r="M193" t="s">
        <v>8001</v>
      </c>
      <c r="N193" s="4"/>
    </row>
    <row r="194" spans="1:14" ht="52" x14ac:dyDescent="0.3">
      <c r="A194" s="1" t="str">
        <f>HYPERLINK("https://ipmanager.doe.gov/IPManager//ExternalLink.aspx?6ibkph2k9yi6F%2B0Vz7YoTlNm8snv%2FZpHxtwJX0TkiBw%3D","Link")</f>
        <v>Link</v>
      </c>
      <c r="B194" s="2" t="s">
        <v>666</v>
      </c>
      <c r="C194" s="2" t="s">
        <v>579</v>
      </c>
      <c r="D194" s="2" t="s">
        <v>580</v>
      </c>
      <c r="E194" s="2" t="s">
        <v>667</v>
      </c>
      <c r="F194" s="2" t="s">
        <v>668</v>
      </c>
      <c r="G194" s="2" t="s">
        <v>35</v>
      </c>
      <c r="H194" s="7"/>
      <c r="I194" s="2" t="s">
        <v>9</v>
      </c>
      <c r="K194" t="e">
        <v>#N/A</v>
      </c>
      <c r="L194" s="2" t="s">
        <v>8463</v>
      </c>
      <c r="M194" t="s">
        <v>8001</v>
      </c>
      <c r="N194" s="4"/>
    </row>
    <row r="195" spans="1:14" ht="26" x14ac:dyDescent="0.3">
      <c r="A195" s="1" t="str">
        <f>HYPERLINK("https://ipmanager.doe.gov/IPManager//ExternalLink.aspx?6ibkph2k9yi6F%2B0Vz7YoTjN2oADz%2F5MxhUHmsoWCRqU%3D","Link")</f>
        <v>Link</v>
      </c>
      <c r="B195" s="2" t="s">
        <v>669</v>
      </c>
      <c r="C195" s="2" t="s">
        <v>579</v>
      </c>
      <c r="D195" s="2" t="s">
        <v>580</v>
      </c>
      <c r="E195" s="2" t="s">
        <v>670</v>
      </c>
      <c r="F195" s="2" t="s">
        <v>626</v>
      </c>
      <c r="G195" s="2" t="s">
        <v>641</v>
      </c>
      <c r="H195" s="7"/>
      <c r="I195" s="2" t="s">
        <v>9</v>
      </c>
      <c r="K195" t="e">
        <v>#N/A</v>
      </c>
      <c r="L195" s="2" t="s">
        <v>8463</v>
      </c>
      <c r="M195" t="s">
        <v>8001</v>
      </c>
      <c r="N195" s="4"/>
    </row>
    <row r="196" spans="1:14" ht="52" x14ac:dyDescent="0.3">
      <c r="A196" s="1" t="str">
        <f>HYPERLINK("https://ipmanager.doe.gov/IPManager//ExternalLink.aspx?6ibkph2k9yi6F%2B0Vz7YoTjN2oADz%2F5MxhwpkY9Vrht4%3D","Link")</f>
        <v>Link</v>
      </c>
      <c r="B196" s="2" t="s">
        <v>671</v>
      </c>
      <c r="C196" s="2" t="s">
        <v>579</v>
      </c>
      <c r="D196" s="2" t="s">
        <v>580</v>
      </c>
      <c r="E196" s="2" t="s">
        <v>672</v>
      </c>
      <c r="F196" s="2" t="s">
        <v>673</v>
      </c>
      <c r="G196" s="2" t="s">
        <v>674</v>
      </c>
      <c r="H196" s="7"/>
      <c r="I196" s="2" t="s">
        <v>9</v>
      </c>
      <c r="K196" t="e">
        <v>#N/A</v>
      </c>
      <c r="L196" s="2" t="s">
        <v>8463</v>
      </c>
      <c r="M196" t="s">
        <v>8001</v>
      </c>
      <c r="N196" s="4"/>
    </row>
    <row r="197" spans="1:14" ht="39" x14ac:dyDescent="0.3">
      <c r="A197" s="1" t="str">
        <f>HYPERLINK("https://ipmanager.doe.gov/IPManager//ExternalLink.aspx?6ibkph2k9yi6F%2B0Vz7YoTlNm8snv%2FZpHo8kq0Y7LDVU%3D","Link")</f>
        <v>Link</v>
      </c>
      <c r="B197" s="2" t="s">
        <v>676</v>
      </c>
      <c r="C197" s="2" t="s">
        <v>579</v>
      </c>
      <c r="D197" s="2" t="s">
        <v>580</v>
      </c>
      <c r="E197" s="2" t="s">
        <v>677</v>
      </c>
      <c r="F197" s="2" t="s">
        <v>678</v>
      </c>
      <c r="G197" s="2" t="s">
        <v>679</v>
      </c>
      <c r="H197" s="7"/>
      <c r="I197" s="2" t="s">
        <v>9</v>
      </c>
      <c r="K197" t="e">
        <v>#N/A</v>
      </c>
      <c r="L197" s="2" t="s">
        <v>8463</v>
      </c>
      <c r="M197" t="s">
        <v>8001</v>
      </c>
      <c r="N197" s="4"/>
    </row>
    <row r="198" spans="1:14" ht="39" x14ac:dyDescent="0.3">
      <c r="A198" s="1" t="str">
        <f>HYPERLINK("https://ipmanager.doe.gov/IPManager//ExternalLink.aspx?6ibkph2k9yi6F%2B0Vz7YoTlNm8snv%2FZpHfxzyE4k9hKc%3D","Link")</f>
        <v>Link</v>
      </c>
      <c r="B198" s="2" t="s">
        <v>680</v>
      </c>
      <c r="C198" s="2" t="s">
        <v>579</v>
      </c>
      <c r="D198" s="2" t="s">
        <v>580</v>
      </c>
      <c r="E198" s="2" t="s">
        <v>654</v>
      </c>
      <c r="F198" s="2" t="s">
        <v>681</v>
      </c>
      <c r="G198" s="2" t="s">
        <v>682</v>
      </c>
      <c r="H198" s="7"/>
      <c r="I198" s="2" t="s">
        <v>9</v>
      </c>
      <c r="K198" t="e">
        <v>#N/A</v>
      </c>
      <c r="L198" s="2" t="s">
        <v>8463</v>
      </c>
      <c r="M198" t="s">
        <v>8001</v>
      </c>
      <c r="N198" s="4"/>
    </row>
    <row r="199" spans="1:14" ht="26" x14ac:dyDescent="0.3">
      <c r="A199" s="1" t="str">
        <f>HYPERLINK("https://ipmanager.doe.gov/IPManager//ExternalLink.aspx?6ibkph2k9yi6F%2B0Vz7YoTjN2oADz%2F5MxWHGzVkI6wwU%3D","Link")</f>
        <v>Link</v>
      </c>
      <c r="B199" s="2" t="s">
        <v>683</v>
      </c>
      <c r="C199" s="2" t="s">
        <v>579</v>
      </c>
      <c r="D199" s="2" t="s">
        <v>580</v>
      </c>
      <c r="E199" s="2" t="s">
        <v>611</v>
      </c>
      <c r="F199" s="2" t="s">
        <v>684</v>
      </c>
      <c r="G199" s="2" t="s">
        <v>641</v>
      </c>
      <c r="H199" s="7"/>
      <c r="I199" s="2" t="s">
        <v>9</v>
      </c>
      <c r="K199" t="e">
        <v>#N/A</v>
      </c>
      <c r="L199" s="2" t="s">
        <v>8463</v>
      </c>
      <c r="M199" t="s">
        <v>8001</v>
      </c>
      <c r="N199" s="4"/>
    </row>
    <row r="200" spans="1:14" ht="52" x14ac:dyDescent="0.3">
      <c r="A200" s="1" t="str">
        <f>HYPERLINK("https://ipmanager.doe.gov/IPManager//ExternalLink.aspx?6ibkph2k9yi6F%2B0Vz7YoTlNm8snv%2FZpHko470EyWQtg%3D","Link")</f>
        <v>Link</v>
      </c>
      <c r="B200" s="2" t="s">
        <v>694</v>
      </c>
      <c r="C200" s="2" t="s">
        <v>579</v>
      </c>
      <c r="D200" s="2" t="s">
        <v>580</v>
      </c>
      <c r="E200" s="2" t="s">
        <v>667</v>
      </c>
      <c r="F200" s="2" t="s">
        <v>695</v>
      </c>
      <c r="G200" s="2" t="s">
        <v>696</v>
      </c>
      <c r="H200" s="7"/>
      <c r="I200" s="2" t="s">
        <v>9</v>
      </c>
      <c r="K200" t="e">
        <v>#N/A</v>
      </c>
      <c r="L200" s="2" t="s">
        <v>8463</v>
      </c>
      <c r="M200" t="s">
        <v>8001</v>
      </c>
      <c r="N200" s="4"/>
    </row>
    <row r="201" spans="1:14" ht="26" x14ac:dyDescent="0.3">
      <c r="A201" s="1" t="str">
        <f>HYPERLINK("https://ipmanager.doe.gov/IPManager//ExternalLink.aspx?6ibkph2k9yi6F%2B0Vz7YoTsTAnuFk5EoAdBOy0Wlrcak%3D","Link")</f>
        <v>Link</v>
      </c>
      <c r="B201" s="2" t="s">
        <v>761</v>
      </c>
      <c r="C201" s="2" t="s">
        <v>762</v>
      </c>
      <c r="D201" s="2" t="s">
        <v>763</v>
      </c>
      <c r="E201" s="2" t="s">
        <v>764</v>
      </c>
      <c r="F201" s="2" t="s">
        <v>765</v>
      </c>
      <c r="G201" s="2" t="s">
        <v>766</v>
      </c>
      <c r="H201" s="2">
        <v>8505858</v>
      </c>
      <c r="I201" s="2" t="s">
        <v>767</v>
      </c>
      <c r="J201" t="s">
        <v>1203</v>
      </c>
      <c r="K201" t="s">
        <v>7741</v>
      </c>
      <c r="L201" s="2" t="s">
        <v>8464</v>
      </c>
      <c r="M201" t="s">
        <v>8002</v>
      </c>
    </row>
    <row r="202" spans="1:14" ht="39" x14ac:dyDescent="0.3">
      <c r="A202" s="1" t="str">
        <f>HYPERLINK("https://ipmanager.doe.gov/IPManager//ExternalLink.aspx?6ibkph2k9yi6F%2B0Vz7YoTipZ798QK%2BbPxlC%2FmHLj%2BCQ%3D","Link")</f>
        <v>Link</v>
      </c>
      <c r="B202" s="2" t="s">
        <v>768</v>
      </c>
      <c r="C202" s="2" t="s">
        <v>769</v>
      </c>
      <c r="D202" s="2" t="s">
        <v>770</v>
      </c>
      <c r="E202" s="2" t="s">
        <v>771</v>
      </c>
      <c r="F202" s="2" t="s">
        <v>772</v>
      </c>
      <c r="G202" s="2" t="s">
        <v>773</v>
      </c>
      <c r="H202" s="2">
        <v>9000713</v>
      </c>
      <c r="I202" s="2" t="s">
        <v>437</v>
      </c>
      <c r="J202" t="s">
        <v>1205</v>
      </c>
      <c r="K202" t="s">
        <v>7742</v>
      </c>
      <c r="L202" s="2" t="s">
        <v>8465</v>
      </c>
      <c r="M202" t="s">
        <v>8003</v>
      </c>
    </row>
    <row r="203" spans="1:14" ht="39" x14ac:dyDescent="0.3">
      <c r="A203" s="1" t="str">
        <f>HYPERLINK("https://ipmanager.doe.gov/IPManager//ExternalLink.aspx?6ibkph2k9yi6F%2B0Vz7YoTipZ798QK%2BbPHewpfn%2FTy0k%3D","Link")</f>
        <v>Link</v>
      </c>
      <c r="B203" s="2" t="s">
        <v>777</v>
      </c>
      <c r="C203" s="2" t="s">
        <v>769</v>
      </c>
      <c r="D203" s="2" t="s">
        <v>778</v>
      </c>
      <c r="E203" s="2" t="s">
        <v>779</v>
      </c>
      <c r="F203" s="2"/>
      <c r="G203" s="2" t="s">
        <v>9</v>
      </c>
      <c r="H203" s="2"/>
      <c r="I203" s="2" t="s">
        <v>9</v>
      </c>
      <c r="J203" t="s">
        <v>5142</v>
      </c>
      <c r="K203" t="s">
        <v>7743</v>
      </c>
      <c r="L203" s="2" t="s">
        <v>8465</v>
      </c>
      <c r="M203" t="s">
        <v>8003</v>
      </c>
      <c r="N203" s="4"/>
    </row>
    <row r="204" spans="1:14" ht="39" x14ac:dyDescent="0.3">
      <c r="A204" s="1" t="str">
        <f>HYPERLINK("https://ipmanager.doe.gov/IPManager//ExternalLink.aspx?6ibkph2k9yi6F%2B0Vz7YoTk2BI6w%2FjZ2f5PrgXqTq%2BCc%3D","Link")</f>
        <v>Link</v>
      </c>
      <c r="B204" s="2" t="s">
        <v>780</v>
      </c>
      <c r="C204" s="2" t="s">
        <v>769</v>
      </c>
      <c r="D204" s="2" t="s">
        <v>135</v>
      </c>
      <c r="E204" s="2" t="s">
        <v>781</v>
      </c>
      <c r="F204" s="2"/>
      <c r="G204" s="2" t="s">
        <v>9</v>
      </c>
      <c r="H204" s="2"/>
      <c r="I204" s="2" t="s">
        <v>9</v>
      </c>
      <c r="J204" t="s">
        <v>5465</v>
      </c>
      <c r="K204" t="s">
        <v>7744</v>
      </c>
      <c r="L204" s="2" t="s">
        <v>8465</v>
      </c>
      <c r="M204" t="s">
        <v>8003</v>
      </c>
      <c r="N204" s="4"/>
    </row>
    <row r="205" spans="1:14" ht="39" x14ac:dyDescent="0.3">
      <c r="A205" s="1" t="str">
        <f>HYPERLINK("https://ipmanager.doe.gov/IPManager//ExternalLink.aspx?6ibkph2k9yi6F%2B0Vz7YoTipZ798QK%2BbPH9fJobsylkI%3D","Link")</f>
        <v>Link</v>
      </c>
      <c r="B205" s="2" t="s">
        <v>782</v>
      </c>
      <c r="C205" s="2" t="s">
        <v>769</v>
      </c>
      <c r="D205" s="2" t="s">
        <v>770</v>
      </c>
      <c r="E205" s="2" t="s">
        <v>783</v>
      </c>
      <c r="F205" s="2" t="s">
        <v>784</v>
      </c>
      <c r="G205" s="2" t="s">
        <v>785</v>
      </c>
      <c r="H205" s="2"/>
      <c r="I205" s="2" t="s">
        <v>9</v>
      </c>
      <c r="J205" t="s">
        <v>2089</v>
      </c>
      <c r="K205" t="s">
        <v>7745</v>
      </c>
      <c r="L205" s="2" t="s">
        <v>8465</v>
      </c>
      <c r="M205" t="s">
        <v>8003</v>
      </c>
      <c r="N205" s="4"/>
    </row>
    <row r="206" spans="1:14" ht="39" x14ac:dyDescent="0.3">
      <c r="A206" s="1" t="str">
        <f>HYPERLINK("https://ipmanager.doe.gov/IPManager//ExternalLink.aspx?6ibkph2k9yi6F%2B0Vz7YoTipZ798QK%2BbPFTI6OHrDZGc%3D","Link")</f>
        <v>Link</v>
      </c>
      <c r="B206" s="2" t="s">
        <v>786</v>
      </c>
      <c r="C206" s="2" t="s">
        <v>769</v>
      </c>
      <c r="D206" s="2" t="s">
        <v>770</v>
      </c>
      <c r="E206" s="2" t="s">
        <v>787</v>
      </c>
      <c r="F206" s="2"/>
      <c r="G206" s="2" t="s">
        <v>9</v>
      </c>
      <c r="H206" s="2"/>
      <c r="I206" s="2" t="s">
        <v>9</v>
      </c>
      <c r="J206" t="s">
        <v>3115</v>
      </c>
      <c r="K206" t="s">
        <v>7746</v>
      </c>
      <c r="L206" s="2" t="s">
        <v>8465</v>
      </c>
      <c r="M206" t="s">
        <v>8003</v>
      </c>
      <c r="N206" s="4"/>
    </row>
    <row r="207" spans="1:14" ht="39" x14ac:dyDescent="0.3">
      <c r="A207" s="1" t="str">
        <f>HYPERLINK("https://ipmanager.doe.gov/IPManager//ExternalLink.aspx?6ibkph2k9yi6F%2B0Vz7YoTipZ798QK%2BbPqwOAZqJtgFY%3D","Link")</f>
        <v>Link</v>
      </c>
      <c r="B207" s="2" t="s">
        <v>789</v>
      </c>
      <c r="C207" s="2" t="s">
        <v>769</v>
      </c>
      <c r="D207" s="2" t="s">
        <v>770</v>
      </c>
      <c r="E207" s="2" t="s">
        <v>790</v>
      </c>
      <c r="F207" s="2" t="s">
        <v>791</v>
      </c>
      <c r="G207" s="2" t="s">
        <v>792</v>
      </c>
      <c r="H207" s="2">
        <v>9153803</v>
      </c>
      <c r="I207" s="2" t="s">
        <v>794</v>
      </c>
      <c r="J207" t="s">
        <v>6436</v>
      </c>
      <c r="K207" t="s">
        <v>7747</v>
      </c>
      <c r="L207" s="2" t="s">
        <v>8465</v>
      </c>
      <c r="M207" t="s">
        <v>8003</v>
      </c>
    </row>
    <row r="208" spans="1:14" ht="39" x14ac:dyDescent="0.3">
      <c r="A208" s="1" t="str">
        <f>HYPERLINK("https://ipmanager.doe.gov/IPManager//ExternalLink.aspx?6ibkph2k9yi6F%2B0Vz7YoTipZ798QK%2BbPuun3YMyF2OQ%3D","Link")</f>
        <v>Link</v>
      </c>
      <c r="B208" s="2" t="s">
        <v>774</v>
      </c>
      <c r="C208" s="2" t="s">
        <v>769</v>
      </c>
      <c r="D208" s="2" t="s">
        <v>770</v>
      </c>
      <c r="E208" s="2" t="s">
        <v>775</v>
      </c>
      <c r="F208" s="2" t="s">
        <v>776</v>
      </c>
      <c r="G208" s="2" t="s">
        <v>45</v>
      </c>
      <c r="H208" s="7"/>
      <c r="I208" s="2" t="s">
        <v>9</v>
      </c>
      <c r="K208" t="e">
        <v>#N/A</v>
      </c>
      <c r="L208" s="2" t="s">
        <v>8465</v>
      </c>
      <c r="M208" t="s">
        <v>8003</v>
      </c>
      <c r="N208" s="4"/>
    </row>
    <row r="209" spans="1:14" ht="39" x14ac:dyDescent="0.3">
      <c r="A209" s="1" t="str">
        <f>HYPERLINK("https://ipmanager.doe.gov/IPManager//ExternalLink.aspx?6ibkph2k9yi6F%2B0Vz7YoTipZ798QK%2BbP6dNi1H%2BsER0%3D","Link")</f>
        <v>Link</v>
      </c>
      <c r="B209" s="2" t="s">
        <v>795</v>
      </c>
      <c r="C209" s="2" t="s">
        <v>769</v>
      </c>
      <c r="D209" s="2" t="s">
        <v>770</v>
      </c>
      <c r="E209" s="2" t="s">
        <v>796</v>
      </c>
      <c r="F209" s="2" t="s">
        <v>797</v>
      </c>
      <c r="G209" s="2" t="s">
        <v>798</v>
      </c>
      <c r="H209" s="7"/>
      <c r="I209" s="2" t="s">
        <v>9</v>
      </c>
      <c r="K209" t="e">
        <v>#N/A</v>
      </c>
      <c r="L209" s="2" t="s">
        <v>8465</v>
      </c>
      <c r="M209" t="s">
        <v>8003</v>
      </c>
      <c r="N209" s="4"/>
    </row>
    <row r="210" spans="1:14" ht="39" x14ac:dyDescent="0.3">
      <c r="A210" s="1" t="str">
        <f>HYPERLINK("https://ipmanager.doe.gov/IPManager//ExternalLink.aspx?6ibkph2k9yi6F%2B0Vz7YoTipZ798QK%2BbPxnawDS7m7ww%3D","Link")</f>
        <v>Link</v>
      </c>
      <c r="B210" s="2" t="s">
        <v>799</v>
      </c>
      <c r="C210" s="2" t="s">
        <v>769</v>
      </c>
      <c r="D210" s="2" t="s">
        <v>770</v>
      </c>
      <c r="E210" s="2" t="s">
        <v>800</v>
      </c>
      <c r="F210" s="2" t="s">
        <v>801</v>
      </c>
      <c r="G210" s="2" t="s">
        <v>802</v>
      </c>
      <c r="H210" s="7"/>
      <c r="I210" s="2" t="s">
        <v>9</v>
      </c>
      <c r="K210" t="e">
        <v>#N/A</v>
      </c>
      <c r="L210" s="2" t="s">
        <v>8465</v>
      </c>
      <c r="M210" t="s">
        <v>8003</v>
      </c>
      <c r="N210" s="4"/>
    </row>
    <row r="211" spans="1:14" ht="39" x14ac:dyDescent="0.3">
      <c r="A211" s="1" t="str">
        <f>HYPERLINK("https://ipmanager.doe.gov/IPManager//ExternalLink.aspx?6ibkph2k9yi6F%2B0Vz7YoTr7J5I%2BY4foYU1A76lPuIP8%3D","Link")</f>
        <v>Link</v>
      </c>
      <c r="B211" s="2" t="s">
        <v>804</v>
      </c>
      <c r="C211" s="2" t="s">
        <v>769</v>
      </c>
      <c r="D211" s="2" t="s">
        <v>770</v>
      </c>
      <c r="E211" s="2" t="s">
        <v>805</v>
      </c>
      <c r="F211" s="2" t="s">
        <v>806</v>
      </c>
      <c r="G211" s="2" t="s">
        <v>807</v>
      </c>
      <c r="H211" s="7"/>
      <c r="I211" s="2" t="s">
        <v>9</v>
      </c>
      <c r="K211" t="e">
        <v>#N/A</v>
      </c>
      <c r="L211" s="2" t="s">
        <v>8465</v>
      </c>
      <c r="M211" t="s">
        <v>8003</v>
      </c>
      <c r="N211" s="4"/>
    </row>
    <row r="212" spans="1:14" ht="39" x14ac:dyDescent="0.3">
      <c r="A212" s="1" t="str">
        <f>HYPERLINK("https://ipmanager.doe.gov/IPManager//ExternalLink.aspx?6ibkph2k9yi6F%2B0Vz7YoTjnDGhmGHGI7D1R9dYh5G%2BI%3D","Link")</f>
        <v>Link</v>
      </c>
      <c r="B212" s="2" t="s">
        <v>809</v>
      </c>
      <c r="C212" s="2" t="s">
        <v>769</v>
      </c>
      <c r="D212" s="2" t="s">
        <v>770</v>
      </c>
      <c r="E212" s="2" t="s">
        <v>771</v>
      </c>
      <c r="F212" s="2" t="s">
        <v>810</v>
      </c>
      <c r="G212" s="2" t="s">
        <v>773</v>
      </c>
      <c r="H212" s="7"/>
      <c r="I212" s="2" t="s">
        <v>9</v>
      </c>
      <c r="J212" t="s">
        <v>810</v>
      </c>
      <c r="K212" t="s">
        <v>7710</v>
      </c>
      <c r="L212" s="2" t="s">
        <v>8465</v>
      </c>
      <c r="M212" t="s">
        <v>8003</v>
      </c>
      <c r="N212" s="4"/>
    </row>
    <row r="213" spans="1:14" ht="39" x14ac:dyDescent="0.3">
      <c r="A213" s="1" t="str">
        <f>HYPERLINK("https://ipmanager.doe.gov/IPManager//ExternalLink.aspx?6ibkph2k9yi6F%2B0Vz7YoTjnDGhmGHGI7KpciLpWKXYM%3D","Link")</f>
        <v>Link</v>
      </c>
      <c r="B213" s="2" t="s">
        <v>811</v>
      </c>
      <c r="C213" s="2" t="s">
        <v>769</v>
      </c>
      <c r="D213" s="2" t="s">
        <v>770</v>
      </c>
      <c r="E213" s="2" t="s">
        <v>812</v>
      </c>
      <c r="F213" s="2" t="s">
        <v>813</v>
      </c>
      <c r="G213" s="2" t="s">
        <v>814</v>
      </c>
      <c r="H213" s="7"/>
      <c r="I213" s="2" t="s">
        <v>9</v>
      </c>
      <c r="K213" t="e">
        <v>#N/A</v>
      </c>
      <c r="L213" s="2" t="s">
        <v>8465</v>
      </c>
      <c r="M213" t="s">
        <v>8003</v>
      </c>
      <c r="N213" s="4"/>
    </row>
    <row r="214" spans="1:14" ht="39" x14ac:dyDescent="0.3">
      <c r="A214" s="1" t="str">
        <f>HYPERLINK("https://ipmanager.doe.gov/IPManager//ExternalLink.aspx?6ibkph2k9yi6F%2B0Vz7YoTjnDGhmGHGI78pkCNDRao%2B0%3D","Link")</f>
        <v>Link</v>
      </c>
      <c r="B214" s="2" t="s">
        <v>799</v>
      </c>
      <c r="C214" s="2" t="s">
        <v>769</v>
      </c>
      <c r="D214" s="2" t="s">
        <v>770</v>
      </c>
      <c r="E214" s="2" t="s">
        <v>800</v>
      </c>
      <c r="F214" s="2" t="s">
        <v>815</v>
      </c>
      <c r="G214" s="2" t="s">
        <v>802</v>
      </c>
      <c r="H214" s="7"/>
      <c r="I214" s="2" t="s">
        <v>9</v>
      </c>
      <c r="J214" t="s">
        <v>815</v>
      </c>
      <c r="K214" t="s">
        <v>7748</v>
      </c>
      <c r="L214" s="2" t="s">
        <v>8465</v>
      </c>
      <c r="M214" t="s">
        <v>8003</v>
      </c>
      <c r="N214" s="4"/>
    </row>
    <row r="215" spans="1:14" ht="39" x14ac:dyDescent="0.3">
      <c r="A215" s="1" t="str">
        <f>HYPERLINK("https://ipmanager.doe.gov/IPManager//ExternalLink.aspx?6ibkph2k9yi6F%2B0Vz7YoTu0g4zH%2BOsvyBkMxC%2F5tp6k%3D","Link")</f>
        <v>Link</v>
      </c>
      <c r="B215" s="2" t="s">
        <v>816</v>
      </c>
      <c r="C215" s="2" t="s">
        <v>769</v>
      </c>
      <c r="D215" s="2" t="s">
        <v>770</v>
      </c>
      <c r="E215" s="2" t="s">
        <v>805</v>
      </c>
      <c r="F215" s="2" t="s">
        <v>817</v>
      </c>
      <c r="G215" s="2" t="s">
        <v>818</v>
      </c>
      <c r="H215" s="7"/>
      <c r="I215" s="2" t="s">
        <v>9</v>
      </c>
      <c r="K215" t="e">
        <v>#N/A</v>
      </c>
      <c r="L215" s="2" t="s">
        <v>8465</v>
      </c>
      <c r="M215" t="s">
        <v>8003</v>
      </c>
      <c r="N215" s="4"/>
    </row>
    <row r="216" spans="1:14" ht="26" x14ac:dyDescent="0.3">
      <c r="A216" s="1" t="str">
        <f>HYPERLINK("https://ipmanager.doe.gov/IPManager//ExternalLink.aspx?6ibkph2k9yi6F%2B0Vz7YoTipZ798QK%2BbPXnyceUzN5Do%3D","Link")</f>
        <v>Link</v>
      </c>
      <c r="B216" s="2" t="s">
        <v>819</v>
      </c>
      <c r="C216" s="2" t="s">
        <v>820</v>
      </c>
      <c r="D216" s="2" t="s">
        <v>12</v>
      </c>
      <c r="E216" s="2" t="s">
        <v>821</v>
      </c>
      <c r="F216" s="2" t="s">
        <v>822</v>
      </c>
      <c r="G216" s="2" t="s">
        <v>823</v>
      </c>
      <c r="H216" s="2"/>
      <c r="I216" s="2" t="s">
        <v>9</v>
      </c>
      <c r="J216" t="s">
        <v>6514</v>
      </c>
      <c r="K216" t="s">
        <v>7749</v>
      </c>
      <c r="L216" s="2" t="s">
        <v>8466</v>
      </c>
      <c r="M216" t="s">
        <v>8004</v>
      </c>
      <c r="N216" s="4"/>
    </row>
    <row r="217" spans="1:14" ht="26" x14ac:dyDescent="0.3">
      <c r="A217" s="1" t="str">
        <f>HYPERLINK("https://ipmanager.doe.gov/IPManager//ExternalLink.aspx?6ibkph2k9yi6F%2B0Vz7YoTipZ798QK%2BbPNw5IKaMbpR4%3D","Link")</f>
        <v>Link</v>
      </c>
      <c r="B217" s="2" t="s">
        <v>824</v>
      </c>
      <c r="C217" s="2" t="s">
        <v>820</v>
      </c>
      <c r="D217" s="2" t="s">
        <v>12</v>
      </c>
      <c r="E217" s="2" t="s">
        <v>825</v>
      </c>
      <c r="F217" s="2"/>
      <c r="G217" s="2" t="s">
        <v>9</v>
      </c>
      <c r="H217" s="2"/>
      <c r="I217" s="2" t="s">
        <v>9</v>
      </c>
      <c r="J217" t="s">
        <v>6514</v>
      </c>
      <c r="K217" t="s">
        <v>7749</v>
      </c>
      <c r="L217" s="2" t="s">
        <v>8466</v>
      </c>
      <c r="M217" t="s">
        <v>8004</v>
      </c>
      <c r="N217" s="4"/>
    </row>
    <row r="218" spans="1:14" ht="65" x14ac:dyDescent="0.3">
      <c r="A218" s="1" t="str">
        <f>HYPERLINK("https://ipmanager.doe.gov/IPManager//ExternalLink.aspx?6ibkph2k9yi6F%2B0Vz7YoTjnDGhmGHGI7bJreqH%2FfuC4%3D","Link")</f>
        <v>Link</v>
      </c>
      <c r="B218" s="2" t="s">
        <v>826</v>
      </c>
      <c r="C218" s="2" t="s">
        <v>820</v>
      </c>
      <c r="D218" s="2" t="s">
        <v>770</v>
      </c>
      <c r="E218" s="2" t="s">
        <v>827</v>
      </c>
      <c r="F218" s="2"/>
      <c r="G218" s="2" t="s">
        <v>9</v>
      </c>
      <c r="H218" s="2"/>
      <c r="I218" s="2" t="s">
        <v>9</v>
      </c>
      <c r="J218" t="s">
        <v>6514</v>
      </c>
      <c r="K218" t="s">
        <v>7749</v>
      </c>
      <c r="L218" s="2" t="s">
        <v>8466</v>
      </c>
      <c r="M218" t="s">
        <v>8004</v>
      </c>
      <c r="N218" s="4"/>
    </row>
    <row r="219" spans="1:14" ht="39" x14ac:dyDescent="0.3">
      <c r="A219" s="1" t="str">
        <f>HYPERLINK("https://ipmanager.doe.gov/IPManager//ExternalLink.aspx?6ibkph2k9yi6F%2B0Vz7YoTjnDGhmGHGI7l1jmskpsTVo%3D","Link")</f>
        <v>Link</v>
      </c>
      <c r="B219" s="2" t="s">
        <v>828</v>
      </c>
      <c r="C219" s="2" t="s">
        <v>820</v>
      </c>
      <c r="D219" s="2" t="s">
        <v>770</v>
      </c>
      <c r="E219" s="2" t="s">
        <v>829</v>
      </c>
      <c r="F219" s="2"/>
      <c r="G219" s="2" t="s">
        <v>9</v>
      </c>
      <c r="H219" s="2"/>
      <c r="I219" s="2" t="s">
        <v>9</v>
      </c>
      <c r="J219" t="s">
        <v>5132</v>
      </c>
      <c r="K219" t="s">
        <v>7750</v>
      </c>
      <c r="L219" s="2" t="s">
        <v>8466</v>
      </c>
      <c r="M219" t="s">
        <v>8004</v>
      </c>
      <c r="N219" s="4"/>
    </row>
    <row r="220" spans="1:14" ht="65" x14ac:dyDescent="0.3">
      <c r="A220" s="1" t="str">
        <f>HYPERLINK("https://ipmanager.doe.gov/IPManager//ExternalLink.aspx?6ibkph2k9yi6F%2B0Vz7YoTr7J5I%2BY4foYKatjT06OdDw%3D","Link")</f>
        <v>Link</v>
      </c>
      <c r="B220" s="2" t="s">
        <v>830</v>
      </c>
      <c r="C220" s="2" t="s">
        <v>831</v>
      </c>
      <c r="D220" s="2" t="s">
        <v>770</v>
      </c>
      <c r="E220" s="2" t="s">
        <v>832</v>
      </c>
      <c r="F220" s="2"/>
      <c r="G220" s="2" t="s">
        <v>9</v>
      </c>
      <c r="H220" s="2"/>
      <c r="I220" s="2" t="s">
        <v>9</v>
      </c>
      <c r="J220" t="s">
        <v>5137</v>
      </c>
      <c r="K220" t="s">
        <v>7751</v>
      </c>
      <c r="L220" s="2" t="s">
        <v>8467</v>
      </c>
      <c r="M220" t="s">
        <v>8005</v>
      </c>
      <c r="N220" s="4"/>
    </row>
    <row r="221" spans="1:14" ht="91" x14ac:dyDescent="0.3">
      <c r="A221" s="1" t="str">
        <f>HYPERLINK("https://ipmanager.doe.gov/IPManager//ExternalLink.aspx?6ibkph2k9yi6F%2B0Vz7YoTipZ798QK%2BbPac0ofICNSoM%3D","Link")</f>
        <v>Link</v>
      </c>
      <c r="B221" s="2" t="s">
        <v>833</v>
      </c>
      <c r="C221" s="2" t="s">
        <v>831</v>
      </c>
      <c r="D221" s="2" t="s">
        <v>770</v>
      </c>
      <c r="E221" s="2" t="s">
        <v>834</v>
      </c>
      <c r="F221" s="2" t="s">
        <v>835</v>
      </c>
      <c r="G221" s="2" t="s">
        <v>836</v>
      </c>
      <c r="H221" s="2">
        <v>8951776</v>
      </c>
      <c r="I221" s="2" t="s">
        <v>837</v>
      </c>
      <c r="J221" t="s">
        <v>6862</v>
      </c>
      <c r="K221" t="s">
        <v>7752</v>
      </c>
      <c r="L221" s="2" t="s">
        <v>8467</v>
      </c>
      <c r="M221" t="s">
        <v>8005</v>
      </c>
    </row>
    <row r="222" spans="1:14" ht="52" x14ac:dyDescent="0.3">
      <c r="A222" s="1" t="str">
        <f>HYPERLINK("https://ipmanager.doe.gov/IPManager//ExternalLink.aspx?6ibkph2k9yi6F%2B0Vz7YoTipZ798QK%2BbPdCDjx%2Bs4QOI%3D","Link")</f>
        <v>Link</v>
      </c>
      <c r="B222" s="2" t="s">
        <v>848</v>
      </c>
      <c r="C222" s="2" t="s">
        <v>831</v>
      </c>
      <c r="D222" s="2" t="s">
        <v>770</v>
      </c>
      <c r="E222" s="2" t="s">
        <v>839</v>
      </c>
      <c r="F222" s="2" t="s">
        <v>849</v>
      </c>
      <c r="G222" s="2" t="s">
        <v>850</v>
      </c>
      <c r="H222" s="2">
        <v>9994876</v>
      </c>
      <c r="I222" s="2" t="s">
        <v>851</v>
      </c>
      <c r="J222" t="s">
        <v>4787</v>
      </c>
      <c r="K222" t="s">
        <v>7753</v>
      </c>
      <c r="L222" s="2" t="s">
        <v>8467</v>
      </c>
      <c r="M222" t="s">
        <v>8005</v>
      </c>
    </row>
    <row r="223" spans="1:14" ht="39" x14ac:dyDescent="0.3">
      <c r="A223" s="1" t="str">
        <f>HYPERLINK("https://ipmanager.doe.gov/IPManager//ExternalLink.aspx?6ibkph2k9yi6F%2B0Vz7YoTipZ798QK%2BbPjDwqGi6ZgWU%3D","Link")</f>
        <v>Link</v>
      </c>
      <c r="B223" s="2" t="s">
        <v>852</v>
      </c>
      <c r="C223" s="2" t="s">
        <v>831</v>
      </c>
      <c r="D223" s="2" t="s">
        <v>770</v>
      </c>
      <c r="E223" s="2" t="s">
        <v>853</v>
      </c>
      <c r="F223" s="2" t="s">
        <v>854</v>
      </c>
      <c r="G223" s="2" t="s">
        <v>847</v>
      </c>
      <c r="H223" s="2">
        <v>9096876</v>
      </c>
      <c r="I223" s="2" t="s">
        <v>855</v>
      </c>
      <c r="J223" t="s">
        <v>4784</v>
      </c>
      <c r="K223" t="s">
        <v>7754</v>
      </c>
      <c r="L223" s="2" t="s">
        <v>8467</v>
      </c>
      <c r="M223" t="s">
        <v>8005</v>
      </c>
    </row>
    <row r="224" spans="1:14" ht="91" x14ac:dyDescent="0.3">
      <c r="A224" s="1" t="str">
        <f>HYPERLINK("https://ipmanager.doe.gov/IPManager//ExternalLink.aspx?6ibkph2k9yi6F%2B0Vz7YoTjnDGhmGHGI7efi0o0KyjnU%3D","Link")</f>
        <v>Link</v>
      </c>
      <c r="B224" s="2" t="s">
        <v>856</v>
      </c>
      <c r="C224" s="2" t="s">
        <v>831</v>
      </c>
      <c r="D224" s="2" t="s">
        <v>770</v>
      </c>
      <c r="E224" s="2" t="s">
        <v>834</v>
      </c>
      <c r="F224" s="2" t="s">
        <v>857</v>
      </c>
      <c r="G224" s="2" t="s">
        <v>858</v>
      </c>
      <c r="H224" s="2"/>
      <c r="I224" s="2" t="s">
        <v>9</v>
      </c>
      <c r="J224" t="s">
        <v>5684</v>
      </c>
      <c r="K224" t="s">
        <v>7755</v>
      </c>
      <c r="L224" s="2" t="s">
        <v>8467</v>
      </c>
      <c r="M224" t="s">
        <v>8005</v>
      </c>
      <c r="N224" s="4"/>
    </row>
    <row r="225" spans="1:14" ht="52" x14ac:dyDescent="0.3">
      <c r="A225" s="1" t="str">
        <f>HYPERLINK("https://ipmanager.doe.gov/IPManager//ExternalLink.aspx?6ibkph2k9yi6F%2B0Vz7YoThEBhkR3uHVr5FxrTYPjAwQ%3D","Link")</f>
        <v>Link</v>
      </c>
      <c r="B225" s="2" t="s">
        <v>866</v>
      </c>
      <c r="C225" s="2" t="s">
        <v>831</v>
      </c>
      <c r="D225" s="2" t="s">
        <v>770</v>
      </c>
      <c r="E225" s="2" t="s">
        <v>843</v>
      </c>
      <c r="F225" s="2" t="s">
        <v>846</v>
      </c>
      <c r="G225" s="2" t="s">
        <v>855</v>
      </c>
      <c r="H225" s="2">
        <v>9879248</v>
      </c>
      <c r="I225" s="2" t="s">
        <v>867</v>
      </c>
      <c r="J225" t="s">
        <v>2338</v>
      </c>
      <c r="K225" t="s">
        <v>7756</v>
      </c>
      <c r="L225" s="2" t="s">
        <v>8467</v>
      </c>
      <c r="M225" t="s">
        <v>8005</v>
      </c>
    </row>
    <row r="226" spans="1:14" ht="52" x14ac:dyDescent="0.3">
      <c r="A226" s="1" t="str">
        <f>HYPERLINK("https://ipmanager.doe.gov/IPManager//ExternalLink.aspx?6ibkph2k9yi6F%2B0Vz7YoThEBhkR3uHVrj2eHVV3xGJg%3D","Link")</f>
        <v>Link</v>
      </c>
      <c r="B226" s="2" t="s">
        <v>838</v>
      </c>
      <c r="C226" s="2" t="s">
        <v>831</v>
      </c>
      <c r="D226" s="2" t="s">
        <v>770</v>
      </c>
      <c r="E226" s="2" t="s">
        <v>839</v>
      </c>
      <c r="F226" s="2" t="s">
        <v>840</v>
      </c>
      <c r="G226" s="2" t="s">
        <v>841</v>
      </c>
      <c r="H226" s="7"/>
      <c r="I226" s="2" t="s">
        <v>9</v>
      </c>
      <c r="K226" t="e">
        <v>#N/A</v>
      </c>
      <c r="L226" s="2" t="s">
        <v>8467</v>
      </c>
      <c r="M226" t="s">
        <v>8005</v>
      </c>
      <c r="N226" s="4"/>
    </row>
    <row r="227" spans="1:14" ht="52" x14ac:dyDescent="0.3">
      <c r="A227" s="1" t="str">
        <f>HYPERLINK("https://ipmanager.doe.gov/IPManager//ExternalLink.aspx?6ibkph2k9yi6F%2B0Vz7YoTu0g4zH%2BOsvyJoa%2Bdv3Bhds%3D","Link")</f>
        <v>Link</v>
      </c>
      <c r="B227" s="2" t="s">
        <v>842</v>
      </c>
      <c r="C227" s="2" t="s">
        <v>831</v>
      </c>
      <c r="D227" s="2" t="s">
        <v>770</v>
      </c>
      <c r="E227" s="2" t="s">
        <v>843</v>
      </c>
      <c r="F227" s="2" t="s">
        <v>844</v>
      </c>
      <c r="G227" s="2" t="s">
        <v>845</v>
      </c>
      <c r="H227" s="7"/>
      <c r="I227" s="2" t="s">
        <v>9</v>
      </c>
      <c r="K227" t="e">
        <v>#N/A</v>
      </c>
      <c r="L227" s="2" t="s">
        <v>8467</v>
      </c>
      <c r="M227" t="s">
        <v>8005</v>
      </c>
      <c r="N227" s="4"/>
    </row>
    <row r="228" spans="1:14" ht="91" x14ac:dyDescent="0.3">
      <c r="A228" s="1" t="str">
        <f>HYPERLINK("https://ipmanager.doe.gov/IPManager//ExternalLink.aspx?6ibkph2k9yi6F%2B0Vz7YoTjnDGhmGHGI72Je8cT6v4EY%3D","Link")</f>
        <v>Link</v>
      </c>
      <c r="B228" s="2" t="s">
        <v>859</v>
      </c>
      <c r="C228" s="2" t="s">
        <v>831</v>
      </c>
      <c r="D228" s="2" t="s">
        <v>770</v>
      </c>
      <c r="E228" s="2" t="s">
        <v>860</v>
      </c>
      <c r="F228" s="2" t="s">
        <v>861</v>
      </c>
      <c r="G228" s="2" t="s">
        <v>841</v>
      </c>
      <c r="H228" s="7"/>
      <c r="I228" s="2" t="s">
        <v>9</v>
      </c>
      <c r="J228" t="s">
        <v>861</v>
      </c>
      <c r="K228" t="s">
        <v>7712</v>
      </c>
      <c r="L228" s="2" t="s">
        <v>8467</v>
      </c>
      <c r="M228" t="s">
        <v>8005</v>
      </c>
      <c r="N228" s="4"/>
    </row>
    <row r="229" spans="1:14" ht="39" x14ac:dyDescent="0.3">
      <c r="A229" s="1" t="str">
        <f>HYPERLINK("https://ipmanager.doe.gov/IPManager//ExternalLink.aspx?6ibkph2k9yi6F%2B0Vz7YoTjnDGhmGHGI7jbzA4rHCR40%3D","Link")</f>
        <v>Link</v>
      </c>
      <c r="B229" s="2" t="s">
        <v>862</v>
      </c>
      <c r="C229" s="2" t="s">
        <v>831</v>
      </c>
      <c r="D229" s="2" t="s">
        <v>770</v>
      </c>
      <c r="E229" s="2" t="s">
        <v>853</v>
      </c>
      <c r="F229" s="2" t="s">
        <v>863</v>
      </c>
      <c r="G229" s="2" t="s">
        <v>847</v>
      </c>
      <c r="H229" s="7"/>
      <c r="I229" s="2" t="s">
        <v>9</v>
      </c>
      <c r="J229" t="s">
        <v>863</v>
      </c>
      <c r="K229" t="s">
        <v>7713</v>
      </c>
      <c r="L229" s="2" t="s">
        <v>8467</v>
      </c>
      <c r="M229" t="s">
        <v>8005</v>
      </c>
      <c r="N229" s="4"/>
    </row>
    <row r="230" spans="1:14" ht="91" x14ac:dyDescent="0.3">
      <c r="A230" s="1" t="str">
        <f>HYPERLINK("https://ipmanager.doe.gov/IPManager//ExternalLink.aspx?6ibkph2k9yi6F%2B0Vz7YoTjnDGhmGHGI7viOUj9jn9ZE%3D","Link")</f>
        <v>Link</v>
      </c>
      <c r="B230" s="2" t="s">
        <v>864</v>
      </c>
      <c r="C230" s="2" t="s">
        <v>831</v>
      </c>
      <c r="D230" s="2" t="s">
        <v>770</v>
      </c>
      <c r="E230" s="2" t="s">
        <v>834</v>
      </c>
      <c r="F230" s="2" t="s">
        <v>865</v>
      </c>
      <c r="G230" s="2" t="s">
        <v>836</v>
      </c>
      <c r="H230" s="7"/>
      <c r="I230" s="2" t="s">
        <v>9</v>
      </c>
      <c r="J230" t="s">
        <v>865</v>
      </c>
      <c r="K230" t="s">
        <v>7669</v>
      </c>
      <c r="L230" s="2" t="s">
        <v>8467</v>
      </c>
      <c r="M230" t="s">
        <v>8005</v>
      </c>
      <c r="N230" s="4"/>
    </row>
    <row r="231" spans="1:14" ht="52" x14ac:dyDescent="0.3">
      <c r="A231" s="1" t="str">
        <f>HYPERLINK("https://ipmanager.doe.gov/IPManager//ExternalLink.aspx?6ibkph2k9yi6F%2B0Vz7YoTp68px7nSN2gdR0TC5vEoQA%3D","Link")</f>
        <v>Link</v>
      </c>
      <c r="B231" s="2" t="s">
        <v>868</v>
      </c>
      <c r="C231" s="2" t="s">
        <v>831</v>
      </c>
      <c r="D231" s="2" t="s">
        <v>770</v>
      </c>
      <c r="E231" s="2" t="s">
        <v>839</v>
      </c>
      <c r="F231" s="2" t="s">
        <v>869</v>
      </c>
      <c r="G231" s="2" t="s">
        <v>870</v>
      </c>
      <c r="H231" s="7"/>
      <c r="I231" s="2" t="s">
        <v>9</v>
      </c>
      <c r="K231" t="e">
        <v>#N/A</v>
      </c>
      <c r="L231" s="2" t="s">
        <v>8467</v>
      </c>
      <c r="M231" t="s">
        <v>8005</v>
      </c>
      <c r="N231" s="4"/>
    </row>
    <row r="232" spans="1:14" ht="39" x14ac:dyDescent="0.3">
      <c r="A232" s="1" t="str">
        <f>HYPERLINK("https://ipmanager.doe.gov/IPManager//ExternalLink.aspx?6ibkph2k9yi6F%2B0Vz7YoTr7J5I%2BY4foYpzWNWBClTlI%3D","Link")</f>
        <v>Link</v>
      </c>
      <c r="B232" s="2" t="s">
        <v>871</v>
      </c>
      <c r="C232" s="2" t="s">
        <v>831</v>
      </c>
      <c r="D232" s="2" t="s">
        <v>770</v>
      </c>
      <c r="E232" s="2" t="s">
        <v>872</v>
      </c>
      <c r="F232" s="2" t="s">
        <v>873</v>
      </c>
      <c r="G232" s="2" t="s">
        <v>874</v>
      </c>
      <c r="H232" s="7"/>
      <c r="I232" s="2" t="s">
        <v>9</v>
      </c>
      <c r="J232" t="s">
        <v>873</v>
      </c>
      <c r="K232" t="s">
        <v>7714</v>
      </c>
      <c r="L232" s="2" t="s">
        <v>8467</v>
      </c>
      <c r="M232" t="s">
        <v>8005</v>
      </c>
      <c r="N232" s="4"/>
    </row>
    <row r="233" spans="1:14" ht="65" x14ac:dyDescent="0.3">
      <c r="A233" s="1" t="str">
        <f>HYPERLINK("https://ipmanager.doe.gov/IPManager//ExternalLink.aspx?6ibkph2k9yi6F%2B0Vz7YoTvPUg%2FVZPl3iF0CZ5Ypt72c%3D","Link")</f>
        <v>Link</v>
      </c>
      <c r="B233" s="2" t="s">
        <v>876</v>
      </c>
      <c r="C233" s="2" t="s">
        <v>877</v>
      </c>
      <c r="D233" s="2" t="s">
        <v>878</v>
      </c>
      <c r="E233" s="2" t="s">
        <v>879</v>
      </c>
      <c r="F233" s="2" t="s">
        <v>880</v>
      </c>
      <c r="G233" s="2" t="s">
        <v>881</v>
      </c>
      <c r="H233" s="7"/>
      <c r="I233" s="2" t="s">
        <v>9</v>
      </c>
      <c r="K233" t="e">
        <v>#N/A</v>
      </c>
      <c r="L233" s="2" t="s">
        <v>8468</v>
      </c>
      <c r="M233" t="s">
        <v>8006</v>
      </c>
      <c r="N233" s="4"/>
    </row>
    <row r="234" spans="1:14" ht="39" x14ac:dyDescent="0.3">
      <c r="A234" s="1" t="str">
        <f>HYPERLINK("https://ipmanager.doe.gov/IPManager//ExternalLink.aspx?6ibkph2k9yi6F%2B0Vz7YoTjnDGhmGHGI7%2BOPeX6K9Dqs%3D","Link")</f>
        <v>Link</v>
      </c>
      <c r="B234" s="2" t="s">
        <v>884</v>
      </c>
      <c r="C234" s="2" t="s">
        <v>877</v>
      </c>
      <c r="D234" s="2" t="s">
        <v>878</v>
      </c>
      <c r="E234" s="2" t="s">
        <v>885</v>
      </c>
      <c r="F234" s="2" t="s">
        <v>882</v>
      </c>
      <c r="G234" s="2" t="s">
        <v>886</v>
      </c>
      <c r="H234" s="7"/>
      <c r="I234" s="2" t="s">
        <v>9</v>
      </c>
      <c r="K234" t="e">
        <v>#N/A</v>
      </c>
      <c r="L234" s="2" t="s">
        <v>8468</v>
      </c>
      <c r="M234" t="s">
        <v>8006</v>
      </c>
      <c r="N234" s="4"/>
    </row>
    <row r="235" spans="1:14" ht="39" x14ac:dyDescent="0.3">
      <c r="A235" s="1" t="str">
        <f>HYPERLINK("https://ipmanager.doe.gov/IPManager//ExternalLink.aspx?6ibkph2k9yi6F%2B0Vz7YoTr7J5I%2BY4foYfF0Wlb4mQOw%3D","Link")</f>
        <v>Link</v>
      </c>
      <c r="B235" s="2" t="s">
        <v>887</v>
      </c>
      <c r="C235" s="2" t="s">
        <v>877</v>
      </c>
      <c r="D235" s="2" t="s">
        <v>878</v>
      </c>
      <c r="E235" s="2" t="s">
        <v>888</v>
      </c>
      <c r="F235" s="2" t="s">
        <v>889</v>
      </c>
      <c r="G235" s="2" t="s">
        <v>474</v>
      </c>
      <c r="H235" s="7"/>
      <c r="I235" s="2" t="s">
        <v>9</v>
      </c>
      <c r="J235" t="s">
        <v>889</v>
      </c>
      <c r="K235" t="s">
        <v>7694</v>
      </c>
      <c r="L235" s="2" t="s">
        <v>8468</v>
      </c>
      <c r="M235" t="s">
        <v>8006</v>
      </c>
      <c r="N235" s="4"/>
    </row>
    <row r="236" spans="1:14" ht="39" x14ac:dyDescent="0.3">
      <c r="A236" s="1" t="str">
        <f>HYPERLINK("https://ipmanager.doe.gov/IPManager//ExternalLink.aspx?6ibkph2k9yi6F%2B0Vz7YoTr7J5I%2BY4foYPi7zNJq5Tfo%3D","Link")</f>
        <v>Link</v>
      </c>
      <c r="B236" s="2" t="s">
        <v>890</v>
      </c>
      <c r="C236" s="2" t="s">
        <v>877</v>
      </c>
      <c r="D236" s="2" t="s">
        <v>878</v>
      </c>
      <c r="E236" s="2" t="s">
        <v>891</v>
      </c>
      <c r="F236" s="2" t="s">
        <v>892</v>
      </c>
      <c r="G236" s="2" t="s">
        <v>693</v>
      </c>
      <c r="H236" s="7"/>
      <c r="I236" s="2" t="s">
        <v>9</v>
      </c>
      <c r="J236" t="s">
        <v>892</v>
      </c>
      <c r="K236" t="s">
        <v>7695</v>
      </c>
      <c r="L236" s="2" t="s">
        <v>8468</v>
      </c>
      <c r="M236" t="s">
        <v>8006</v>
      </c>
      <c r="N236" s="4"/>
    </row>
    <row r="237" spans="1:14" ht="39" x14ac:dyDescent="0.3">
      <c r="A237" s="1" t="str">
        <f>HYPERLINK("https://ipmanager.doe.gov/IPManager//ExternalLink.aspx?6ibkph2k9yi6F%2B0Vz7YoTipZ798QK%2BbPEihWJOedazk%3D","Link")</f>
        <v>Link</v>
      </c>
      <c r="B237" s="2" t="s">
        <v>890</v>
      </c>
      <c r="C237" s="2" t="s">
        <v>877</v>
      </c>
      <c r="D237" s="2" t="s">
        <v>878</v>
      </c>
      <c r="E237" s="2" t="s">
        <v>891</v>
      </c>
      <c r="F237" s="2" t="s">
        <v>893</v>
      </c>
      <c r="G237" s="2" t="s">
        <v>894</v>
      </c>
      <c r="H237" s="7"/>
      <c r="I237" s="2" t="s">
        <v>9</v>
      </c>
      <c r="K237" t="e">
        <v>#N/A</v>
      </c>
      <c r="L237" s="2" t="s">
        <v>8468</v>
      </c>
      <c r="M237" t="s">
        <v>8006</v>
      </c>
      <c r="N237" s="4"/>
    </row>
    <row r="238" spans="1:14" ht="39" x14ac:dyDescent="0.3">
      <c r="A238" s="1" t="str">
        <f>HYPERLINK("https://ipmanager.doe.gov/IPManager//ExternalLink.aspx?6ibkph2k9yi6F%2B0Vz7YoTipZ798QK%2BbPNFfHFXykDC4%3D","Link")</f>
        <v>Link</v>
      </c>
      <c r="B238" s="2" t="s">
        <v>887</v>
      </c>
      <c r="C238" s="2" t="s">
        <v>877</v>
      </c>
      <c r="D238" s="2" t="s">
        <v>878</v>
      </c>
      <c r="E238" s="2" t="s">
        <v>888</v>
      </c>
      <c r="F238" s="2" t="s">
        <v>895</v>
      </c>
      <c r="G238" s="2" t="s">
        <v>896</v>
      </c>
      <c r="H238" s="7"/>
      <c r="I238" s="2" t="s">
        <v>9</v>
      </c>
      <c r="K238" t="e">
        <v>#N/A</v>
      </c>
      <c r="L238" s="2" t="s">
        <v>8468</v>
      </c>
      <c r="M238" t="s">
        <v>8006</v>
      </c>
      <c r="N238" s="4"/>
    </row>
    <row r="239" spans="1:14" ht="65" x14ac:dyDescent="0.3">
      <c r="A239" s="1" t="str">
        <f>HYPERLINK("https://ipmanager.doe.gov/IPManager//ExternalLink.aspx?6ibkph2k9yi6F%2B0Vz7YoTipZ798QK%2BbP5sZHmEetLNk%3D","Link")</f>
        <v>Link</v>
      </c>
      <c r="B239" s="2" t="s">
        <v>898</v>
      </c>
      <c r="C239" s="2" t="s">
        <v>877</v>
      </c>
      <c r="D239" s="2" t="s">
        <v>878</v>
      </c>
      <c r="E239" s="2" t="s">
        <v>899</v>
      </c>
      <c r="F239" s="2" t="s">
        <v>900</v>
      </c>
      <c r="G239" s="2" t="s">
        <v>901</v>
      </c>
      <c r="H239" s="7"/>
      <c r="I239" s="2" t="s">
        <v>9</v>
      </c>
      <c r="K239" t="e">
        <v>#N/A</v>
      </c>
      <c r="L239" s="2" t="s">
        <v>8468</v>
      </c>
      <c r="M239" t="s">
        <v>8006</v>
      </c>
      <c r="N239" s="4"/>
    </row>
    <row r="240" spans="1:14" ht="52" x14ac:dyDescent="0.3">
      <c r="A240" s="1" t="str">
        <f>HYPERLINK("https://ipmanager.doe.gov/IPManager//ExternalLink.aspx?6ibkph2k9yi6F%2B0Vz7YoTr7J5I%2BY4foYijn5MpLWci4%3D","Link")</f>
        <v>Link</v>
      </c>
      <c r="B240" s="2" t="s">
        <v>902</v>
      </c>
      <c r="C240" s="2" t="s">
        <v>877</v>
      </c>
      <c r="D240" s="2" t="s">
        <v>903</v>
      </c>
      <c r="E240" s="2" t="s">
        <v>904</v>
      </c>
      <c r="F240" s="2" t="s">
        <v>905</v>
      </c>
      <c r="G240" s="2" t="s">
        <v>906</v>
      </c>
      <c r="H240" s="7"/>
      <c r="I240" s="2" t="s">
        <v>9</v>
      </c>
      <c r="K240" t="e">
        <v>#N/A</v>
      </c>
      <c r="L240" s="2" t="s">
        <v>8468</v>
      </c>
      <c r="M240" t="s">
        <v>8006</v>
      </c>
      <c r="N240" s="4"/>
    </row>
    <row r="241" spans="1:14" ht="26" x14ac:dyDescent="0.3">
      <c r="A241" s="1" t="str">
        <f>HYPERLINK("https://ipmanager.doe.gov/IPManager//ExternalLink.aspx?6ibkph2k9yi6F%2B0Vz7YoTu0g4zH%2BOsvyATac5GU2qug%3D","Link")</f>
        <v>Link</v>
      </c>
      <c r="B241" s="2" t="s">
        <v>917</v>
      </c>
      <c r="C241" s="2" t="s">
        <v>908</v>
      </c>
      <c r="D241" s="2" t="s">
        <v>909</v>
      </c>
      <c r="E241" s="2" t="s">
        <v>918</v>
      </c>
      <c r="F241" s="2" t="s">
        <v>919</v>
      </c>
      <c r="G241" s="2" t="s">
        <v>920</v>
      </c>
      <c r="H241" s="2">
        <v>8828574</v>
      </c>
      <c r="I241" s="2" t="s">
        <v>921</v>
      </c>
      <c r="J241" t="s">
        <v>5486</v>
      </c>
      <c r="K241" t="s">
        <v>7757</v>
      </c>
      <c r="L241" s="2" t="s">
        <v>8469</v>
      </c>
      <c r="M241" t="s">
        <v>8007</v>
      </c>
    </row>
    <row r="242" spans="1:14" ht="26" x14ac:dyDescent="0.3">
      <c r="A242" s="1" t="str">
        <f>HYPERLINK("https://ipmanager.doe.gov/IPManager//ExternalLink.aspx?6ibkph2k9yi6F%2B0Vz7YoTu0g4zH%2BOsvyv7uuMg%2BOgEo%3D","Link")</f>
        <v>Link</v>
      </c>
      <c r="B242" s="2" t="s">
        <v>925</v>
      </c>
      <c r="C242" s="2" t="s">
        <v>908</v>
      </c>
      <c r="D242" s="2" t="s">
        <v>909</v>
      </c>
      <c r="E242" s="2" t="s">
        <v>918</v>
      </c>
      <c r="F242" s="2" t="s">
        <v>926</v>
      </c>
      <c r="G242" s="2" t="s">
        <v>927</v>
      </c>
      <c r="H242" s="2">
        <v>8828575</v>
      </c>
      <c r="I242" s="2" t="s">
        <v>724</v>
      </c>
      <c r="J242" t="s">
        <v>5503</v>
      </c>
      <c r="K242" t="s">
        <v>7758</v>
      </c>
      <c r="L242" s="2" t="s">
        <v>8469</v>
      </c>
      <c r="M242" t="s">
        <v>8007</v>
      </c>
    </row>
    <row r="243" spans="1:14" ht="39" x14ac:dyDescent="0.3">
      <c r="A243" s="1" t="str">
        <f>HYPERLINK("https://ipmanager.doe.gov/IPManager//ExternalLink.aspx?6ibkph2k9yi6F%2B0Vz7YoTu0g4zH%2BOsvy9fSpn3yTn7M%3D","Link")</f>
        <v>Link</v>
      </c>
      <c r="B243" s="2" t="s">
        <v>928</v>
      </c>
      <c r="C243" s="2" t="s">
        <v>908</v>
      </c>
      <c r="D243" s="2" t="s">
        <v>909</v>
      </c>
      <c r="E243" s="2" t="s">
        <v>918</v>
      </c>
      <c r="F243" s="2" t="s">
        <v>929</v>
      </c>
      <c r="G243" s="2" t="s">
        <v>927</v>
      </c>
      <c r="H243" s="2">
        <v>8828575</v>
      </c>
      <c r="I243" s="2" t="s">
        <v>724</v>
      </c>
      <c r="J243" t="s">
        <v>5371</v>
      </c>
      <c r="K243" t="s">
        <v>7759</v>
      </c>
      <c r="L243" s="2" t="s">
        <v>8469</v>
      </c>
      <c r="M243" t="s">
        <v>8007</v>
      </c>
      <c r="N243" s="5" t="s">
        <v>7526</v>
      </c>
    </row>
    <row r="244" spans="1:14" ht="39" x14ac:dyDescent="0.3">
      <c r="A244" s="1" t="str">
        <f>HYPERLINK("https://ipmanager.doe.gov/IPManager//ExternalLink.aspx?6ibkph2k9yi6F%2B0Vz7YoTp68px7nSN2gd%2FsM3WlMy0k%3D","Link")</f>
        <v>Link</v>
      </c>
      <c r="B244" s="2" t="s">
        <v>934</v>
      </c>
      <c r="C244" s="2" t="s">
        <v>908</v>
      </c>
      <c r="D244" s="2" t="s">
        <v>909</v>
      </c>
      <c r="E244" s="2" t="s">
        <v>935</v>
      </c>
      <c r="F244" s="2" t="s">
        <v>936</v>
      </c>
      <c r="G244" s="2" t="s">
        <v>937</v>
      </c>
      <c r="H244" s="2">
        <v>8932771</v>
      </c>
      <c r="I244" s="2" t="s">
        <v>938</v>
      </c>
      <c r="J244" t="s">
        <v>6016</v>
      </c>
      <c r="K244" t="s">
        <v>7760</v>
      </c>
      <c r="L244" s="2" t="s">
        <v>8469</v>
      </c>
      <c r="M244" t="s">
        <v>8007</v>
      </c>
    </row>
    <row r="245" spans="1:14" ht="26" x14ac:dyDescent="0.3">
      <c r="A245" s="1" t="str">
        <f>HYPERLINK("https://ipmanager.doe.gov/IPManager//ExternalLink.aspx?6ibkph2k9yi6F%2B0Vz7YoTp68px7nSN2guZzu08CyvZM%3D","Link")</f>
        <v>Link</v>
      </c>
      <c r="B245" s="2" t="s">
        <v>939</v>
      </c>
      <c r="C245" s="2" t="s">
        <v>908</v>
      </c>
      <c r="D245" s="2" t="s">
        <v>909</v>
      </c>
      <c r="E245" s="2" t="s">
        <v>914</v>
      </c>
      <c r="F245" s="2" t="s">
        <v>924</v>
      </c>
      <c r="G245" s="2" t="s">
        <v>418</v>
      </c>
      <c r="H245" s="2">
        <v>9660311</v>
      </c>
      <c r="I245" s="2" t="s">
        <v>940</v>
      </c>
      <c r="J245" t="s">
        <v>2235</v>
      </c>
      <c r="K245" t="s">
        <v>7761</v>
      </c>
      <c r="L245" s="2" t="s">
        <v>8469</v>
      </c>
      <c r="M245" t="s">
        <v>8007</v>
      </c>
    </row>
    <row r="246" spans="1:14" ht="26" x14ac:dyDescent="0.3">
      <c r="A246" s="1" t="str">
        <f>HYPERLINK("https://ipmanager.doe.gov/IPManager//ExternalLink.aspx?6ibkph2k9yi6F%2B0Vz7YoTp68px7nSN2gmRbRAbdMAsU%3D","Link")</f>
        <v>Link</v>
      </c>
      <c r="B246" s="2" t="s">
        <v>941</v>
      </c>
      <c r="C246" s="2" t="s">
        <v>908</v>
      </c>
      <c r="D246" s="2" t="s">
        <v>909</v>
      </c>
      <c r="E246" s="2" t="s">
        <v>918</v>
      </c>
      <c r="F246" s="2" t="s">
        <v>919</v>
      </c>
      <c r="G246" s="2" t="s">
        <v>920</v>
      </c>
      <c r="H246" s="2">
        <v>8828574</v>
      </c>
      <c r="I246" s="2" t="s">
        <v>921</v>
      </c>
      <c r="J246" t="s">
        <v>2530</v>
      </c>
      <c r="K246" t="s">
        <v>7762</v>
      </c>
      <c r="L246" s="2" t="s">
        <v>8469</v>
      </c>
      <c r="M246" t="s">
        <v>8007</v>
      </c>
    </row>
    <row r="247" spans="1:14" ht="39" x14ac:dyDescent="0.3">
      <c r="A247" s="1" t="str">
        <f>HYPERLINK("https://ipmanager.doe.gov/IPManager//ExternalLink.aspx?6ibkph2k9yi6F%2B0Vz7YoTp68px7nSN2gv9qtHIFJ%2FlM%3D","Link")</f>
        <v>Link</v>
      </c>
      <c r="B247" s="2" t="s">
        <v>907</v>
      </c>
      <c r="C247" s="2" t="s">
        <v>908</v>
      </c>
      <c r="D247" s="2" t="s">
        <v>909</v>
      </c>
      <c r="E247" s="2" t="s">
        <v>910</v>
      </c>
      <c r="F247" s="2" t="s">
        <v>911</v>
      </c>
      <c r="G247" s="2" t="s">
        <v>912</v>
      </c>
      <c r="H247" s="7"/>
      <c r="I247" s="2" t="s">
        <v>9</v>
      </c>
      <c r="K247" t="e">
        <v>#N/A</v>
      </c>
      <c r="L247" s="2" t="s">
        <v>8469</v>
      </c>
      <c r="M247" t="s">
        <v>8007</v>
      </c>
      <c r="N247" s="4"/>
    </row>
    <row r="248" spans="1:14" ht="26" x14ac:dyDescent="0.3">
      <c r="A248" s="1" t="str">
        <f>HYPERLINK("https://ipmanager.doe.gov/IPManager//ExternalLink.aspx?6ibkph2k9yi6F%2B0Vz7YoTu0g4zH%2BOsvyPlDfUPOz3Wc%3D","Link")</f>
        <v>Link</v>
      </c>
      <c r="B248" s="2" t="s">
        <v>913</v>
      </c>
      <c r="C248" s="2" t="s">
        <v>908</v>
      </c>
      <c r="D248" s="2" t="s">
        <v>909</v>
      </c>
      <c r="E248" s="2" t="s">
        <v>914</v>
      </c>
      <c r="F248" s="2" t="s">
        <v>915</v>
      </c>
      <c r="G248" s="2" t="s">
        <v>916</v>
      </c>
      <c r="H248" s="7"/>
      <c r="I248" s="2" t="s">
        <v>9</v>
      </c>
      <c r="K248" t="e">
        <v>#N/A</v>
      </c>
      <c r="L248" s="2" t="s">
        <v>8469</v>
      </c>
      <c r="M248" t="s">
        <v>8007</v>
      </c>
      <c r="N248" s="4"/>
    </row>
    <row r="249" spans="1:14" ht="26" x14ac:dyDescent="0.3">
      <c r="A249" s="1" t="str">
        <f>HYPERLINK("https://ipmanager.doe.gov/IPManager//ExternalLink.aspx?6ibkph2k9yi6F%2B0Vz7YoThEBhkR3uHVrOILCHIc6FLk%3D","Link")</f>
        <v>Link</v>
      </c>
      <c r="B249" s="2" t="s">
        <v>922</v>
      </c>
      <c r="C249" s="2" t="s">
        <v>908</v>
      </c>
      <c r="D249" s="2" t="s">
        <v>909</v>
      </c>
      <c r="E249" s="2" t="s">
        <v>914</v>
      </c>
      <c r="F249" s="2" t="s">
        <v>923</v>
      </c>
      <c r="G249" s="2" t="s">
        <v>916</v>
      </c>
      <c r="H249" s="7"/>
      <c r="I249" s="2" t="s">
        <v>9</v>
      </c>
      <c r="K249" t="e">
        <v>#N/A</v>
      </c>
      <c r="L249" s="2" t="s">
        <v>8469</v>
      </c>
      <c r="M249" t="s">
        <v>8007</v>
      </c>
      <c r="N249" s="4"/>
    </row>
    <row r="250" spans="1:14" ht="39" x14ac:dyDescent="0.3">
      <c r="A250" s="1" t="str">
        <f>HYPERLINK("https://ipmanager.doe.gov/IPManager//ExternalLink.aspx?6ibkph2k9yi6F%2B0Vz7YoTu0g4zH%2BOsvyMTCGjtwsSP8%3D","Link")</f>
        <v>Link</v>
      </c>
      <c r="B250" s="2" t="s">
        <v>930</v>
      </c>
      <c r="C250" s="2" t="s">
        <v>908</v>
      </c>
      <c r="D250" s="2" t="s">
        <v>909</v>
      </c>
      <c r="E250" s="2" t="s">
        <v>931</v>
      </c>
      <c r="F250" s="2" t="s">
        <v>932</v>
      </c>
      <c r="G250" s="2" t="s">
        <v>933</v>
      </c>
      <c r="H250" s="7"/>
      <c r="I250" s="2" t="s">
        <v>9</v>
      </c>
      <c r="K250" t="e">
        <v>#N/A</v>
      </c>
      <c r="L250" s="2" t="s">
        <v>8469</v>
      </c>
      <c r="M250" t="s">
        <v>8007</v>
      </c>
      <c r="N250" s="4"/>
    </row>
    <row r="251" spans="1:14" ht="65" x14ac:dyDescent="0.3">
      <c r="A251" s="1" t="str">
        <f>HYPERLINK("https://ipmanager.doe.gov/IPManager//ExternalLink.aspx?6ibkph2k9yi6F%2B0Vz7YoTlNm8snv%2FZpH%2BL%2BanMHT0fI%3D","Link")</f>
        <v>Link</v>
      </c>
      <c r="B251" s="2" t="s">
        <v>942</v>
      </c>
      <c r="C251" s="2" t="s">
        <v>943</v>
      </c>
      <c r="D251" s="2" t="s">
        <v>944</v>
      </c>
      <c r="E251" s="2" t="s">
        <v>945</v>
      </c>
      <c r="F251" s="2" t="s">
        <v>946</v>
      </c>
      <c r="G251" s="2" t="s">
        <v>947</v>
      </c>
      <c r="H251" s="2">
        <v>9240612</v>
      </c>
      <c r="I251" s="2" t="s">
        <v>9</v>
      </c>
      <c r="J251" t="s">
        <v>3595</v>
      </c>
      <c r="K251" t="s">
        <v>7763</v>
      </c>
      <c r="L251" s="2" t="s">
        <v>8470</v>
      </c>
      <c r="M251" t="s">
        <v>8008</v>
      </c>
    </row>
    <row r="252" spans="1:14" ht="65" x14ac:dyDescent="0.3">
      <c r="A252" s="1" t="str">
        <f>HYPERLINK("https://ipmanager.doe.gov/IPManager//ExternalLink.aspx?6ibkph2k9yi6F%2B0Vz7YoTlNm8snv%2FZpHaW1%2Bbm2jEug%3D","Link")</f>
        <v>Link</v>
      </c>
      <c r="B252" s="2" t="s">
        <v>948</v>
      </c>
      <c r="C252" s="2" t="s">
        <v>943</v>
      </c>
      <c r="D252" s="2" t="s">
        <v>944</v>
      </c>
      <c r="E252" s="2" t="s">
        <v>949</v>
      </c>
      <c r="F252" s="2" t="s">
        <v>950</v>
      </c>
      <c r="G252" s="2" t="s">
        <v>947</v>
      </c>
      <c r="H252" s="2">
        <v>9401528</v>
      </c>
      <c r="I252" s="2" t="s">
        <v>386</v>
      </c>
      <c r="J252" t="s">
        <v>7429</v>
      </c>
      <c r="K252" t="e">
        <v>#N/A</v>
      </c>
      <c r="L252" s="2" t="s">
        <v>8470</v>
      </c>
      <c r="M252" t="s">
        <v>8008</v>
      </c>
    </row>
    <row r="253" spans="1:14" ht="52" x14ac:dyDescent="0.3">
      <c r="A253" s="1" t="str">
        <f>HYPERLINK("https://ipmanager.doe.gov/IPManager//ExternalLink.aspx?6ibkph2k9yi6F%2B0Vz7YoTlNm8snv%2FZpHVW43RSlnYK8%3D","Link")</f>
        <v>Link</v>
      </c>
      <c r="B253" s="2" t="s">
        <v>951</v>
      </c>
      <c r="C253" s="2" t="s">
        <v>943</v>
      </c>
      <c r="D253" s="2" t="s">
        <v>944</v>
      </c>
      <c r="E253" s="2" t="s">
        <v>952</v>
      </c>
      <c r="F253" s="2" t="s">
        <v>953</v>
      </c>
      <c r="G253" s="2" t="s">
        <v>897</v>
      </c>
      <c r="H253" s="2">
        <v>8951676</v>
      </c>
      <c r="I253" s="2" t="s">
        <v>837</v>
      </c>
      <c r="J253" t="s">
        <v>7430</v>
      </c>
      <c r="K253" t="s">
        <v>7764</v>
      </c>
      <c r="L253" s="2" t="s">
        <v>8470</v>
      </c>
      <c r="M253" t="s">
        <v>8008</v>
      </c>
    </row>
    <row r="254" spans="1:14" ht="65" x14ac:dyDescent="0.3">
      <c r="A254" s="1" t="str">
        <f>HYPERLINK("https://ipmanager.doe.gov/IPManager//ExternalLink.aspx?6ibkph2k9yi6F%2B0Vz7YoTlNm8snv%2FZpHLr4pRjESZaA%3D","Link")</f>
        <v>Link</v>
      </c>
      <c r="B254" s="2" t="s">
        <v>963</v>
      </c>
      <c r="C254" s="2" t="s">
        <v>943</v>
      </c>
      <c r="D254" s="2" t="s">
        <v>944</v>
      </c>
      <c r="E254" s="2" t="s">
        <v>964</v>
      </c>
      <c r="F254" s="2" t="s">
        <v>965</v>
      </c>
      <c r="G254" s="2" t="s">
        <v>947</v>
      </c>
      <c r="H254" s="2">
        <v>9172111</v>
      </c>
      <c r="I254" s="2" t="s">
        <v>50</v>
      </c>
      <c r="J254" t="s">
        <v>7431</v>
      </c>
      <c r="K254" t="s">
        <v>7765</v>
      </c>
      <c r="L254" s="2" t="s">
        <v>8470</v>
      </c>
      <c r="M254" t="s">
        <v>8008</v>
      </c>
    </row>
    <row r="255" spans="1:14" ht="52" x14ac:dyDescent="0.3">
      <c r="A255" s="1" t="str">
        <f>HYPERLINK("https://ipmanager.doe.gov/IPManager//ExternalLink.aspx?6ibkph2k9yi6F%2B0Vz7YoTlNm8snv%2FZpHdsO0NOt75x8%3D","Link")</f>
        <v>Link</v>
      </c>
      <c r="B255" s="2" t="s">
        <v>966</v>
      </c>
      <c r="C255" s="2" t="s">
        <v>943</v>
      </c>
      <c r="D255" s="2" t="s">
        <v>944</v>
      </c>
      <c r="E255" s="2" t="s">
        <v>955</v>
      </c>
      <c r="F255" s="2" t="s">
        <v>967</v>
      </c>
      <c r="G255" s="2" t="s">
        <v>897</v>
      </c>
      <c r="H255" s="2">
        <v>9293790</v>
      </c>
      <c r="I255" s="2" t="s">
        <v>968</v>
      </c>
      <c r="J255" t="s">
        <v>7432</v>
      </c>
      <c r="K255" t="e">
        <v>#N/A</v>
      </c>
      <c r="L255" s="2" t="s">
        <v>8470</v>
      </c>
      <c r="M255" t="s">
        <v>8008</v>
      </c>
    </row>
    <row r="256" spans="1:14" ht="52" x14ac:dyDescent="0.3">
      <c r="A256" s="1" t="str">
        <f>HYPERLINK("https://ipmanager.doe.gov/IPManager//ExternalLink.aspx?6ibkph2k9yi6F%2B0Vz7YoTlNm8snv%2FZpHj9cguHxft%2B8%3D","Link")</f>
        <v>Link</v>
      </c>
      <c r="B256" s="2" t="s">
        <v>954</v>
      </c>
      <c r="C256" s="2" t="s">
        <v>943</v>
      </c>
      <c r="D256" s="2" t="s">
        <v>944</v>
      </c>
      <c r="E256" s="2" t="s">
        <v>955</v>
      </c>
      <c r="F256" s="2" t="s">
        <v>956</v>
      </c>
      <c r="G256" s="2" t="s">
        <v>897</v>
      </c>
      <c r="H256" s="7"/>
      <c r="I256" s="2" t="s">
        <v>9</v>
      </c>
      <c r="K256" t="e">
        <v>#N/A</v>
      </c>
      <c r="L256" s="2" t="s">
        <v>8470</v>
      </c>
      <c r="M256" t="s">
        <v>8008</v>
      </c>
      <c r="N256" s="4"/>
    </row>
    <row r="257" spans="1:14" ht="52" x14ac:dyDescent="0.3">
      <c r="A257" s="1" t="str">
        <f>HYPERLINK("https://ipmanager.doe.gov/IPManager//ExternalLink.aspx?6ibkph2k9yi6F%2B0Vz7YoTlNm8snv%2FZpHDn4mL2dDWz0%3D","Link")</f>
        <v>Link</v>
      </c>
      <c r="B257" s="2" t="s">
        <v>957</v>
      </c>
      <c r="C257" s="2" t="s">
        <v>943</v>
      </c>
      <c r="D257" s="2" t="s">
        <v>944</v>
      </c>
      <c r="E257" s="2" t="s">
        <v>958</v>
      </c>
      <c r="F257" s="2" t="s">
        <v>959</v>
      </c>
      <c r="G257" s="2" t="s">
        <v>960</v>
      </c>
      <c r="H257" s="7"/>
      <c r="I257" s="2" t="s">
        <v>9</v>
      </c>
      <c r="K257" t="e">
        <v>#N/A</v>
      </c>
      <c r="L257" s="2" t="s">
        <v>8470</v>
      </c>
      <c r="M257" t="s">
        <v>8008</v>
      </c>
      <c r="N257" s="4"/>
    </row>
    <row r="258" spans="1:14" ht="52" x14ac:dyDescent="0.3">
      <c r="A258" s="1" t="str">
        <f>HYPERLINK("https://ipmanager.doe.gov/IPManager//ExternalLink.aspx?6ibkph2k9yi6F%2B0Vz7YoTlNm8snv%2FZpHvoM80kV%2B6kQ%3D","Link")</f>
        <v>Link</v>
      </c>
      <c r="B258" s="2" t="s">
        <v>961</v>
      </c>
      <c r="C258" s="2" t="s">
        <v>943</v>
      </c>
      <c r="D258" s="2" t="s">
        <v>944</v>
      </c>
      <c r="E258" s="2" t="s">
        <v>955</v>
      </c>
      <c r="F258" s="2" t="s">
        <v>962</v>
      </c>
      <c r="G258" s="2" t="s">
        <v>897</v>
      </c>
      <c r="H258" s="7"/>
      <c r="I258" s="2" t="s">
        <v>9</v>
      </c>
      <c r="K258" t="e">
        <v>#N/A</v>
      </c>
      <c r="L258" s="2" t="s">
        <v>8470</v>
      </c>
      <c r="M258" t="s">
        <v>8008</v>
      </c>
      <c r="N258" s="4"/>
    </row>
    <row r="259" spans="1:14" ht="52" x14ac:dyDescent="0.3">
      <c r="A259" s="1" t="str">
        <f>HYPERLINK("https://ipmanager.doe.gov/IPManager//ExternalLink.aspx?6ibkph2k9yi6F%2B0Vz7YoTlNm8snv%2FZpHAYN9yA46QHs%3D","Link")</f>
        <v>Link</v>
      </c>
      <c r="B259" s="2" t="s">
        <v>969</v>
      </c>
      <c r="C259" s="2" t="s">
        <v>970</v>
      </c>
      <c r="D259" s="2" t="s">
        <v>971</v>
      </c>
      <c r="E259" s="2" t="s">
        <v>972</v>
      </c>
      <c r="F259" s="2" t="s">
        <v>973</v>
      </c>
      <c r="G259" s="2" t="s">
        <v>974</v>
      </c>
      <c r="H259" s="2"/>
      <c r="I259" s="2" t="s">
        <v>9</v>
      </c>
      <c r="J259" t="s">
        <v>4209</v>
      </c>
      <c r="K259" t="s">
        <v>7766</v>
      </c>
      <c r="L259" s="2" t="s">
        <v>8471</v>
      </c>
      <c r="M259" t="s">
        <v>8009</v>
      </c>
      <c r="N259" s="4"/>
    </row>
    <row r="260" spans="1:14" ht="52" x14ac:dyDescent="0.3">
      <c r="A260" s="1" t="str">
        <f>HYPERLINK("https://ipmanager.doe.gov/IPManager//ExternalLink.aspx?6ibkph2k9yi6F%2B0Vz7YoTlNm8snv%2FZpHcYI%2FOKTEqL8%3D","Link")</f>
        <v>Link</v>
      </c>
      <c r="B260" s="2" t="s">
        <v>975</v>
      </c>
      <c r="C260" s="2" t="s">
        <v>970</v>
      </c>
      <c r="D260" s="2" t="s">
        <v>971</v>
      </c>
      <c r="E260" s="2" t="s">
        <v>976</v>
      </c>
      <c r="F260" s="2" t="s">
        <v>977</v>
      </c>
      <c r="G260" s="2" t="s">
        <v>35</v>
      </c>
      <c r="H260" s="2"/>
      <c r="I260" s="2" t="s">
        <v>9</v>
      </c>
      <c r="J260" t="s">
        <v>4693</v>
      </c>
      <c r="K260" t="s">
        <v>7767</v>
      </c>
      <c r="L260" s="2" t="s">
        <v>8471</v>
      </c>
      <c r="M260" t="s">
        <v>8009</v>
      </c>
      <c r="N260" s="4"/>
    </row>
    <row r="261" spans="1:14" ht="39" x14ac:dyDescent="0.3">
      <c r="A261" s="1" t="str">
        <f>HYPERLINK("https://ipmanager.doe.gov/IPManager//ExternalLink.aspx?6ibkph2k9yi6F%2B0Vz7YoTlNm8snv%2FZpHTwZ59Kkx35E%3D","Link")</f>
        <v>Link</v>
      </c>
      <c r="B261" s="2" t="s">
        <v>979</v>
      </c>
      <c r="C261" s="2" t="s">
        <v>970</v>
      </c>
      <c r="D261" s="2" t="s">
        <v>971</v>
      </c>
      <c r="E261" s="2" t="s">
        <v>980</v>
      </c>
      <c r="F261" s="2" t="s">
        <v>977</v>
      </c>
      <c r="G261" s="2" t="s">
        <v>35</v>
      </c>
      <c r="H261" s="2"/>
      <c r="I261" s="2" t="s">
        <v>9</v>
      </c>
      <c r="J261" t="s">
        <v>5109</v>
      </c>
      <c r="K261" t="s">
        <v>7768</v>
      </c>
      <c r="L261" s="2" t="s">
        <v>8471</v>
      </c>
      <c r="M261" t="s">
        <v>8009</v>
      </c>
      <c r="N261" s="4"/>
    </row>
    <row r="262" spans="1:14" ht="39" x14ac:dyDescent="0.3">
      <c r="A262" s="1" t="str">
        <f>HYPERLINK("https://ipmanager.doe.gov/IPManager//ExternalLink.aspx?6ibkph2k9yi6F%2B0Vz7YoTlNm8snv%2FZpHyT9H%2Fo1b7fM%3D","Link")</f>
        <v>Link</v>
      </c>
      <c r="B262" s="2" t="s">
        <v>986</v>
      </c>
      <c r="C262" s="2" t="s">
        <v>970</v>
      </c>
      <c r="D262" s="2" t="s">
        <v>971</v>
      </c>
      <c r="E262" s="2" t="s">
        <v>987</v>
      </c>
      <c r="F262" s="2" t="s">
        <v>988</v>
      </c>
      <c r="G262" s="2" t="s">
        <v>989</v>
      </c>
      <c r="H262" s="2"/>
      <c r="I262" s="2" t="s">
        <v>9</v>
      </c>
      <c r="J262" t="s">
        <v>4500</v>
      </c>
      <c r="K262" t="s">
        <v>7769</v>
      </c>
      <c r="L262" s="2" t="s">
        <v>8471</v>
      </c>
      <c r="M262" t="s">
        <v>8009</v>
      </c>
      <c r="N262" s="4"/>
    </row>
    <row r="263" spans="1:14" ht="39" x14ac:dyDescent="0.3">
      <c r="A263" s="1" t="str">
        <f>HYPERLINK("https://ipmanager.doe.gov/IPManager//ExternalLink.aspx?6ibkph2k9yi6F%2B0Vz7YoTjN2oADz%2F5Mxtkcf1Tktv3I%3D","Link")</f>
        <v>Link</v>
      </c>
      <c r="B263" s="2" t="s">
        <v>991</v>
      </c>
      <c r="C263" s="2" t="s">
        <v>970</v>
      </c>
      <c r="D263" s="2" t="s">
        <v>971</v>
      </c>
      <c r="E263" s="2" t="s">
        <v>992</v>
      </c>
      <c r="F263" s="2" t="s">
        <v>973</v>
      </c>
      <c r="G263" s="2" t="s">
        <v>974</v>
      </c>
      <c r="H263" s="2"/>
      <c r="I263" s="2" t="s">
        <v>9</v>
      </c>
      <c r="J263" t="s">
        <v>4389</v>
      </c>
      <c r="K263" t="s">
        <v>7770</v>
      </c>
      <c r="L263" s="2" t="s">
        <v>8471</v>
      </c>
      <c r="M263" t="s">
        <v>8009</v>
      </c>
      <c r="N263" s="4"/>
    </row>
    <row r="264" spans="1:14" ht="65" x14ac:dyDescent="0.3">
      <c r="A264" s="1" t="str">
        <f>HYPERLINK("https://ipmanager.doe.gov/IPManager//ExternalLink.aspx?6ibkph2k9yi6F%2B0Vz7YoTjN2oADz%2F5MxZPdTRX0okoo%3D","Link")</f>
        <v>Link</v>
      </c>
      <c r="B264" s="2" t="s">
        <v>1001</v>
      </c>
      <c r="C264" s="2" t="s">
        <v>970</v>
      </c>
      <c r="D264" s="2" t="s">
        <v>971</v>
      </c>
      <c r="E264" s="2" t="s">
        <v>1002</v>
      </c>
      <c r="F264" s="2" t="s">
        <v>1003</v>
      </c>
      <c r="G264" s="2" t="s">
        <v>1004</v>
      </c>
      <c r="H264" s="2"/>
      <c r="I264" s="2" t="s">
        <v>9</v>
      </c>
      <c r="J264" t="s">
        <v>5902</v>
      </c>
      <c r="K264" t="s">
        <v>7771</v>
      </c>
      <c r="L264" s="2" t="s">
        <v>8471</v>
      </c>
      <c r="M264" t="s">
        <v>8009</v>
      </c>
      <c r="N264" s="4"/>
    </row>
    <row r="265" spans="1:14" ht="39" x14ac:dyDescent="0.3">
      <c r="A265" s="1" t="str">
        <f>HYPERLINK("https://ipmanager.doe.gov/IPManager//ExternalLink.aspx?6ibkph2k9yi6F%2B0Vz7YoTlNm8snv%2FZpHplNVeXpxGgo%3D","Link")</f>
        <v>Link</v>
      </c>
      <c r="B265" s="2" t="s">
        <v>1011</v>
      </c>
      <c r="C265" s="2" t="s">
        <v>970</v>
      </c>
      <c r="D265" s="2" t="s">
        <v>971</v>
      </c>
      <c r="E265" s="2" t="s">
        <v>1012</v>
      </c>
      <c r="F265" s="2" t="s">
        <v>973</v>
      </c>
      <c r="G265" s="2" t="s">
        <v>974</v>
      </c>
      <c r="H265" s="2"/>
      <c r="I265" s="2" t="s">
        <v>9</v>
      </c>
      <c r="J265" t="s">
        <v>7664</v>
      </c>
      <c r="K265" t="s">
        <v>7772</v>
      </c>
      <c r="L265" s="2" t="s">
        <v>8471</v>
      </c>
      <c r="M265" t="s">
        <v>8009</v>
      </c>
      <c r="N265" s="4"/>
    </row>
    <row r="266" spans="1:14" ht="26" x14ac:dyDescent="0.3">
      <c r="A266" s="1" t="str">
        <f>HYPERLINK("https://ipmanager.doe.gov/IPManager//ExternalLink.aspx?6ibkph2k9yi6F%2B0Vz7YoTlNm8snv%2FZpHDEagOZ%2B5X3M%3D","Link")</f>
        <v>Link</v>
      </c>
      <c r="B266" s="2" t="s">
        <v>1015</v>
      </c>
      <c r="C266" s="2" t="s">
        <v>970</v>
      </c>
      <c r="D266" s="2" t="s">
        <v>971</v>
      </c>
      <c r="E266" s="2" t="s">
        <v>1016</v>
      </c>
      <c r="F266" s="2" t="s">
        <v>973</v>
      </c>
      <c r="G266" s="2" t="s">
        <v>974</v>
      </c>
      <c r="H266" s="2"/>
      <c r="I266" s="2" t="s">
        <v>9</v>
      </c>
      <c r="J266" t="s">
        <v>6845</v>
      </c>
      <c r="K266" t="s">
        <v>7773</v>
      </c>
      <c r="L266" s="2" t="s">
        <v>8471</v>
      </c>
      <c r="M266" t="s">
        <v>8009</v>
      </c>
      <c r="N266" s="4"/>
    </row>
    <row r="267" spans="1:14" ht="52" x14ac:dyDescent="0.3">
      <c r="A267" s="1" t="str">
        <f>HYPERLINK("https://ipmanager.doe.gov/IPManager//ExternalLink.aspx?6ibkph2k9yi6F%2B0Vz7YoTlNm8snv%2FZpHxxw%2FGc7hmNU%3D","Link")</f>
        <v>Link</v>
      </c>
      <c r="B267" s="2" t="s">
        <v>1017</v>
      </c>
      <c r="C267" s="2" t="s">
        <v>970</v>
      </c>
      <c r="D267" s="2" t="s">
        <v>971</v>
      </c>
      <c r="E267" s="2" t="s">
        <v>1018</v>
      </c>
      <c r="F267" s="2" t="s">
        <v>1019</v>
      </c>
      <c r="G267" s="2" t="s">
        <v>984</v>
      </c>
      <c r="H267" s="2"/>
      <c r="I267" s="2" t="s">
        <v>9</v>
      </c>
      <c r="J267" t="s">
        <v>3648</v>
      </c>
      <c r="K267" t="s">
        <v>7774</v>
      </c>
      <c r="L267" s="2" t="s">
        <v>8471</v>
      </c>
      <c r="M267" t="s">
        <v>8009</v>
      </c>
      <c r="N267" s="4"/>
    </row>
    <row r="268" spans="1:14" ht="52" x14ac:dyDescent="0.3">
      <c r="A268" s="1" t="str">
        <f>HYPERLINK("https://ipmanager.doe.gov/IPManager//ExternalLink.aspx?6ibkph2k9yi6F%2B0Vz7YoTjN2oADz%2F5MxThCCKykzI%2FA%3D","Link")</f>
        <v>Link</v>
      </c>
      <c r="B268" s="2" t="s">
        <v>1027</v>
      </c>
      <c r="C268" s="2" t="s">
        <v>970</v>
      </c>
      <c r="D268" s="2" t="s">
        <v>971</v>
      </c>
      <c r="E268" s="2" t="s">
        <v>1028</v>
      </c>
      <c r="F268" s="2" t="s">
        <v>1029</v>
      </c>
      <c r="G268" s="2" t="s">
        <v>1030</v>
      </c>
      <c r="H268" s="2"/>
      <c r="I268" s="2" t="s">
        <v>9</v>
      </c>
      <c r="J268" t="s">
        <v>3657</v>
      </c>
      <c r="K268" t="s">
        <v>7775</v>
      </c>
      <c r="L268" s="2" t="s">
        <v>8471</v>
      </c>
      <c r="M268" t="s">
        <v>8009</v>
      </c>
      <c r="N268" s="4"/>
    </row>
    <row r="269" spans="1:14" ht="39" x14ac:dyDescent="0.3">
      <c r="A269" s="1" t="str">
        <f>HYPERLINK("https://ipmanager.doe.gov/IPManager//ExternalLink.aspx?6ibkph2k9yi6F%2B0Vz7YoTlNm8snv%2FZpH3uO%2BrKaBrGE%3D","Link")</f>
        <v>Link</v>
      </c>
      <c r="B269" s="2" t="s">
        <v>1032</v>
      </c>
      <c r="C269" s="2" t="s">
        <v>970</v>
      </c>
      <c r="D269" s="2" t="s">
        <v>971</v>
      </c>
      <c r="E269" s="2" t="s">
        <v>1033</v>
      </c>
      <c r="F269" s="2" t="s">
        <v>1034</v>
      </c>
      <c r="G269" s="2" t="s">
        <v>1035</v>
      </c>
      <c r="H269" s="2"/>
      <c r="I269" s="2" t="s">
        <v>9</v>
      </c>
      <c r="J269" t="s">
        <v>3084</v>
      </c>
      <c r="K269" t="e">
        <v>#N/A</v>
      </c>
      <c r="L269" s="2" t="s">
        <v>8471</v>
      </c>
      <c r="M269" t="s">
        <v>8009</v>
      </c>
      <c r="N269" s="4"/>
    </row>
    <row r="270" spans="1:14" ht="91" x14ac:dyDescent="0.3">
      <c r="A270" s="1" t="str">
        <f>HYPERLINK("https://ipmanager.doe.gov/IPManager//ExternalLink.aspx?6ibkph2k9yi6F%2B0Vz7YoTlNm8snv%2FZpHz7V9mXDq9qs%3D","Link")</f>
        <v>Link</v>
      </c>
      <c r="B270" s="2" t="s">
        <v>981</v>
      </c>
      <c r="C270" s="2" t="s">
        <v>970</v>
      </c>
      <c r="D270" s="2" t="s">
        <v>971</v>
      </c>
      <c r="E270" s="2" t="s">
        <v>982</v>
      </c>
      <c r="F270" s="2" t="s">
        <v>983</v>
      </c>
      <c r="G270" s="2" t="s">
        <v>984</v>
      </c>
      <c r="H270" s="2">
        <v>8927068</v>
      </c>
      <c r="I270" s="2" t="s">
        <v>985</v>
      </c>
      <c r="J270" t="s">
        <v>7433</v>
      </c>
      <c r="K270" t="s">
        <v>7776</v>
      </c>
      <c r="L270" s="2" t="s">
        <v>8471</v>
      </c>
      <c r="M270" t="s">
        <v>8009</v>
      </c>
    </row>
    <row r="271" spans="1:14" ht="52" x14ac:dyDescent="0.3">
      <c r="A271" s="1" t="str">
        <f>HYPERLINK("https://ipmanager.doe.gov/IPManager//ExternalLink.aspx?6ibkph2k9yi6F%2B0Vz7YoTjN2oADz%2F5MxIDZXRKmSBRc%3D","Link")</f>
        <v>Link</v>
      </c>
      <c r="B271" s="2" t="s">
        <v>990</v>
      </c>
      <c r="C271" s="2" t="s">
        <v>970</v>
      </c>
      <c r="D271" s="2" t="s">
        <v>971</v>
      </c>
      <c r="E271" s="2" t="s">
        <v>972</v>
      </c>
      <c r="F271" s="2"/>
      <c r="G271" s="2" t="s">
        <v>9</v>
      </c>
      <c r="H271" s="2"/>
      <c r="I271" s="2" t="s">
        <v>9</v>
      </c>
      <c r="K271" t="e">
        <v>#N/A</v>
      </c>
      <c r="L271" s="2" t="s">
        <v>8471</v>
      </c>
      <c r="M271" t="s">
        <v>8009</v>
      </c>
      <c r="N271" s="4"/>
    </row>
    <row r="272" spans="1:14" ht="78" x14ac:dyDescent="0.3">
      <c r="A272" s="1" t="str">
        <f>HYPERLINK("https://ipmanager.doe.gov/IPManager//ExternalLink.aspx?6ibkph2k9yi6F%2B0Vz7YoTlNm8snv%2FZpHLfF9%2BPAlUww%3D","Link")</f>
        <v>Link</v>
      </c>
      <c r="B272" s="2" t="s">
        <v>993</v>
      </c>
      <c r="C272" s="2" t="s">
        <v>970</v>
      </c>
      <c r="D272" s="2" t="s">
        <v>971</v>
      </c>
      <c r="E272" s="2" t="s">
        <v>994</v>
      </c>
      <c r="F272" s="2"/>
      <c r="G272" s="2" t="s">
        <v>9</v>
      </c>
      <c r="H272" s="2"/>
      <c r="I272" s="2" t="s">
        <v>9</v>
      </c>
      <c r="K272" t="e">
        <v>#N/A</v>
      </c>
      <c r="L272" s="2" t="s">
        <v>8471</v>
      </c>
      <c r="M272" t="s">
        <v>8009</v>
      </c>
      <c r="N272" s="4"/>
    </row>
    <row r="273" spans="1:14" ht="39" x14ac:dyDescent="0.3">
      <c r="A273" s="1" t="str">
        <f>HYPERLINK("https://ipmanager.doe.gov/IPManager//ExternalLink.aspx?6ibkph2k9yi6F%2B0Vz7YoTlNm8snv%2FZpHeEip%2Bjyvfz4%3D","Link")</f>
        <v>Link</v>
      </c>
      <c r="B273" s="2" t="s">
        <v>995</v>
      </c>
      <c r="C273" s="2" t="s">
        <v>970</v>
      </c>
      <c r="D273" s="2" t="s">
        <v>971</v>
      </c>
      <c r="E273" s="2" t="s">
        <v>996</v>
      </c>
      <c r="F273" s="2"/>
      <c r="G273" s="2" t="s">
        <v>9</v>
      </c>
      <c r="H273" s="2"/>
      <c r="I273" s="2" t="s">
        <v>9</v>
      </c>
      <c r="K273" t="e">
        <v>#N/A</v>
      </c>
      <c r="L273" s="2" t="s">
        <v>8471</v>
      </c>
      <c r="M273" t="s">
        <v>8009</v>
      </c>
      <c r="N273" s="4"/>
    </row>
    <row r="274" spans="1:14" ht="52" x14ac:dyDescent="0.3">
      <c r="A274" s="1" t="str">
        <f>HYPERLINK("https://ipmanager.doe.gov/IPManager//ExternalLink.aspx?6ibkph2k9yi6F%2B0Vz7YoTjnDGhmGHGI7mqOO1b8dD8s%3D","Link")</f>
        <v>Link</v>
      </c>
      <c r="B274" s="2" t="s">
        <v>997</v>
      </c>
      <c r="C274" s="2" t="s">
        <v>970</v>
      </c>
      <c r="D274" s="2" t="s">
        <v>971</v>
      </c>
      <c r="E274" s="2" t="s">
        <v>998</v>
      </c>
      <c r="F274" s="2"/>
      <c r="G274" s="2" t="s">
        <v>9</v>
      </c>
      <c r="H274" s="2"/>
      <c r="I274" s="2" t="s">
        <v>9</v>
      </c>
      <c r="K274" t="e">
        <v>#N/A</v>
      </c>
      <c r="L274" s="2" t="s">
        <v>8471</v>
      </c>
      <c r="M274" t="s">
        <v>8009</v>
      </c>
      <c r="N274" s="4"/>
    </row>
    <row r="275" spans="1:14" ht="39" x14ac:dyDescent="0.3">
      <c r="A275" s="1" t="str">
        <f>HYPERLINK("https://ipmanager.doe.gov/IPManager//ExternalLink.aspx?6ibkph2k9yi6F%2B0Vz7YoTjnDGhmGHGI7YtryKzaQzDA%3D","Link")</f>
        <v>Link</v>
      </c>
      <c r="B275" s="2" t="s">
        <v>999</v>
      </c>
      <c r="C275" s="2" t="s">
        <v>970</v>
      </c>
      <c r="D275" s="2" t="s">
        <v>971</v>
      </c>
      <c r="E275" s="2" t="s">
        <v>1000</v>
      </c>
      <c r="F275" s="2"/>
      <c r="G275" s="2" t="s">
        <v>9</v>
      </c>
      <c r="H275" s="2"/>
      <c r="I275" s="2" t="s">
        <v>9</v>
      </c>
      <c r="K275" t="e">
        <v>#N/A</v>
      </c>
      <c r="L275" s="2" t="s">
        <v>8471</v>
      </c>
      <c r="M275" t="s">
        <v>8009</v>
      </c>
      <c r="N275" s="4"/>
    </row>
    <row r="276" spans="1:14" ht="39" x14ac:dyDescent="0.3">
      <c r="A276" s="1" t="str">
        <f>HYPERLINK("https://ipmanager.doe.gov/IPManager//ExternalLink.aspx?6ibkph2k9yi6F%2B0Vz7YoTjN2oADz%2F5Mx39KGBnVgrjM%3D","Link")</f>
        <v>Link</v>
      </c>
      <c r="B276" s="2" t="s">
        <v>1005</v>
      </c>
      <c r="C276" s="2" t="s">
        <v>970</v>
      </c>
      <c r="D276" s="2" t="s">
        <v>971</v>
      </c>
      <c r="E276" s="2" t="s">
        <v>980</v>
      </c>
      <c r="F276" s="2"/>
      <c r="G276" s="2" t="s">
        <v>9</v>
      </c>
      <c r="H276" s="2"/>
      <c r="I276" s="2" t="s">
        <v>9</v>
      </c>
      <c r="K276" t="e">
        <v>#N/A</v>
      </c>
      <c r="L276" s="2" t="s">
        <v>8471</v>
      </c>
      <c r="M276" t="s">
        <v>8009</v>
      </c>
      <c r="N276" s="4"/>
    </row>
    <row r="277" spans="1:14" ht="78" x14ac:dyDescent="0.3">
      <c r="A277" s="1" t="str">
        <f>HYPERLINK("https://ipmanager.doe.gov/IPManager//ExternalLink.aspx?6ibkph2k9yi6F%2B0Vz7YoTlNm8snv%2FZpH8p6I52v649Q%3D","Link")</f>
        <v>Link</v>
      </c>
      <c r="B277" s="2" t="s">
        <v>1006</v>
      </c>
      <c r="C277" s="2" t="s">
        <v>970</v>
      </c>
      <c r="D277" s="2" t="s">
        <v>971</v>
      </c>
      <c r="E277" s="2" t="s">
        <v>1007</v>
      </c>
      <c r="F277" s="2" t="s">
        <v>983</v>
      </c>
      <c r="G277" s="2" t="s">
        <v>1008</v>
      </c>
      <c r="H277" s="2">
        <v>8927068</v>
      </c>
      <c r="I277" s="2" t="s">
        <v>985</v>
      </c>
      <c r="J277" t="s">
        <v>7433</v>
      </c>
      <c r="K277" t="s">
        <v>7776</v>
      </c>
      <c r="L277" s="2" t="s">
        <v>8471</v>
      </c>
      <c r="M277" t="s">
        <v>8009</v>
      </c>
    </row>
    <row r="278" spans="1:14" ht="39" x14ac:dyDescent="0.3">
      <c r="A278" s="1" t="str">
        <f>HYPERLINK("https://ipmanager.doe.gov/IPManager//ExternalLink.aspx?6ibkph2k9yi6F%2B0Vz7YoTlNm8snv%2FZpHb0EYqKUpa7k%3D","Link")</f>
        <v>Link</v>
      </c>
      <c r="B278" s="2" t="s">
        <v>1009</v>
      </c>
      <c r="C278" s="2" t="s">
        <v>970</v>
      </c>
      <c r="D278" s="2" t="s">
        <v>971</v>
      </c>
      <c r="E278" s="2" t="s">
        <v>1010</v>
      </c>
      <c r="F278" s="2"/>
      <c r="G278" s="2" t="s">
        <v>9</v>
      </c>
      <c r="H278" s="2"/>
      <c r="I278" s="2" t="s">
        <v>9</v>
      </c>
      <c r="K278" t="e">
        <v>#N/A</v>
      </c>
      <c r="L278" s="2" t="s">
        <v>8471</v>
      </c>
      <c r="M278" t="s">
        <v>8009</v>
      </c>
      <c r="N278" s="4"/>
    </row>
    <row r="279" spans="1:14" ht="39" x14ac:dyDescent="0.3">
      <c r="A279" s="1" t="str">
        <f>HYPERLINK("https://ipmanager.doe.gov/IPManager//ExternalLink.aspx?6ibkph2k9yi6F%2B0Vz7YoTlNm8snv%2FZpHflgz5qddKRU%3D","Link")</f>
        <v>Link</v>
      </c>
      <c r="B279" s="2" t="s">
        <v>1013</v>
      </c>
      <c r="C279" s="2" t="s">
        <v>970</v>
      </c>
      <c r="D279" s="2" t="s">
        <v>971</v>
      </c>
      <c r="E279" s="2" t="s">
        <v>1014</v>
      </c>
      <c r="F279" s="2"/>
      <c r="G279" s="2" t="s">
        <v>9</v>
      </c>
      <c r="H279" s="2"/>
      <c r="I279" s="2" t="s">
        <v>9</v>
      </c>
      <c r="K279" t="e">
        <v>#N/A</v>
      </c>
      <c r="L279" s="2" t="s">
        <v>8471</v>
      </c>
      <c r="M279" t="s">
        <v>8009</v>
      </c>
      <c r="N279" s="4"/>
    </row>
    <row r="280" spans="1:14" ht="39" x14ac:dyDescent="0.3">
      <c r="A280" s="1" t="str">
        <f>HYPERLINK("https://ipmanager.doe.gov/IPManager//ExternalLink.aspx?6ibkph2k9yi6F%2B0Vz7YoTjnDGhmGHGI7cqCCI%2FOOsLs%3D","Link")</f>
        <v>Link</v>
      </c>
      <c r="B280" s="2" t="s">
        <v>1020</v>
      </c>
      <c r="C280" s="2" t="s">
        <v>970</v>
      </c>
      <c r="D280" s="2" t="s">
        <v>971</v>
      </c>
      <c r="E280" s="2" t="s">
        <v>1021</v>
      </c>
      <c r="F280" s="2" t="s">
        <v>1022</v>
      </c>
      <c r="G280" s="2" t="s">
        <v>1023</v>
      </c>
      <c r="H280" s="2">
        <v>9065122</v>
      </c>
      <c r="I280" s="2" t="s">
        <v>1024</v>
      </c>
      <c r="J280" t="s">
        <v>7434</v>
      </c>
      <c r="K280" t="s">
        <v>7777</v>
      </c>
      <c r="L280" s="2" t="s">
        <v>8471</v>
      </c>
      <c r="M280" t="s">
        <v>8009</v>
      </c>
    </row>
    <row r="281" spans="1:14" ht="52" x14ac:dyDescent="0.3">
      <c r="A281" s="1" t="str">
        <f>HYPERLINK("https://ipmanager.doe.gov/IPManager//ExternalLink.aspx?6ibkph2k9yi6F%2B0Vz7YoTjnDGhmGHGI7lzT%2F5ycbBAg%3D","Link")</f>
        <v>Link</v>
      </c>
      <c r="B281" s="2" t="s">
        <v>1025</v>
      </c>
      <c r="C281" s="2" t="s">
        <v>970</v>
      </c>
      <c r="D281" s="2" t="s">
        <v>971</v>
      </c>
      <c r="E281" s="2" t="s">
        <v>1026</v>
      </c>
      <c r="F281" s="2" t="s">
        <v>983</v>
      </c>
      <c r="G281" s="2" t="s">
        <v>1008</v>
      </c>
      <c r="H281" s="2">
        <v>8927068</v>
      </c>
      <c r="I281" s="2" t="s">
        <v>1024</v>
      </c>
      <c r="J281" t="s">
        <v>7433</v>
      </c>
      <c r="K281" t="s">
        <v>7776</v>
      </c>
      <c r="L281" s="2" t="s">
        <v>8471</v>
      </c>
      <c r="M281" t="s">
        <v>8009</v>
      </c>
    </row>
    <row r="282" spans="1:14" ht="65" x14ac:dyDescent="0.3">
      <c r="A282" s="1" t="str">
        <f>HYPERLINK("https://ipmanager.doe.gov/IPManager//ExternalLink.aspx?6ibkph2k9yi6F%2B0Vz7YoTipZ798QK%2BbP3M2iwsXtscM%3D","Link")</f>
        <v>Link</v>
      </c>
      <c r="B282" s="2" t="s">
        <v>1041</v>
      </c>
      <c r="C282" s="2" t="s">
        <v>1037</v>
      </c>
      <c r="D282" s="2" t="s">
        <v>778</v>
      </c>
      <c r="E282" s="2" t="s">
        <v>1042</v>
      </c>
      <c r="F282" s="2"/>
      <c r="G282" s="2" t="s">
        <v>9</v>
      </c>
      <c r="H282" s="2"/>
      <c r="I282" s="2" t="s">
        <v>9</v>
      </c>
      <c r="K282" t="e">
        <v>#N/A</v>
      </c>
      <c r="L282" s="2" t="s">
        <v>8408</v>
      </c>
      <c r="M282" t="s">
        <v>8410</v>
      </c>
      <c r="N282" s="4"/>
    </row>
    <row r="283" spans="1:14" ht="65" x14ac:dyDescent="0.3">
      <c r="A283" s="1" t="str">
        <f>HYPERLINK("https://ipmanager.doe.gov/IPManager//ExternalLink.aspx?6ibkph2k9yi6F%2B0Vz7YoTipZ798QK%2BbPXgmL89MjpgQ%3D","Link")</f>
        <v>Link</v>
      </c>
      <c r="B283" s="2" t="s">
        <v>1043</v>
      </c>
      <c r="C283" s="2" t="s">
        <v>1037</v>
      </c>
      <c r="D283" s="2" t="s">
        <v>778</v>
      </c>
      <c r="E283" s="2" t="s">
        <v>1042</v>
      </c>
      <c r="F283" s="2"/>
      <c r="G283" s="2" t="s">
        <v>9</v>
      </c>
      <c r="H283" s="2"/>
      <c r="I283" s="2" t="s">
        <v>9</v>
      </c>
      <c r="K283" t="e">
        <v>#N/A</v>
      </c>
      <c r="L283" s="2" t="s">
        <v>8408</v>
      </c>
      <c r="M283" t="s">
        <v>8410</v>
      </c>
      <c r="N283" s="4"/>
    </row>
    <row r="284" spans="1:14" ht="39" x14ac:dyDescent="0.3">
      <c r="A284" s="1" t="str">
        <f>HYPERLINK("https://ipmanager.doe.gov/IPManager//ExternalLink.aspx?6ibkph2k9yi6F%2B0Vz7YoTipZ798QK%2BbPtuoD33J2cuc%3D","Link")</f>
        <v>Link</v>
      </c>
      <c r="B284" s="2" t="s">
        <v>1044</v>
      </c>
      <c r="C284" s="2" t="s">
        <v>1037</v>
      </c>
      <c r="D284" s="2" t="s">
        <v>770</v>
      </c>
      <c r="E284" s="2" t="s">
        <v>1045</v>
      </c>
      <c r="F284" s="2"/>
      <c r="G284" s="2" t="s">
        <v>9</v>
      </c>
      <c r="H284" s="2"/>
      <c r="I284" s="2" t="s">
        <v>9</v>
      </c>
      <c r="K284" t="e">
        <v>#N/A</v>
      </c>
      <c r="L284" s="2" t="s">
        <v>8408</v>
      </c>
      <c r="M284" t="s">
        <v>8410</v>
      </c>
      <c r="N284" s="4"/>
    </row>
    <row r="285" spans="1:14" ht="39" x14ac:dyDescent="0.3">
      <c r="A285" s="1" t="str">
        <f>HYPERLINK("https://ipmanager.doe.gov/IPManager//ExternalLink.aspx?6ibkph2k9yi6F%2B0Vz7YoTipZ798QK%2BbPyDGjTZUF0Sk%3D","Link")</f>
        <v>Link</v>
      </c>
      <c r="B285" s="2" t="s">
        <v>1055</v>
      </c>
      <c r="C285" s="2" t="s">
        <v>1037</v>
      </c>
      <c r="D285" s="2" t="s">
        <v>770</v>
      </c>
      <c r="E285" s="2" t="s">
        <v>1056</v>
      </c>
      <c r="F285" s="2"/>
      <c r="G285" s="2" t="s">
        <v>9</v>
      </c>
      <c r="H285" s="2"/>
      <c r="I285" s="2" t="s">
        <v>9</v>
      </c>
      <c r="K285" t="e">
        <v>#N/A</v>
      </c>
      <c r="L285" s="2" t="s">
        <v>8408</v>
      </c>
      <c r="M285" t="s">
        <v>8410</v>
      </c>
      <c r="N285" s="4"/>
    </row>
    <row r="286" spans="1:14" ht="39" x14ac:dyDescent="0.3">
      <c r="A286" s="1" t="str">
        <f>HYPERLINK("https://ipmanager.doe.gov/IPManager//ExternalLink.aspx?6ibkph2k9yi6F%2B0Vz7YoTipZ798QK%2BbP5ot%2FQ00io%2BY%3D","Link")</f>
        <v>Link</v>
      </c>
      <c r="B286" s="2" t="s">
        <v>1057</v>
      </c>
      <c r="C286" s="2" t="s">
        <v>1037</v>
      </c>
      <c r="D286" s="2" t="s">
        <v>770</v>
      </c>
      <c r="E286" s="2" t="s">
        <v>787</v>
      </c>
      <c r="F286" s="2"/>
      <c r="G286" s="2" t="s">
        <v>9</v>
      </c>
      <c r="H286" s="2"/>
      <c r="I286" s="2" t="s">
        <v>9</v>
      </c>
      <c r="K286" t="e">
        <v>#N/A</v>
      </c>
      <c r="L286" s="2" t="s">
        <v>8408</v>
      </c>
      <c r="M286" t="s">
        <v>8410</v>
      </c>
      <c r="N286" s="4"/>
    </row>
    <row r="287" spans="1:14" ht="39" x14ac:dyDescent="0.3">
      <c r="A287" s="1" t="str">
        <f>HYPERLINK("https://ipmanager.doe.gov/IPManager//ExternalLink.aspx?6ibkph2k9yi6F%2B0Vz7YoTipZ798QK%2BbPmc6g0vuMAYI%3D","Link")</f>
        <v>Link</v>
      </c>
      <c r="B287" s="2" t="s">
        <v>1051</v>
      </c>
      <c r="C287" s="2" t="s">
        <v>1037</v>
      </c>
      <c r="D287" s="2" t="s">
        <v>770</v>
      </c>
      <c r="E287" s="2" t="s">
        <v>1052</v>
      </c>
      <c r="F287" s="2" t="s">
        <v>1058</v>
      </c>
      <c r="G287" s="2" t="s">
        <v>1054</v>
      </c>
      <c r="H287" s="2">
        <v>9583779</v>
      </c>
      <c r="I287" s="2" t="s">
        <v>9</v>
      </c>
      <c r="J287" t="s">
        <v>7573</v>
      </c>
      <c r="K287" t="s">
        <v>7778</v>
      </c>
      <c r="L287" s="2" t="s">
        <v>8408</v>
      </c>
      <c r="M287" t="s">
        <v>8410</v>
      </c>
    </row>
    <row r="288" spans="1:14" ht="39" x14ac:dyDescent="0.3">
      <c r="A288" s="1" t="str">
        <f>HYPERLINK("https://ipmanager.doe.gov/IPManager//ExternalLink.aspx?6ibkph2k9yi6F%2B0Vz7YoTq6RR9BlGHHi5gP4ei8fSSI%3D","Link")</f>
        <v>Link</v>
      </c>
      <c r="B288" s="2" t="s">
        <v>1036</v>
      </c>
      <c r="C288" s="2" t="s">
        <v>1037</v>
      </c>
      <c r="D288" s="2" t="s">
        <v>770</v>
      </c>
      <c r="E288" s="2" t="s">
        <v>1038</v>
      </c>
      <c r="F288" s="2" t="s">
        <v>1039</v>
      </c>
      <c r="G288" s="2" t="s">
        <v>1040</v>
      </c>
      <c r="H288" s="7"/>
      <c r="I288" s="2" t="s">
        <v>9</v>
      </c>
      <c r="K288" t="e">
        <v>#N/A</v>
      </c>
      <c r="L288" s="2" t="s">
        <v>8408</v>
      </c>
      <c r="M288" t="s">
        <v>8410</v>
      </c>
      <c r="N288" s="4"/>
    </row>
    <row r="289" spans="1:14" ht="39" x14ac:dyDescent="0.3">
      <c r="A289" s="1" t="str">
        <f>HYPERLINK("https://ipmanager.doe.gov/IPManager//ExternalLink.aspx?6ibkph2k9yi6F%2B0Vz7YoTr7J5I%2BY4foYV3jj5wKX0kQ%3D","Link")</f>
        <v>Link</v>
      </c>
      <c r="B289" s="2" t="s">
        <v>1047</v>
      </c>
      <c r="C289" s="2" t="s">
        <v>1037</v>
      </c>
      <c r="D289" s="2" t="s">
        <v>770</v>
      </c>
      <c r="E289" s="2" t="s">
        <v>1048</v>
      </c>
      <c r="F289" s="2" t="s">
        <v>1049</v>
      </c>
      <c r="G289" s="2" t="s">
        <v>1050</v>
      </c>
      <c r="H289" s="7"/>
      <c r="I289" s="2" t="s">
        <v>9</v>
      </c>
      <c r="K289" t="e">
        <v>#N/A</v>
      </c>
      <c r="L289" s="2" t="s">
        <v>8408</v>
      </c>
      <c r="M289" t="s">
        <v>8410</v>
      </c>
      <c r="N289" s="4"/>
    </row>
    <row r="290" spans="1:14" ht="39" x14ac:dyDescent="0.3">
      <c r="A290" s="1" t="str">
        <f>HYPERLINK("https://ipmanager.doe.gov/IPManager//ExternalLink.aspx?6ibkph2k9yi6F%2B0Vz7YoTjnDGhmGHGI7wiQWgwXLMc4%3D","Link")</f>
        <v>Link</v>
      </c>
      <c r="B290" s="2" t="s">
        <v>1051</v>
      </c>
      <c r="C290" s="2" t="s">
        <v>1037</v>
      </c>
      <c r="D290" s="2" t="s">
        <v>770</v>
      </c>
      <c r="E290" s="2" t="s">
        <v>1052</v>
      </c>
      <c r="F290" s="2" t="s">
        <v>1053</v>
      </c>
      <c r="G290" s="2" t="s">
        <v>1054</v>
      </c>
      <c r="H290" s="7"/>
      <c r="I290" s="2" t="s">
        <v>9</v>
      </c>
      <c r="J290" t="s">
        <v>1053</v>
      </c>
      <c r="K290" t="s">
        <v>7715</v>
      </c>
      <c r="L290" s="2" t="s">
        <v>8408</v>
      </c>
      <c r="M290" t="s">
        <v>8410</v>
      </c>
      <c r="N290" s="4"/>
    </row>
    <row r="291" spans="1:14" ht="39" x14ac:dyDescent="0.3">
      <c r="A291" s="1" t="str">
        <f>HYPERLINK("https://ipmanager.doe.gov/IPManager//ExternalLink.aspx?6ibkph2k9yi6F%2B0Vz7YoTo7DPLa3%2F%2FGgsDBj3kQpqhA%3D","Link")</f>
        <v>Link</v>
      </c>
      <c r="B291" s="2" t="s">
        <v>1059</v>
      </c>
      <c r="C291" s="2" t="s">
        <v>1037</v>
      </c>
      <c r="D291" s="2" t="s">
        <v>770</v>
      </c>
      <c r="E291" s="2" t="s">
        <v>1052</v>
      </c>
      <c r="F291" s="2" t="s">
        <v>1060</v>
      </c>
      <c r="G291" s="2" t="s">
        <v>1061</v>
      </c>
      <c r="H291" s="7"/>
      <c r="I291" s="2" t="s">
        <v>9</v>
      </c>
      <c r="K291" t="e">
        <v>#N/A</v>
      </c>
      <c r="L291" s="2" t="s">
        <v>8408</v>
      </c>
      <c r="M291" t="s">
        <v>8410</v>
      </c>
      <c r="N291" s="4"/>
    </row>
    <row r="292" spans="1:14" ht="39" x14ac:dyDescent="0.3">
      <c r="A292" s="1" t="str">
        <f>HYPERLINK("https://ipmanager.doe.gov/IPManager//ExternalLink.aspx?6ibkph2k9yi6F%2B0Vz7YoTipZ798QK%2BbP4A3Ce6yGZjY%3D","Link")</f>
        <v>Link</v>
      </c>
      <c r="B292" s="2" t="s">
        <v>1062</v>
      </c>
      <c r="C292" s="2" t="s">
        <v>1063</v>
      </c>
      <c r="D292" s="2" t="s">
        <v>1064</v>
      </c>
      <c r="E292" s="2" t="s">
        <v>1065</v>
      </c>
      <c r="F292" s="2" t="s">
        <v>7613</v>
      </c>
      <c r="G292" s="2" t="s">
        <v>1066</v>
      </c>
      <c r="H292" s="2">
        <v>9397345</v>
      </c>
      <c r="I292" s="2" t="s">
        <v>1067</v>
      </c>
      <c r="J292" t="s">
        <v>7436</v>
      </c>
      <c r="K292" t="s">
        <v>7779</v>
      </c>
      <c r="L292" s="2" t="s">
        <v>8472</v>
      </c>
      <c r="M292" t="s">
        <v>8010</v>
      </c>
    </row>
    <row r="293" spans="1:14" ht="39" x14ac:dyDescent="0.3">
      <c r="A293" s="1" t="str">
        <f>HYPERLINK("https://ipmanager.doe.gov/IPManager//ExternalLink.aspx?6ibkph2k9yi6F%2B0Vz7YoTlNm8snv%2FZpH0YwsndzoJQ4%3D","Link")</f>
        <v>Link</v>
      </c>
      <c r="B293" s="2" t="s">
        <v>1068</v>
      </c>
      <c r="C293" s="2" t="s">
        <v>1069</v>
      </c>
      <c r="D293" s="2" t="s">
        <v>1070</v>
      </c>
      <c r="E293" s="2" t="s">
        <v>1071</v>
      </c>
      <c r="F293" s="2" t="s">
        <v>1072</v>
      </c>
      <c r="G293" s="2" t="s">
        <v>1073</v>
      </c>
      <c r="H293" s="2"/>
      <c r="I293" s="2" t="s">
        <v>9</v>
      </c>
      <c r="J293" t="s">
        <v>7522</v>
      </c>
      <c r="K293" t="s">
        <v>7780</v>
      </c>
      <c r="L293" s="2" t="s">
        <v>8473</v>
      </c>
      <c r="M293" t="s">
        <v>8011</v>
      </c>
      <c r="N293" s="4"/>
    </row>
    <row r="294" spans="1:14" ht="26" x14ac:dyDescent="0.3">
      <c r="A294" s="1" t="str">
        <f>HYPERLINK("https://ipmanager.doe.gov/IPManager//ExternalLink.aspx?6ibkph2k9yi6F%2B0Vz7YoTlNm8snv%2FZpHMu9DG%2Bgrkbc%3D","Link")</f>
        <v>Link</v>
      </c>
      <c r="B294" s="2" t="s">
        <v>1074</v>
      </c>
      <c r="C294" s="2" t="s">
        <v>1069</v>
      </c>
      <c r="D294" s="2" t="s">
        <v>1070</v>
      </c>
      <c r="E294" s="2" t="s">
        <v>1075</v>
      </c>
      <c r="F294" s="2"/>
      <c r="G294" s="2" t="s">
        <v>9</v>
      </c>
      <c r="H294" s="2"/>
      <c r="I294" s="2" t="s">
        <v>9</v>
      </c>
      <c r="K294" t="e">
        <v>#N/A</v>
      </c>
      <c r="L294" s="2" t="s">
        <v>8473</v>
      </c>
      <c r="M294" t="s">
        <v>8011</v>
      </c>
      <c r="N294" s="4"/>
    </row>
    <row r="295" spans="1:14" ht="52" x14ac:dyDescent="0.3">
      <c r="A295" s="1" t="str">
        <f>HYPERLINK("https://ipmanager.doe.gov/IPManager//ExternalLink.aspx?6ibkph2k9yi6F%2B0Vz7YoTlNm8snv%2FZpH%2BPQTMtFOv8g%3D","Link")</f>
        <v>Link</v>
      </c>
      <c r="B295" s="2" t="s">
        <v>1084</v>
      </c>
      <c r="C295" s="2" t="s">
        <v>1069</v>
      </c>
      <c r="D295" s="2" t="s">
        <v>1070</v>
      </c>
      <c r="E295" s="2" t="s">
        <v>1085</v>
      </c>
      <c r="F295" s="2"/>
      <c r="G295" s="2" t="s">
        <v>9</v>
      </c>
      <c r="H295" s="2"/>
      <c r="I295" s="2" t="s">
        <v>9</v>
      </c>
      <c r="K295" t="e">
        <v>#N/A</v>
      </c>
      <c r="L295" s="2" t="s">
        <v>8473</v>
      </c>
      <c r="M295" t="s">
        <v>8011</v>
      </c>
      <c r="N295" s="4"/>
    </row>
    <row r="296" spans="1:14" ht="52" x14ac:dyDescent="0.3">
      <c r="A296" s="1" t="str">
        <f>HYPERLINK("https://ipmanager.doe.gov/IPManager//ExternalLink.aspx?6ibkph2k9yi6F%2B0Vz7YoTjN2oADz%2F5MxU4Y7VBKXh8o%3D","Link")</f>
        <v>Link</v>
      </c>
      <c r="B296" s="2" t="s">
        <v>1089</v>
      </c>
      <c r="C296" s="2" t="s">
        <v>1069</v>
      </c>
      <c r="D296" s="2" t="s">
        <v>1070</v>
      </c>
      <c r="E296" s="2" t="s">
        <v>1085</v>
      </c>
      <c r="F296" s="2"/>
      <c r="G296" s="2" t="s">
        <v>9</v>
      </c>
      <c r="H296" s="2"/>
      <c r="I296" s="2" t="s">
        <v>9</v>
      </c>
      <c r="K296" t="e">
        <v>#N/A</v>
      </c>
      <c r="L296" s="2" t="s">
        <v>8473</v>
      </c>
      <c r="M296" t="s">
        <v>8011</v>
      </c>
      <c r="N296" s="4"/>
    </row>
    <row r="297" spans="1:14" ht="26" x14ac:dyDescent="0.3">
      <c r="A297" s="1" t="str">
        <f>HYPERLINK("https://ipmanager.doe.gov/IPManager//ExternalLink.aspx?6ibkph2k9yi6F%2B0Vz7YoTk2BI6w%2FjZ2fOxQU0LvXXxI%3D","Link")</f>
        <v>Link</v>
      </c>
      <c r="B297" s="2" t="s">
        <v>1090</v>
      </c>
      <c r="C297" s="2" t="s">
        <v>1069</v>
      </c>
      <c r="D297" s="2" t="s">
        <v>1070</v>
      </c>
      <c r="E297" s="2" t="s">
        <v>1091</v>
      </c>
      <c r="F297" s="2" t="s">
        <v>1092</v>
      </c>
      <c r="G297" s="2" t="s">
        <v>1093</v>
      </c>
      <c r="H297" s="2">
        <v>8802287</v>
      </c>
      <c r="I297" s="2" t="s">
        <v>1094</v>
      </c>
      <c r="J297" t="s">
        <v>7435</v>
      </c>
      <c r="K297" t="s">
        <v>7781</v>
      </c>
      <c r="L297" s="2" t="s">
        <v>8473</v>
      </c>
      <c r="M297" t="s">
        <v>8011</v>
      </c>
    </row>
    <row r="298" spans="1:14" ht="39" x14ac:dyDescent="0.3">
      <c r="A298" s="1" t="str">
        <f>HYPERLINK("https://ipmanager.doe.gov/IPManager//ExternalLink.aspx?6ibkph2k9yi6F%2B0Vz7YoTlNm8snv%2FZpHmiWL5FV%2B5P8%3D","Link")</f>
        <v>Link</v>
      </c>
      <c r="B298" s="2" t="s">
        <v>1097</v>
      </c>
      <c r="C298" s="2" t="s">
        <v>1069</v>
      </c>
      <c r="D298" s="2" t="s">
        <v>1070</v>
      </c>
      <c r="E298" s="2" t="s">
        <v>1098</v>
      </c>
      <c r="F298" s="2" t="s">
        <v>7614</v>
      </c>
      <c r="G298" s="2" t="s">
        <v>1099</v>
      </c>
      <c r="H298" s="2">
        <v>8936870</v>
      </c>
      <c r="I298" s="2" t="s">
        <v>755</v>
      </c>
      <c r="J298" t="s">
        <v>7440</v>
      </c>
      <c r="K298" t="e">
        <v>#N/A</v>
      </c>
      <c r="L298" s="2" t="s">
        <v>8473</v>
      </c>
      <c r="M298" t="s">
        <v>8011</v>
      </c>
    </row>
    <row r="299" spans="1:14" ht="52" x14ac:dyDescent="0.3">
      <c r="A299" s="1" t="str">
        <f>HYPERLINK("https://ipmanager.doe.gov/IPManager//ExternalLink.aspx?6ibkph2k9yi6F%2B0Vz7YoTjnDGhmGHGI7bboO3zwIJ9U%3D","Link")</f>
        <v>Link</v>
      </c>
      <c r="B299" s="2" t="s">
        <v>1106</v>
      </c>
      <c r="C299" s="2" t="s">
        <v>1069</v>
      </c>
      <c r="D299" s="2" t="s">
        <v>1070</v>
      </c>
      <c r="E299" s="2" t="s">
        <v>1107</v>
      </c>
      <c r="F299" s="2" t="s">
        <v>1108</v>
      </c>
      <c r="G299" s="2" t="s">
        <v>1109</v>
      </c>
      <c r="H299" s="2">
        <v>8877367</v>
      </c>
      <c r="I299" s="2" t="s">
        <v>461</v>
      </c>
      <c r="J299" t="s">
        <v>7437</v>
      </c>
      <c r="K299" t="s">
        <v>7782</v>
      </c>
      <c r="L299" s="2" t="s">
        <v>8473</v>
      </c>
      <c r="M299" t="s">
        <v>8011</v>
      </c>
    </row>
    <row r="300" spans="1:14" ht="39" x14ac:dyDescent="0.3">
      <c r="A300" s="1" t="str">
        <f>HYPERLINK("https://ipmanager.doe.gov/IPManager//ExternalLink.aspx?6ibkph2k9yi6F%2B0Vz7YoTjnDGhmGHGI7QevE6Qqlhww%3D","Link")</f>
        <v>Link</v>
      </c>
      <c r="B300" s="2" t="s">
        <v>1114</v>
      </c>
      <c r="C300" s="2" t="s">
        <v>1069</v>
      </c>
      <c r="D300" s="2" t="s">
        <v>1070</v>
      </c>
      <c r="E300" s="2" t="s">
        <v>1115</v>
      </c>
      <c r="F300" s="2" t="s">
        <v>1116</v>
      </c>
      <c r="G300" s="2" t="s">
        <v>1117</v>
      </c>
      <c r="H300" s="2"/>
      <c r="I300" s="2" t="s">
        <v>9</v>
      </c>
      <c r="J300" t="s">
        <v>7523</v>
      </c>
      <c r="K300" t="s">
        <v>7783</v>
      </c>
      <c r="L300" s="2" t="s">
        <v>8473</v>
      </c>
      <c r="M300" t="s">
        <v>8011</v>
      </c>
      <c r="N300" s="4"/>
    </row>
    <row r="301" spans="1:14" ht="26" x14ac:dyDescent="0.3">
      <c r="A301" s="1" t="str">
        <f>HYPERLINK("https://ipmanager.doe.gov/IPManager//ExternalLink.aspx?6ibkph2k9yi6F%2B0Vz7YoTjnDGhmGHGI76beBe2kQZLY%3D","Link")</f>
        <v>Link</v>
      </c>
      <c r="B301" s="2" t="s">
        <v>1118</v>
      </c>
      <c r="C301" s="2" t="s">
        <v>1069</v>
      </c>
      <c r="D301" s="2" t="s">
        <v>1070</v>
      </c>
      <c r="E301" s="2" t="s">
        <v>1119</v>
      </c>
      <c r="F301" s="2" t="s">
        <v>1120</v>
      </c>
      <c r="G301" s="2" t="s">
        <v>45</v>
      </c>
      <c r="H301" s="2"/>
      <c r="I301" s="2" t="s">
        <v>9</v>
      </c>
      <c r="J301" t="s">
        <v>7524</v>
      </c>
      <c r="K301" t="s">
        <v>7784</v>
      </c>
      <c r="L301" s="2" t="s">
        <v>8473</v>
      </c>
      <c r="M301" t="s">
        <v>8011</v>
      </c>
      <c r="N301" s="4"/>
    </row>
    <row r="302" spans="1:14" ht="52" x14ac:dyDescent="0.3">
      <c r="A302" s="1" t="str">
        <f>HYPERLINK("https://ipmanager.doe.gov/IPManager//ExternalLink.aspx?6ibkph2k9yi6F%2B0Vz7YoTjnDGhmGHGI7F63EHs6ncxw%3D","Link")</f>
        <v>Link</v>
      </c>
      <c r="B302" s="2" t="s">
        <v>1121</v>
      </c>
      <c r="C302" s="2" t="s">
        <v>1069</v>
      </c>
      <c r="D302" s="2" t="s">
        <v>1070</v>
      </c>
      <c r="E302" s="2" t="s">
        <v>1077</v>
      </c>
      <c r="F302" s="2" t="s">
        <v>1122</v>
      </c>
      <c r="G302" s="2" t="s">
        <v>1079</v>
      </c>
      <c r="H302" s="2"/>
      <c r="I302" s="2" t="s">
        <v>9</v>
      </c>
      <c r="J302" t="s">
        <v>7525</v>
      </c>
      <c r="K302" t="s">
        <v>7785</v>
      </c>
      <c r="L302" s="2" t="s">
        <v>8473</v>
      </c>
      <c r="M302" t="s">
        <v>8011</v>
      </c>
      <c r="N302" s="4"/>
    </row>
    <row r="303" spans="1:14" ht="39" x14ac:dyDescent="0.3">
      <c r="A303" s="1" t="str">
        <f>HYPERLINK("https://ipmanager.doe.gov/IPManager//ExternalLink.aspx?6ibkph2k9yi6F%2B0Vz7YoTlNm8snv%2FZpHvyfNbcPos98%3D","Link")</f>
        <v>Link</v>
      </c>
      <c r="B303" s="2" t="s">
        <v>1123</v>
      </c>
      <c r="C303" s="2" t="s">
        <v>1069</v>
      </c>
      <c r="D303" s="2" t="s">
        <v>1070</v>
      </c>
      <c r="E303" s="2" t="s">
        <v>1098</v>
      </c>
      <c r="F303" s="2" t="s">
        <v>1124</v>
      </c>
      <c r="G303" s="2" t="s">
        <v>1125</v>
      </c>
      <c r="H303" s="2">
        <v>9040197</v>
      </c>
      <c r="I303" s="2" t="s">
        <v>1126</v>
      </c>
      <c r="J303" t="s">
        <v>7438</v>
      </c>
      <c r="K303" t="s">
        <v>7786</v>
      </c>
      <c r="L303" s="2" t="s">
        <v>8473</v>
      </c>
      <c r="M303" t="s">
        <v>8011</v>
      </c>
    </row>
    <row r="304" spans="1:14" ht="52" x14ac:dyDescent="0.3">
      <c r="A304" s="1" t="str">
        <f>HYPERLINK("https://ipmanager.doe.gov/IPManager//ExternalLink.aspx?6ibkph2k9yi6F%2B0Vz7YoTlNm8snv%2FZpHf6U8IOzi%2Bb4%3D","Link")</f>
        <v>Link</v>
      </c>
      <c r="B304" s="2" t="s">
        <v>1076</v>
      </c>
      <c r="C304" s="2" t="s">
        <v>1069</v>
      </c>
      <c r="D304" s="2" t="s">
        <v>1070</v>
      </c>
      <c r="E304" s="2" t="s">
        <v>1077</v>
      </c>
      <c r="F304" s="2" t="s">
        <v>1078</v>
      </c>
      <c r="G304" s="2" t="s">
        <v>1079</v>
      </c>
      <c r="H304" s="7"/>
      <c r="I304" s="2" t="s">
        <v>9</v>
      </c>
      <c r="K304" t="e">
        <v>#N/A</v>
      </c>
      <c r="L304" s="2" t="s">
        <v>8473</v>
      </c>
      <c r="M304" t="s">
        <v>8011</v>
      </c>
      <c r="N304" s="4"/>
    </row>
    <row r="305" spans="1:14" ht="52" x14ac:dyDescent="0.3">
      <c r="A305" s="1" t="str">
        <f>HYPERLINK("https://ipmanager.doe.gov/IPManager//ExternalLink.aspx?6ibkph2k9yi6F%2B0Vz7YoTlNm8snv%2FZpHV8pmLnrnWNQ%3D","Link")</f>
        <v>Link</v>
      </c>
      <c r="B305" s="2" t="s">
        <v>1080</v>
      </c>
      <c r="C305" s="2" t="s">
        <v>1069</v>
      </c>
      <c r="D305" s="2" t="s">
        <v>1070</v>
      </c>
      <c r="E305" s="2" t="s">
        <v>1081</v>
      </c>
      <c r="F305" s="2" t="s">
        <v>1082</v>
      </c>
      <c r="G305" s="2" t="s">
        <v>1083</v>
      </c>
      <c r="H305" s="7"/>
      <c r="I305" s="2" t="s">
        <v>9</v>
      </c>
      <c r="K305" t="e">
        <v>#N/A</v>
      </c>
      <c r="L305" s="2" t="s">
        <v>8473</v>
      </c>
      <c r="M305" t="s">
        <v>8011</v>
      </c>
      <c r="N305" s="4"/>
    </row>
    <row r="306" spans="1:14" ht="130" x14ac:dyDescent="0.3">
      <c r="A306" s="1" t="str">
        <f>HYPERLINK("https://ipmanager.doe.gov/IPManager//ExternalLink.aspx?6ibkph2k9yi6F%2B0Vz7YoTlNm8snv%2FZpHfbo9Z7%2FDXs4%3D","Link")</f>
        <v>Link</v>
      </c>
      <c r="B306" s="2" t="s">
        <v>1086</v>
      </c>
      <c r="C306" s="2" t="s">
        <v>1069</v>
      </c>
      <c r="D306" s="2" t="s">
        <v>1070</v>
      </c>
      <c r="E306" s="2" t="s">
        <v>1087</v>
      </c>
      <c r="F306" s="2" t="s">
        <v>7647</v>
      </c>
      <c r="G306" s="2" t="s">
        <v>1088</v>
      </c>
      <c r="H306" s="7"/>
      <c r="I306" s="2" t="s">
        <v>9</v>
      </c>
      <c r="K306" t="e">
        <v>#N/A</v>
      </c>
      <c r="L306" s="2" t="s">
        <v>8473</v>
      </c>
      <c r="M306" t="s">
        <v>8011</v>
      </c>
      <c r="N306" s="4"/>
    </row>
    <row r="307" spans="1:14" ht="65" x14ac:dyDescent="0.3">
      <c r="A307" s="1" t="str">
        <f>HYPERLINK("https://ipmanager.doe.gov/IPManager//ExternalLink.aspx?6ibkph2k9yi6F%2B0Vz7YoTlNm8snv%2FZpHyPx4IVaDbnU%3D","Link")</f>
        <v>Link</v>
      </c>
      <c r="B307" s="2" t="s">
        <v>1095</v>
      </c>
      <c r="C307" s="2" t="s">
        <v>1069</v>
      </c>
      <c r="D307" s="2" t="s">
        <v>1070</v>
      </c>
      <c r="E307" s="2" t="s">
        <v>1096</v>
      </c>
      <c r="F307" s="2" t="s">
        <v>1112</v>
      </c>
      <c r="G307" s="2" t="s">
        <v>35</v>
      </c>
      <c r="H307" s="7"/>
      <c r="I307" s="2" t="s">
        <v>9</v>
      </c>
      <c r="K307" t="e">
        <v>#N/A</v>
      </c>
      <c r="L307" s="2" t="s">
        <v>8473</v>
      </c>
      <c r="M307" t="s">
        <v>8011</v>
      </c>
      <c r="N307" s="4"/>
    </row>
    <row r="308" spans="1:14" ht="65" x14ac:dyDescent="0.3">
      <c r="A308" s="1" t="str">
        <f>HYPERLINK("https://ipmanager.doe.gov/IPManager//ExternalLink.aspx?6ibkph2k9yi6F%2B0Vz7YoTjnDGhmGHGI7%2BlwYCneqMSg%3D","Link")</f>
        <v>Link</v>
      </c>
      <c r="B308" s="2" t="s">
        <v>1100</v>
      </c>
      <c r="C308" s="2" t="s">
        <v>1069</v>
      </c>
      <c r="D308" s="2" t="s">
        <v>1070</v>
      </c>
      <c r="E308" s="2" t="s">
        <v>1101</v>
      </c>
      <c r="F308" s="2" t="s">
        <v>1102</v>
      </c>
      <c r="G308" s="2" t="s">
        <v>484</v>
      </c>
      <c r="H308" s="7"/>
      <c r="I308" s="2" t="s">
        <v>9</v>
      </c>
      <c r="K308" t="e">
        <v>#N/A</v>
      </c>
      <c r="L308" s="2" t="s">
        <v>8473</v>
      </c>
      <c r="M308" t="s">
        <v>8011</v>
      </c>
      <c r="N308" s="4"/>
    </row>
    <row r="309" spans="1:14" ht="65" x14ac:dyDescent="0.3">
      <c r="A309" s="1" t="str">
        <f>HYPERLINK("https://ipmanager.doe.gov/IPManager//ExternalLink.aspx?6ibkph2k9yi6F%2B0Vz7YoTjnDGhmGHGI73pue9K96nv0%3D","Link")</f>
        <v>Link</v>
      </c>
      <c r="B309" s="2" t="s">
        <v>1104</v>
      </c>
      <c r="C309" s="2" t="s">
        <v>1069</v>
      </c>
      <c r="D309" s="2" t="s">
        <v>1070</v>
      </c>
      <c r="E309" s="2" t="s">
        <v>1101</v>
      </c>
      <c r="F309" s="2" t="s">
        <v>1103</v>
      </c>
      <c r="G309" s="2" t="s">
        <v>1105</v>
      </c>
      <c r="H309" s="7"/>
      <c r="I309" s="2" t="s">
        <v>9</v>
      </c>
      <c r="K309" t="e">
        <v>#N/A</v>
      </c>
      <c r="L309" s="2" t="s">
        <v>8473</v>
      </c>
      <c r="M309" t="s">
        <v>8011</v>
      </c>
      <c r="N309" s="4"/>
    </row>
    <row r="310" spans="1:14" ht="26" x14ac:dyDescent="0.3">
      <c r="A310" s="1" t="str">
        <f>HYPERLINK("https://ipmanager.doe.gov/IPManager//ExternalLink.aspx?6ibkph2k9yi6F%2B0Vz7YoTjnDGhmGHGI711siW6Rk51M%3D","Link")</f>
        <v>Link</v>
      </c>
      <c r="B310" s="2" t="s">
        <v>1110</v>
      </c>
      <c r="C310" s="2" t="s">
        <v>1069</v>
      </c>
      <c r="D310" s="2" t="s">
        <v>1070</v>
      </c>
      <c r="E310" s="2" t="s">
        <v>1111</v>
      </c>
      <c r="F310" s="2" t="s">
        <v>1112</v>
      </c>
      <c r="G310" s="2" t="s">
        <v>35</v>
      </c>
      <c r="H310" s="7"/>
      <c r="I310" s="2" t="s">
        <v>9</v>
      </c>
      <c r="K310" t="e">
        <v>#N/A</v>
      </c>
      <c r="L310" s="2" t="s">
        <v>8473</v>
      </c>
      <c r="M310" t="s">
        <v>8011</v>
      </c>
      <c r="N310" s="4"/>
    </row>
    <row r="311" spans="1:14" ht="65" x14ac:dyDescent="0.3">
      <c r="A311" s="1" t="str">
        <f>HYPERLINK("https://ipmanager.doe.gov/IPManager//ExternalLink.aspx?6ibkph2k9yi6F%2B0Vz7YoTjnDGhmGHGI7L2FhDEVwTp0%3D","Link")</f>
        <v>Link</v>
      </c>
      <c r="B311" s="2" t="s">
        <v>1113</v>
      </c>
      <c r="C311" s="2" t="s">
        <v>1069</v>
      </c>
      <c r="D311" s="2" t="s">
        <v>1070</v>
      </c>
      <c r="E311" s="2" t="s">
        <v>1101</v>
      </c>
      <c r="F311" s="2" t="s">
        <v>1103</v>
      </c>
      <c r="G311" s="2" t="s">
        <v>1105</v>
      </c>
      <c r="H311" s="7"/>
      <c r="I311" s="2" t="s">
        <v>9</v>
      </c>
      <c r="K311" t="e">
        <v>#N/A</v>
      </c>
      <c r="L311" s="2" t="s">
        <v>8473</v>
      </c>
      <c r="M311" t="s">
        <v>8011</v>
      </c>
      <c r="N311" s="4"/>
    </row>
    <row r="312" spans="1:14" ht="78" x14ac:dyDescent="0.3">
      <c r="A312" s="1" t="str">
        <f>HYPERLINK("https://ipmanager.doe.gov/IPManager//ExternalLink.aspx?6ibkph2k9yi6F%2B0Vz7YoTlNm8snv%2FZpHZJq9Yh7SzGc%3D","Link")</f>
        <v>Link</v>
      </c>
      <c r="B312" s="2" t="s">
        <v>1127</v>
      </c>
      <c r="C312" s="2" t="s">
        <v>1069</v>
      </c>
      <c r="D312" s="2" t="s">
        <v>1070</v>
      </c>
      <c r="E312" s="2" t="s">
        <v>1128</v>
      </c>
      <c r="F312" s="2" t="s">
        <v>1129</v>
      </c>
      <c r="G312" s="2" t="s">
        <v>1130</v>
      </c>
      <c r="H312" s="7"/>
      <c r="I312" s="2" t="s">
        <v>9</v>
      </c>
      <c r="K312" t="e">
        <v>#N/A</v>
      </c>
      <c r="L312" s="2" t="s">
        <v>8473</v>
      </c>
      <c r="M312" t="s">
        <v>8011</v>
      </c>
      <c r="N312" s="4"/>
    </row>
    <row r="313" spans="1:14" ht="78" x14ac:dyDescent="0.3">
      <c r="A313" s="1" t="str">
        <f>HYPERLINK("https://ipmanager.doe.gov/IPManager//ExternalLink.aspx?6ibkph2k9yi6F%2B0Vz7YoTipZ798QK%2BbPv0h7WQut6q4%3D","Link")</f>
        <v>Link</v>
      </c>
      <c r="B313" s="2" t="s">
        <v>1131</v>
      </c>
      <c r="C313" s="2" t="s">
        <v>1132</v>
      </c>
      <c r="D313" s="2" t="s">
        <v>233</v>
      </c>
      <c r="E313" s="2" t="s">
        <v>118</v>
      </c>
      <c r="F313" s="2"/>
      <c r="G313" s="2" t="s">
        <v>9</v>
      </c>
      <c r="H313" s="2"/>
      <c r="I313" s="2" t="s">
        <v>9</v>
      </c>
      <c r="K313" t="e">
        <v>#N/A</v>
      </c>
      <c r="L313" s="2" t="s">
        <v>8474</v>
      </c>
      <c r="M313" t="s">
        <v>8012</v>
      </c>
      <c r="N313" s="4"/>
    </row>
    <row r="314" spans="1:14" ht="39" x14ac:dyDescent="0.3">
      <c r="A314" s="1" t="str">
        <f>HYPERLINK("https://ipmanager.doe.gov/IPManager//ExternalLink.aspx?6ibkph2k9yi6F%2B0Vz7YoTjN2oADz%2F5MxdARbeMDmwrA%3D","Link")</f>
        <v>Link</v>
      </c>
      <c r="B314" s="2" t="s">
        <v>1133</v>
      </c>
      <c r="C314" s="2" t="s">
        <v>1132</v>
      </c>
      <c r="D314" s="2" t="s">
        <v>233</v>
      </c>
      <c r="E314" s="2" t="s">
        <v>1134</v>
      </c>
      <c r="F314" s="2" t="s">
        <v>1135</v>
      </c>
      <c r="G314" s="2" t="s">
        <v>1136</v>
      </c>
      <c r="H314" s="2">
        <v>9312398</v>
      </c>
      <c r="I314" s="2" t="s">
        <v>1137</v>
      </c>
      <c r="J314" t="s">
        <v>7439</v>
      </c>
      <c r="K314" t="s">
        <v>7787</v>
      </c>
      <c r="L314" s="2" t="s">
        <v>8474</v>
      </c>
      <c r="M314" t="s">
        <v>8012</v>
      </c>
    </row>
    <row r="315" spans="1:14" ht="39" x14ac:dyDescent="0.3">
      <c r="A315" s="1" t="str">
        <f>HYPERLINK("https://ipmanager.doe.gov/IPManager//ExternalLink.aspx?6ibkph2k9yi6F%2B0Vz7YoTvE8yjoHgvp6HSxYFO9h2CA%3D","Link")</f>
        <v>Link</v>
      </c>
      <c r="B315" s="2" t="s">
        <v>1138</v>
      </c>
      <c r="C315" s="2" t="s">
        <v>1132</v>
      </c>
      <c r="D315" s="2" t="s">
        <v>233</v>
      </c>
      <c r="E315" s="2" t="s">
        <v>1139</v>
      </c>
      <c r="F315" s="2"/>
      <c r="G315" s="2" t="s">
        <v>9</v>
      </c>
      <c r="H315" s="2"/>
      <c r="I315" s="2" t="s">
        <v>9</v>
      </c>
      <c r="K315" t="e">
        <v>#N/A</v>
      </c>
      <c r="L315" s="2" t="s">
        <v>8474</v>
      </c>
      <c r="M315" t="s">
        <v>8012</v>
      </c>
      <c r="N315" s="4"/>
    </row>
    <row r="316" spans="1:14" ht="26" x14ac:dyDescent="0.3">
      <c r="A316" s="1" t="str">
        <f>HYPERLINK("https://ipmanager.doe.gov/IPManager//ExternalLink.aspx?6ibkph2k9yi6F%2B0Vz7YoTlNm8snv%2FZpHnonhukHDNAQ%3D","Link")</f>
        <v>Link</v>
      </c>
      <c r="B316" s="2" t="s">
        <v>1140</v>
      </c>
      <c r="C316" s="2" t="s">
        <v>1141</v>
      </c>
      <c r="D316" s="2" t="s">
        <v>1142</v>
      </c>
      <c r="E316" s="2" t="s">
        <v>1143</v>
      </c>
      <c r="F316" s="2" t="s">
        <v>7642</v>
      </c>
      <c r="G316" s="2" t="s">
        <v>978</v>
      </c>
      <c r="H316" s="7"/>
      <c r="I316" s="2" t="s">
        <v>9</v>
      </c>
      <c r="K316" t="e">
        <v>#N/A</v>
      </c>
      <c r="L316" s="2" t="s">
        <v>8475</v>
      </c>
      <c r="M316" t="s">
        <v>8013</v>
      </c>
      <c r="N316" s="4"/>
    </row>
    <row r="317" spans="1:14" ht="52" x14ac:dyDescent="0.3">
      <c r="A317" s="1" t="str">
        <f>HYPERLINK("https://ipmanager.doe.gov/IPManager//ExternalLink.aspx?6ibkph2k9yi6F%2B0Vz7YoTr7J5I%2BY4foYZECUbgoUDKM%3D","Link")</f>
        <v>Link</v>
      </c>
      <c r="B317" s="2" t="s">
        <v>1144</v>
      </c>
      <c r="C317" s="2" t="s">
        <v>1145</v>
      </c>
      <c r="D317" s="2" t="s">
        <v>1146</v>
      </c>
      <c r="E317" s="2" t="s">
        <v>1147</v>
      </c>
      <c r="F317" s="2" t="s">
        <v>1148</v>
      </c>
      <c r="G317" s="2" t="s">
        <v>1149</v>
      </c>
      <c r="H317" s="2">
        <v>8512989</v>
      </c>
      <c r="I317" s="2" t="s">
        <v>702</v>
      </c>
      <c r="J317" t="s">
        <v>7441</v>
      </c>
      <c r="K317" t="s">
        <v>7788</v>
      </c>
      <c r="L317" s="2" t="s">
        <v>8476</v>
      </c>
      <c r="M317" t="s">
        <v>8014</v>
      </c>
    </row>
    <row r="318" spans="1:14" ht="52" x14ac:dyDescent="0.3">
      <c r="A318" s="1" t="str">
        <f>HYPERLINK("https://ipmanager.doe.gov/IPManager//ExternalLink.aspx?6ibkph2k9yi6F%2B0Vz7YoTr7J5I%2BY4foYg6KxaoQq50w%3D","Link")</f>
        <v>Link</v>
      </c>
      <c r="B318" s="2" t="s">
        <v>1152</v>
      </c>
      <c r="C318" s="2" t="s">
        <v>1145</v>
      </c>
      <c r="D318" s="2" t="s">
        <v>1146</v>
      </c>
      <c r="E318" s="2" t="s">
        <v>1153</v>
      </c>
      <c r="F318" s="2" t="s">
        <v>1154</v>
      </c>
      <c r="G318" s="2" t="s">
        <v>675</v>
      </c>
      <c r="H318" s="2"/>
      <c r="I318" s="2" t="s">
        <v>9</v>
      </c>
      <c r="J318" t="s">
        <v>7443</v>
      </c>
      <c r="K318" t="s">
        <v>7789</v>
      </c>
      <c r="L318" s="2" t="s">
        <v>8476</v>
      </c>
      <c r="M318" t="s">
        <v>8014</v>
      </c>
      <c r="N318" s="5" t="s">
        <v>7526</v>
      </c>
    </row>
    <row r="319" spans="1:14" ht="52" x14ac:dyDescent="0.3">
      <c r="A319" s="1" t="str">
        <f>HYPERLINK("https://ipmanager.doe.gov/IPManager//ExternalLink.aspx?6ibkph2k9yi6F%2B0Vz7YoTjnDGhmGHGI74mFBFdcGreU%3D","Link")</f>
        <v>Link</v>
      </c>
      <c r="B319" s="2" t="s">
        <v>1155</v>
      </c>
      <c r="C319" s="2" t="s">
        <v>1145</v>
      </c>
      <c r="D319" s="2" t="s">
        <v>1146</v>
      </c>
      <c r="E319" s="2" t="s">
        <v>1156</v>
      </c>
      <c r="F319" s="2" t="s">
        <v>1151</v>
      </c>
      <c r="G319" s="2" t="s">
        <v>675</v>
      </c>
      <c r="H319" s="2">
        <v>8354262</v>
      </c>
      <c r="I319" s="2" t="s">
        <v>1157</v>
      </c>
      <c r="J319" t="s">
        <v>7442</v>
      </c>
      <c r="K319" t="s">
        <v>7790</v>
      </c>
      <c r="L319" s="2" t="s">
        <v>8476</v>
      </c>
      <c r="M319" t="s">
        <v>8014</v>
      </c>
    </row>
    <row r="320" spans="1:14" ht="52" x14ac:dyDescent="0.3">
      <c r="A320" s="1" t="str">
        <f>HYPERLINK("https://ipmanager.doe.gov/IPManager//ExternalLink.aspx?6ibkph2k9yi6F%2B0Vz7YoTjnDGhmGHGI71zdFZeR0RYg%3D","Link")</f>
        <v>Link</v>
      </c>
      <c r="B320" s="2" t="s">
        <v>1155</v>
      </c>
      <c r="C320" s="2" t="s">
        <v>1145</v>
      </c>
      <c r="D320" s="2" t="s">
        <v>1146</v>
      </c>
      <c r="E320" s="2" t="s">
        <v>1156</v>
      </c>
      <c r="F320" s="2" t="s">
        <v>1158</v>
      </c>
      <c r="G320" s="2" t="s">
        <v>675</v>
      </c>
      <c r="H320" s="2"/>
      <c r="I320" s="2" t="s">
        <v>9</v>
      </c>
      <c r="J320" t="s">
        <v>7442</v>
      </c>
      <c r="K320" t="s">
        <v>7790</v>
      </c>
      <c r="L320" s="2" t="s">
        <v>8476</v>
      </c>
      <c r="M320" t="s">
        <v>8014</v>
      </c>
      <c r="N320" s="5" t="s">
        <v>7526</v>
      </c>
    </row>
    <row r="321" spans="1:14" ht="52" x14ac:dyDescent="0.3">
      <c r="A321" s="1" t="str">
        <f>HYPERLINK("https://ipmanager.doe.gov/IPManager//ExternalLink.aspx?6ibkph2k9yi6F%2B0Vz7YoTjN2oADz%2F5Mxza%2FsAp%2FKfDI%3D","Link")</f>
        <v>Link</v>
      </c>
      <c r="B321" s="2" t="s">
        <v>1152</v>
      </c>
      <c r="C321" s="2" t="s">
        <v>1145</v>
      </c>
      <c r="D321" s="2" t="s">
        <v>1146</v>
      </c>
      <c r="E321" s="2" t="s">
        <v>1147</v>
      </c>
      <c r="F321" s="2" t="s">
        <v>1150</v>
      </c>
      <c r="G321" s="2" t="s">
        <v>675</v>
      </c>
      <c r="H321" s="2">
        <v>8420364</v>
      </c>
      <c r="I321" s="2" t="s">
        <v>1159</v>
      </c>
      <c r="J321" t="s">
        <v>7443</v>
      </c>
      <c r="K321" t="s">
        <v>7789</v>
      </c>
      <c r="L321" s="2" t="s">
        <v>8476</v>
      </c>
      <c r="M321" t="s">
        <v>8014</v>
      </c>
    </row>
    <row r="322" spans="1:14" ht="52" x14ac:dyDescent="0.3">
      <c r="A322" s="1" t="str">
        <f>HYPERLINK("https://ipmanager.doe.gov/IPManager//ExternalLink.aspx?6ibkph2k9yi6F%2B0Vz7YoTjN2oADz%2F5Mxhzz6l1uV5vc%3D","Link")</f>
        <v>Link</v>
      </c>
      <c r="B322" s="2" t="s">
        <v>1160</v>
      </c>
      <c r="C322" s="2" t="s">
        <v>1145</v>
      </c>
      <c r="D322" s="2" t="s">
        <v>1146</v>
      </c>
      <c r="E322" s="2" t="s">
        <v>1156</v>
      </c>
      <c r="F322" s="2" t="s">
        <v>1161</v>
      </c>
      <c r="G322" s="2" t="s">
        <v>35</v>
      </c>
      <c r="H322" s="2">
        <v>8569031</v>
      </c>
      <c r="I322" s="2" t="s">
        <v>606</v>
      </c>
      <c r="J322" t="s">
        <v>7444</v>
      </c>
      <c r="K322" t="s">
        <v>7791</v>
      </c>
      <c r="L322" s="2" t="s">
        <v>8476</v>
      </c>
      <c r="M322" t="s">
        <v>8014</v>
      </c>
    </row>
    <row r="323" spans="1:14" ht="52" x14ac:dyDescent="0.3">
      <c r="A323" s="1" t="str">
        <f>HYPERLINK("https://ipmanager.doe.gov/IPManager//ExternalLink.aspx?6ibkph2k9yi6F%2B0Vz7YoTjN2oADz%2F5MxbrEnCMRkfN4%3D","Link")</f>
        <v>Link</v>
      </c>
      <c r="B323" s="2" t="s">
        <v>1162</v>
      </c>
      <c r="C323" s="2" t="s">
        <v>1145</v>
      </c>
      <c r="D323" s="2" t="s">
        <v>1146</v>
      </c>
      <c r="E323" s="2" t="s">
        <v>1163</v>
      </c>
      <c r="F323" s="2"/>
      <c r="G323" s="2" t="s">
        <v>9</v>
      </c>
      <c r="H323" s="2"/>
      <c r="I323" s="2" t="s">
        <v>9</v>
      </c>
      <c r="K323" t="e">
        <v>#N/A</v>
      </c>
      <c r="L323" s="2" t="s">
        <v>8476</v>
      </c>
      <c r="M323" t="s">
        <v>8014</v>
      </c>
      <c r="N323" s="4"/>
    </row>
    <row r="324" spans="1:14" ht="52" x14ac:dyDescent="0.3">
      <c r="A324" s="1" t="str">
        <f>HYPERLINK("https://ipmanager.doe.gov/IPManager//ExternalLink.aspx?6ibkph2k9yi6F%2B0Vz7YoTr7J5I%2BY4foYdRWiqgRjWXQ%3D","Link")</f>
        <v>Link</v>
      </c>
      <c r="B324" s="2" t="s">
        <v>1164</v>
      </c>
      <c r="C324" s="2" t="s">
        <v>1145</v>
      </c>
      <c r="D324" s="2" t="s">
        <v>1146</v>
      </c>
      <c r="E324" s="2" t="s">
        <v>1165</v>
      </c>
      <c r="F324" s="2"/>
      <c r="G324" s="2" t="s">
        <v>9</v>
      </c>
      <c r="H324" s="2"/>
      <c r="I324" s="2" t="s">
        <v>9</v>
      </c>
      <c r="K324" t="e">
        <v>#N/A</v>
      </c>
      <c r="L324" s="2" t="s">
        <v>8476</v>
      </c>
      <c r="M324" t="s">
        <v>8014</v>
      </c>
      <c r="N324" s="4"/>
    </row>
    <row r="325" spans="1:14" ht="52" x14ac:dyDescent="0.3">
      <c r="A325" s="1" t="str">
        <f>HYPERLINK("https://ipmanager.doe.gov/IPManager//ExternalLink.aspx?6ibkph2k9yi6F%2B0Vz7YoTjN2oADz%2F5MxvP%2BD9dn0V1E%3D","Link")</f>
        <v>Link</v>
      </c>
      <c r="B325" s="2" t="s">
        <v>1166</v>
      </c>
      <c r="C325" s="2" t="s">
        <v>1145</v>
      </c>
      <c r="D325" s="2" t="s">
        <v>1146</v>
      </c>
      <c r="E325" s="2" t="s">
        <v>1167</v>
      </c>
      <c r="F325" s="2"/>
      <c r="G325" s="2" t="s">
        <v>9</v>
      </c>
      <c r="H325" s="2"/>
      <c r="I325" s="2" t="s">
        <v>9</v>
      </c>
      <c r="K325" t="e">
        <v>#N/A</v>
      </c>
      <c r="L325" s="2" t="s">
        <v>8476</v>
      </c>
      <c r="M325" t="s">
        <v>8014</v>
      </c>
      <c r="N325" s="4"/>
    </row>
    <row r="326" spans="1:14" ht="91" x14ac:dyDescent="0.3">
      <c r="A326" s="1" t="str">
        <f>HYPERLINK("https://ipmanager.doe.gov/IPManager//ExternalLink.aspx?6ibkph2k9yi6F%2B0Vz7YoTlNm8snv%2FZpHX3Le3TB0xPc%3D","Link")</f>
        <v>Link</v>
      </c>
      <c r="B326" s="2" t="s">
        <v>1168</v>
      </c>
      <c r="C326" s="2" t="s">
        <v>1145</v>
      </c>
      <c r="D326" s="2" t="s">
        <v>1146</v>
      </c>
      <c r="E326" s="2" t="s">
        <v>1169</v>
      </c>
      <c r="F326" s="2"/>
      <c r="G326" s="2" t="s">
        <v>9</v>
      </c>
      <c r="H326" s="2"/>
      <c r="I326" s="2" t="s">
        <v>9</v>
      </c>
      <c r="K326" t="e">
        <v>#N/A</v>
      </c>
      <c r="L326" s="2" t="s">
        <v>8476</v>
      </c>
      <c r="M326" t="s">
        <v>8014</v>
      </c>
      <c r="N326" s="4"/>
    </row>
    <row r="327" spans="1:14" ht="26" x14ac:dyDescent="0.3">
      <c r="A327" s="1" t="str">
        <f>HYPERLINK("https://ipmanager.doe.gov/IPManager//ExternalLink.aspx?6ibkph2k9yi6F%2B0Vz7YoTlNm8snv%2FZpHhNO2vQzv5ZM%3D","Link")</f>
        <v>Link</v>
      </c>
      <c r="B327" s="2" t="s">
        <v>1170</v>
      </c>
      <c r="C327" s="2" t="s">
        <v>1145</v>
      </c>
      <c r="D327" s="2" t="s">
        <v>1146</v>
      </c>
      <c r="E327" s="2" t="s">
        <v>1171</v>
      </c>
      <c r="F327" s="2"/>
      <c r="G327" s="2" t="s">
        <v>9</v>
      </c>
      <c r="H327" s="2"/>
      <c r="I327" s="2" t="s">
        <v>9</v>
      </c>
      <c r="K327" t="e">
        <v>#N/A</v>
      </c>
      <c r="L327" s="2" t="s">
        <v>8476</v>
      </c>
      <c r="M327" t="s">
        <v>8014</v>
      </c>
      <c r="N327" s="4"/>
    </row>
    <row r="328" spans="1:14" ht="91" x14ac:dyDescent="0.3">
      <c r="A328" s="1" t="str">
        <f>HYPERLINK("https://ipmanager.doe.gov/IPManager//ExternalLink.aspx?6ibkph2k9yi6F%2B0Vz7YoTlNm8snv%2FZpH%2FWriMX2uOyw%3D","Link")</f>
        <v>Link</v>
      </c>
      <c r="B328" s="2" t="s">
        <v>1172</v>
      </c>
      <c r="C328" s="2" t="s">
        <v>1145</v>
      </c>
      <c r="D328" s="2" t="s">
        <v>1146</v>
      </c>
      <c r="E328" s="2" t="s">
        <v>1173</v>
      </c>
      <c r="F328" s="2"/>
      <c r="G328" s="2" t="s">
        <v>9</v>
      </c>
      <c r="H328" s="2"/>
      <c r="I328" s="2" t="s">
        <v>9</v>
      </c>
      <c r="K328" t="e">
        <v>#N/A</v>
      </c>
      <c r="L328" s="2" t="s">
        <v>8476</v>
      </c>
      <c r="M328" t="s">
        <v>8014</v>
      </c>
      <c r="N328" s="4"/>
    </row>
    <row r="329" spans="1:14" ht="91" x14ac:dyDescent="0.3">
      <c r="A329" s="1" t="str">
        <f>HYPERLINK("https://ipmanager.doe.gov/IPManager//ExternalLink.aspx?6ibkph2k9yi6F%2B0Vz7YoTlNm8snv%2FZpH4rfUlURlOgw%3D","Link")</f>
        <v>Link</v>
      </c>
      <c r="B329" s="2" t="s">
        <v>1174</v>
      </c>
      <c r="C329" s="2" t="s">
        <v>1145</v>
      </c>
      <c r="D329" s="2" t="s">
        <v>1146</v>
      </c>
      <c r="E329" s="2" t="s">
        <v>1175</v>
      </c>
      <c r="F329" s="2"/>
      <c r="G329" s="2" t="s">
        <v>9</v>
      </c>
      <c r="H329" s="2"/>
      <c r="I329" s="2" t="s">
        <v>9</v>
      </c>
      <c r="K329" t="e">
        <v>#N/A</v>
      </c>
      <c r="L329" s="2" t="s">
        <v>8476</v>
      </c>
      <c r="M329" t="s">
        <v>8014</v>
      </c>
      <c r="N329" s="4"/>
    </row>
    <row r="330" spans="1:14" ht="91" x14ac:dyDescent="0.3">
      <c r="A330" s="1" t="str">
        <f>HYPERLINK("https://ipmanager.doe.gov/IPManager//ExternalLink.aspx?6ibkph2k9yi6F%2B0Vz7YoTlNm8snv%2FZpHZ6gV2twVO2s%3D","Link")</f>
        <v>Link</v>
      </c>
      <c r="B330" s="2" t="s">
        <v>1176</v>
      </c>
      <c r="C330" s="2" t="s">
        <v>1145</v>
      </c>
      <c r="D330" s="2" t="s">
        <v>1146</v>
      </c>
      <c r="E330" s="2" t="s">
        <v>1177</v>
      </c>
      <c r="F330" s="2"/>
      <c r="G330" s="2" t="s">
        <v>9</v>
      </c>
      <c r="H330" s="2"/>
      <c r="I330" s="2" t="s">
        <v>9</v>
      </c>
      <c r="K330" t="e">
        <v>#N/A</v>
      </c>
      <c r="L330" s="2" t="s">
        <v>8476</v>
      </c>
      <c r="M330" t="s">
        <v>8014</v>
      </c>
      <c r="N330" s="4"/>
    </row>
    <row r="331" spans="1:14" ht="39" x14ac:dyDescent="0.3">
      <c r="A331" s="1" t="str">
        <f>HYPERLINK("https://ipmanager.doe.gov/IPManager//ExternalLink.aspx?6ibkph2k9yi6F%2B0Vz7YoTjN2oADz%2F5MxGS0268sTdOA%3D","Link")</f>
        <v>Link</v>
      </c>
      <c r="B331" s="2" t="s">
        <v>1178</v>
      </c>
      <c r="C331" s="2" t="s">
        <v>1145</v>
      </c>
      <c r="D331" s="2" t="s">
        <v>1146</v>
      </c>
      <c r="E331" s="2" t="s">
        <v>1179</v>
      </c>
      <c r="F331" s="2"/>
      <c r="G331" s="2" t="s">
        <v>9</v>
      </c>
      <c r="H331" s="2"/>
      <c r="I331" s="2" t="s">
        <v>9</v>
      </c>
      <c r="K331" t="e">
        <v>#N/A</v>
      </c>
      <c r="L331" s="2" t="s">
        <v>8476</v>
      </c>
      <c r="M331" t="s">
        <v>8014</v>
      </c>
      <c r="N331" s="4"/>
    </row>
    <row r="332" spans="1:14" ht="130" x14ac:dyDescent="0.3">
      <c r="A332" s="1" t="str">
        <f>HYPERLINK("https://ipmanager.doe.gov/IPManager//ExternalLink.aspx?6ibkph2k9yi6F%2B0Vz7YoTjnDGhmGHGI7w9O8P1LMZC8%3D","Link")</f>
        <v>Link</v>
      </c>
      <c r="B332" s="2" t="s">
        <v>16</v>
      </c>
      <c r="C332" s="2" t="s">
        <v>1180</v>
      </c>
      <c r="D332" s="2" t="s">
        <v>1181</v>
      </c>
      <c r="E332" s="2" t="s">
        <v>1182</v>
      </c>
      <c r="F332" s="2" t="s">
        <v>1183</v>
      </c>
      <c r="G332" s="2" t="s">
        <v>1184</v>
      </c>
      <c r="H332" s="2">
        <v>8328911</v>
      </c>
      <c r="I332" s="2" t="s">
        <v>1185</v>
      </c>
      <c r="J332" t="s">
        <v>7445</v>
      </c>
      <c r="K332" t="s">
        <v>7792</v>
      </c>
      <c r="L332" s="2" t="s">
        <v>8477</v>
      </c>
      <c r="M332" t="s">
        <v>8015</v>
      </c>
    </row>
    <row r="333" spans="1:14" ht="52" x14ac:dyDescent="0.3">
      <c r="A333" s="1" t="str">
        <f>HYPERLINK("https://ipmanager.doe.gov/IPManager//ExternalLink.aspx?6ibkph2k9yi6F%2B0Vz7YoTipZ798QK%2BbPWGj%2Fdpcq6%2Fo%3D","Link")</f>
        <v>Link</v>
      </c>
      <c r="B333" s="2" t="s">
        <v>1191</v>
      </c>
      <c r="C333" s="2" t="s">
        <v>1187</v>
      </c>
      <c r="D333" s="2" t="s">
        <v>1188</v>
      </c>
      <c r="E333" s="2" t="s">
        <v>1192</v>
      </c>
      <c r="F333" s="2" t="s">
        <v>1193</v>
      </c>
      <c r="G333" s="2" t="s">
        <v>113</v>
      </c>
      <c r="H333" s="2">
        <v>9409116</v>
      </c>
      <c r="I333" s="2" t="s">
        <v>1194</v>
      </c>
      <c r="J333" t="s">
        <v>7446</v>
      </c>
      <c r="K333" t="s">
        <v>7793</v>
      </c>
      <c r="L333" s="2" t="s">
        <v>8478</v>
      </c>
      <c r="M333" t="s">
        <v>8016</v>
      </c>
    </row>
    <row r="334" spans="1:14" ht="52" x14ac:dyDescent="0.3">
      <c r="A334" s="1" t="str">
        <f>HYPERLINK("https://ipmanager.doe.gov/IPManager//ExternalLink.aspx?6ibkph2k9yi6F%2B0Vz7YoTipZ798QK%2BbPIKzBSOqKwn0%3D","Link")</f>
        <v>Link</v>
      </c>
      <c r="B334" s="2" t="s">
        <v>1198</v>
      </c>
      <c r="C334" s="2" t="s">
        <v>1187</v>
      </c>
      <c r="D334" s="2" t="s">
        <v>1188</v>
      </c>
      <c r="E334" s="2" t="s">
        <v>1199</v>
      </c>
      <c r="F334" s="2" t="s">
        <v>1200</v>
      </c>
      <c r="G334" s="2" t="s">
        <v>1008</v>
      </c>
      <c r="H334" s="2">
        <v>9421514</v>
      </c>
      <c r="I334" s="2" t="s">
        <v>36</v>
      </c>
      <c r="J334" t="s">
        <v>7447</v>
      </c>
      <c r="K334" t="s">
        <v>7794</v>
      </c>
      <c r="L334" s="2" t="s">
        <v>8478</v>
      </c>
      <c r="M334" t="s">
        <v>8016</v>
      </c>
    </row>
    <row r="335" spans="1:14" ht="39" x14ac:dyDescent="0.3">
      <c r="A335" s="1" t="str">
        <f>HYPERLINK("https://ipmanager.doe.gov/IPManager//ExternalLink.aspx?6ibkph2k9yi6F%2B0Vz7YoTo7DPLa3%2F%2FGgrGoHdSA2phs%3D","Link")</f>
        <v>Link</v>
      </c>
      <c r="B335" s="2" t="s">
        <v>1214</v>
      </c>
      <c r="C335" s="2" t="s">
        <v>1187</v>
      </c>
      <c r="D335" s="2" t="s">
        <v>1188</v>
      </c>
      <c r="E335" s="2" t="s">
        <v>1215</v>
      </c>
      <c r="F335" s="2" t="s">
        <v>1216</v>
      </c>
      <c r="G335" s="2" t="s">
        <v>1217</v>
      </c>
      <c r="H335" s="2">
        <v>9102691</v>
      </c>
      <c r="I335" s="2" t="s">
        <v>1218</v>
      </c>
      <c r="J335" t="s">
        <v>7448</v>
      </c>
      <c r="K335" t="s">
        <v>7592</v>
      </c>
      <c r="L335" s="2" t="s">
        <v>8478</v>
      </c>
      <c r="M335" t="s">
        <v>8016</v>
      </c>
    </row>
    <row r="336" spans="1:14" ht="39" x14ac:dyDescent="0.3">
      <c r="A336" s="1" t="str">
        <f>HYPERLINK("https://ipmanager.doe.gov/IPManager//ExternalLink.aspx?6ibkph2k9yi6F%2B0Vz7YoTjnDGhmGHGI738EJ0jomcA8%3D","Link")</f>
        <v>Link</v>
      </c>
      <c r="B336" s="2" t="s">
        <v>1186</v>
      </c>
      <c r="C336" s="2" t="s">
        <v>1187</v>
      </c>
      <c r="D336" s="2" t="s">
        <v>1188</v>
      </c>
      <c r="E336" s="2" t="s">
        <v>1189</v>
      </c>
      <c r="F336" s="2" t="s">
        <v>1190</v>
      </c>
      <c r="G336" s="2" t="s">
        <v>113</v>
      </c>
      <c r="H336" s="7"/>
      <c r="I336" s="2" t="s">
        <v>9</v>
      </c>
      <c r="J336" t="s">
        <v>1190</v>
      </c>
      <c r="K336" t="s">
        <v>7740</v>
      </c>
      <c r="L336" s="2" t="s">
        <v>8478</v>
      </c>
      <c r="M336" t="s">
        <v>8016</v>
      </c>
      <c r="N336" s="4"/>
    </row>
    <row r="337" spans="1:14" ht="65" x14ac:dyDescent="0.3">
      <c r="A337" s="1" t="str">
        <f>HYPERLINK("https://ipmanager.doe.gov/IPManager//ExternalLink.aspx?6ibkph2k9yi6F%2B0Vz7YoTipZ798QK%2BbPJxYn%2FCJoVYA%3D","Link")</f>
        <v>Link</v>
      </c>
      <c r="B337" s="2" t="s">
        <v>1195</v>
      </c>
      <c r="C337" s="2" t="s">
        <v>1187</v>
      </c>
      <c r="D337" s="2" t="s">
        <v>1188</v>
      </c>
      <c r="E337" s="2" t="s">
        <v>1196</v>
      </c>
      <c r="F337" s="2" t="s">
        <v>1197</v>
      </c>
      <c r="G337" s="2" t="s">
        <v>541</v>
      </c>
      <c r="H337" s="7"/>
      <c r="I337" s="2" t="s">
        <v>9</v>
      </c>
      <c r="K337" t="e">
        <v>#N/A</v>
      </c>
      <c r="L337" s="2" t="s">
        <v>8478</v>
      </c>
      <c r="M337" t="s">
        <v>8016</v>
      </c>
      <c r="N337" s="4"/>
    </row>
    <row r="338" spans="1:14" ht="65" x14ac:dyDescent="0.3">
      <c r="A338" s="1" t="str">
        <f>HYPERLINK("https://ipmanager.doe.gov/IPManager//ExternalLink.aspx?6ibkph2k9yi6F%2B0Vz7YoTvPUg%2FVZPl3iTYUfqxm13Oo%3D","Link")</f>
        <v>Link</v>
      </c>
      <c r="B338" s="2" t="s">
        <v>1202</v>
      </c>
      <c r="C338" s="2" t="s">
        <v>1187</v>
      </c>
      <c r="D338" s="2" t="s">
        <v>1188</v>
      </c>
      <c r="E338" s="2" t="s">
        <v>1196</v>
      </c>
      <c r="F338" s="2" t="s">
        <v>1203</v>
      </c>
      <c r="G338" s="2" t="s">
        <v>357</v>
      </c>
      <c r="H338" s="7"/>
      <c r="I338" s="2" t="s">
        <v>9</v>
      </c>
      <c r="J338" t="s">
        <v>1203</v>
      </c>
      <c r="K338" t="s">
        <v>7741</v>
      </c>
      <c r="L338" s="2" t="s">
        <v>8478</v>
      </c>
      <c r="M338" t="s">
        <v>8016</v>
      </c>
      <c r="N338" s="4"/>
    </row>
    <row r="339" spans="1:14" ht="52" x14ac:dyDescent="0.3">
      <c r="A339" s="1" t="str">
        <f>HYPERLINK("https://ipmanager.doe.gov/IPManager//ExternalLink.aspx?6ibkph2k9yi6F%2B0Vz7YoTvPUg%2FVZPl3irvkbs1uIGAM%3D","Link")</f>
        <v>Link</v>
      </c>
      <c r="B339" s="2" t="s">
        <v>1204</v>
      </c>
      <c r="C339" s="2" t="s">
        <v>1187</v>
      </c>
      <c r="D339" s="2" t="s">
        <v>1188</v>
      </c>
      <c r="E339" s="2" t="s">
        <v>1199</v>
      </c>
      <c r="F339" s="2" t="s">
        <v>1205</v>
      </c>
      <c r="G339" s="2" t="s">
        <v>1008</v>
      </c>
      <c r="H339" s="7"/>
      <c r="I339" s="2"/>
      <c r="J339" t="s">
        <v>1205</v>
      </c>
      <c r="K339" t="s">
        <v>7742</v>
      </c>
      <c r="L339" s="2" t="s">
        <v>8478</v>
      </c>
      <c r="M339" t="s">
        <v>8016</v>
      </c>
      <c r="N339" s="4"/>
    </row>
    <row r="340" spans="1:14" ht="39" x14ac:dyDescent="0.3">
      <c r="A340" s="1" t="str">
        <f>HYPERLINK("https://ipmanager.doe.gov/IPManager//ExternalLink.aspx?6ibkph2k9yi6F%2B0Vz7YoTipZ798QK%2BbP99%2Fw7HtsnVY%3D","Link")</f>
        <v>Link</v>
      </c>
      <c r="B340" s="2" t="s">
        <v>1206</v>
      </c>
      <c r="C340" s="2" t="s">
        <v>1187</v>
      </c>
      <c r="D340" s="2" t="s">
        <v>1188</v>
      </c>
      <c r="E340" s="2" t="s">
        <v>1207</v>
      </c>
      <c r="F340" s="2" t="s">
        <v>1208</v>
      </c>
      <c r="G340" s="2" t="s">
        <v>1209</v>
      </c>
      <c r="H340" s="7"/>
      <c r="I340" s="2" t="s">
        <v>9</v>
      </c>
      <c r="K340" t="e">
        <v>#N/A</v>
      </c>
      <c r="L340" s="2" t="s">
        <v>8478</v>
      </c>
      <c r="M340" t="s">
        <v>8016</v>
      </c>
      <c r="N340" s="4"/>
    </row>
    <row r="341" spans="1:14" ht="39" x14ac:dyDescent="0.3">
      <c r="A341" s="1" t="str">
        <f>HYPERLINK("https://ipmanager.doe.gov/IPManager//ExternalLink.aspx?6ibkph2k9yi6F%2B0Vz7YoTipZ798QK%2BbPkCuX%2B7ZbaWA%3D","Link")</f>
        <v>Link</v>
      </c>
      <c r="B341" s="2" t="s">
        <v>1210</v>
      </c>
      <c r="C341" s="2" t="s">
        <v>1187</v>
      </c>
      <c r="D341" s="2" t="s">
        <v>1188</v>
      </c>
      <c r="E341" s="2" t="s">
        <v>1211</v>
      </c>
      <c r="F341" s="2" t="s">
        <v>1212</v>
      </c>
      <c r="G341" s="2" t="s">
        <v>1213</v>
      </c>
      <c r="H341" s="7"/>
      <c r="I341" s="2" t="s">
        <v>9</v>
      </c>
      <c r="K341" t="e">
        <v>#N/A</v>
      </c>
      <c r="L341" s="2" t="s">
        <v>8478</v>
      </c>
      <c r="M341" t="s">
        <v>8016</v>
      </c>
      <c r="N341" s="4"/>
    </row>
    <row r="342" spans="1:14" ht="26" x14ac:dyDescent="0.3">
      <c r="A342" s="1" t="str">
        <f>HYPERLINK("https://ipmanager.doe.gov/IPManager//ExternalLink.aspx?6ibkph2k9yi6F%2B0Vz7YoTlNm8snv%2FZpH3qVUsD0VevU%3D","Link")</f>
        <v>Link</v>
      </c>
      <c r="B342" s="2" t="s">
        <v>1219</v>
      </c>
      <c r="C342" s="2" t="s">
        <v>1220</v>
      </c>
      <c r="D342" s="2" t="s">
        <v>1221</v>
      </c>
      <c r="E342" s="2" t="s">
        <v>1222</v>
      </c>
      <c r="F342" s="2" t="s">
        <v>1223</v>
      </c>
      <c r="G342" s="2" t="s">
        <v>559</v>
      </c>
      <c r="H342" s="2">
        <v>9283502</v>
      </c>
      <c r="I342" s="2" t="s">
        <v>689</v>
      </c>
      <c r="J342" t="s">
        <v>7449</v>
      </c>
      <c r="K342" t="s">
        <v>7795</v>
      </c>
      <c r="L342" s="2" t="s">
        <v>8479</v>
      </c>
      <c r="M342" t="s">
        <v>8017</v>
      </c>
    </row>
    <row r="343" spans="1:14" ht="39" x14ac:dyDescent="0.3">
      <c r="A343" s="1" t="str">
        <f>HYPERLINK("https://ipmanager.doe.gov/IPManager//ExternalLink.aspx?6ibkph2k9yi6F%2B0Vz7YoTlNm8snv%2FZpHjz9p440F9Ro%3D","Link")</f>
        <v>Link</v>
      </c>
      <c r="B343" s="2" t="s">
        <v>1224</v>
      </c>
      <c r="C343" s="2" t="s">
        <v>1225</v>
      </c>
      <c r="D343" s="2" t="s">
        <v>452</v>
      </c>
      <c r="E343" s="2" t="s">
        <v>1226</v>
      </c>
      <c r="F343" s="2"/>
      <c r="G343" s="2" t="s">
        <v>9</v>
      </c>
      <c r="H343" s="2"/>
      <c r="I343" s="2" t="s">
        <v>9</v>
      </c>
      <c r="K343" t="e">
        <v>#N/A</v>
      </c>
      <c r="L343" s="2" t="s">
        <v>8480</v>
      </c>
      <c r="M343" t="s">
        <v>8018</v>
      </c>
      <c r="N343" s="4"/>
    </row>
    <row r="344" spans="1:14" ht="52" x14ac:dyDescent="0.3">
      <c r="A344" s="1" t="str">
        <f>HYPERLINK("https://ipmanager.doe.gov/IPManager//ExternalLink.aspx?6ibkph2k9yi6F%2B0Vz7YoTlNm8snv%2FZpH%2F4C94Yyii2A%3D","Link")</f>
        <v>Link</v>
      </c>
      <c r="B344" s="2" t="s">
        <v>1228</v>
      </c>
      <c r="C344" s="2" t="s">
        <v>1225</v>
      </c>
      <c r="D344" s="2" t="s">
        <v>452</v>
      </c>
      <c r="E344" s="2" t="s">
        <v>1229</v>
      </c>
      <c r="F344" s="2"/>
      <c r="G344" s="2" t="s">
        <v>9</v>
      </c>
      <c r="H344" s="2"/>
      <c r="I344" s="2" t="s">
        <v>9</v>
      </c>
      <c r="K344" t="e">
        <v>#N/A</v>
      </c>
      <c r="L344" s="2" t="s">
        <v>8480</v>
      </c>
      <c r="M344" t="s">
        <v>8018</v>
      </c>
      <c r="N344" s="4"/>
    </row>
    <row r="345" spans="1:14" ht="52" x14ac:dyDescent="0.3">
      <c r="A345" s="1" t="str">
        <f>HYPERLINK("https://ipmanager.doe.gov/IPManager//ExternalLink.aspx?6ibkph2k9yi6F%2B0Vz7YoTk2BI6w%2FjZ2fxeiKujQGW6c%3D","Link")</f>
        <v>Link</v>
      </c>
      <c r="B345" s="2" t="s">
        <v>1230</v>
      </c>
      <c r="C345" s="2" t="s">
        <v>1225</v>
      </c>
      <c r="D345" s="2" t="s">
        <v>452</v>
      </c>
      <c r="E345" s="2" t="s">
        <v>1231</v>
      </c>
      <c r="F345" s="2"/>
      <c r="G345" s="2" t="s">
        <v>9</v>
      </c>
      <c r="H345" s="2"/>
      <c r="I345" s="2" t="s">
        <v>9</v>
      </c>
      <c r="K345" t="e">
        <v>#N/A</v>
      </c>
      <c r="L345" s="2" t="s">
        <v>8480</v>
      </c>
      <c r="M345" t="s">
        <v>8018</v>
      </c>
      <c r="N345" s="4"/>
    </row>
    <row r="346" spans="1:14" ht="52" x14ac:dyDescent="0.3">
      <c r="A346" s="1" t="str">
        <f>HYPERLINK("https://ipmanager.doe.gov/IPManager//ExternalLink.aspx?6ibkph2k9yi6F%2B0Vz7YoTipZ798QK%2BbP47GONJlf96A%3D","Link")</f>
        <v>Link</v>
      </c>
      <c r="B346" s="2" t="s">
        <v>1232</v>
      </c>
      <c r="C346" s="2" t="s">
        <v>1225</v>
      </c>
      <c r="D346" s="2" t="s">
        <v>452</v>
      </c>
      <c r="E346" s="2" t="s">
        <v>1233</v>
      </c>
      <c r="F346" s="2"/>
      <c r="G346" s="2" t="s">
        <v>9</v>
      </c>
      <c r="H346" s="2"/>
      <c r="I346" s="2" t="s">
        <v>9</v>
      </c>
      <c r="K346" t="e">
        <v>#N/A</v>
      </c>
      <c r="L346" s="2" t="s">
        <v>8480</v>
      </c>
      <c r="M346" t="s">
        <v>8018</v>
      </c>
      <c r="N346" s="4"/>
    </row>
    <row r="347" spans="1:14" ht="39" x14ac:dyDescent="0.3">
      <c r="A347" s="1" t="str">
        <f>HYPERLINK("https://ipmanager.doe.gov/IPManager//ExternalLink.aspx?6ibkph2k9yi6F%2B0Vz7YoTipZ798QK%2BbPJDOL0kEIBPw%3D","Link")</f>
        <v>Link</v>
      </c>
      <c r="B347" s="2" t="s">
        <v>1234</v>
      </c>
      <c r="C347" s="2" t="s">
        <v>1225</v>
      </c>
      <c r="D347" s="2" t="s">
        <v>452</v>
      </c>
      <c r="E347" s="2" t="s">
        <v>1235</v>
      </c>
      <c r="F347" s="2"/>
      <c r="G347" s="2" t="s">
        <v>9</v>
      </c>
      <c r="H347" s="2"/>
      <c r="I347" s="2" t="s">
        <v>9</v>
      </c>
      <c r="K347" t="e">
        <v>#N/A</v>
      </c>
      <c r="L347" s="2" t="s">
        <v>8480</v>
      </c>
      <c r="M347" t="s">
        <v>8018</v>
      </c>
      <c r="N347" s="4"/>
    </row>
    <row r="348" spans="1:14" ht="39" x14ac:dyDescent="0.3">
      <c r="A348" s="1" t="str">
        <f>HYPERLINK("https://ipmanager.doe.gov/IPManager//ExternalLink.aspx?6ibkph2k9yi6F%2B0Vz7YoTlNm8snv%2FZpH4xFe2U0hVVM%3D","Link")</f>
        <v>Link</v>
      </c>
      <c r="B348" s="2" t="s">
        <v>1236</v>
      </c>
      <c r="C348" s="2" t="s">
        <v>1225</v>
      </c>
      <c r="D348" s="2" t="s">
        <v>452</v>
      </c>
      <c r="E348" s="2" t="s">
        <v>1237</v>
      </c>
      <c r="F348" s="2" t="s">
        <v>1238</v>
      </c>
      <c r="G348" s="2" t="s">
        <v>405</v>
      </c>
      <c r="H348" s="7"/>
      <c r="I348" s="2" t="s">
        <v>9</v>
      </c>
      <c r="K348" t="e">
        <v>#N/A</v>
      </c>
      <c r="L348" s="2" t="s">
        <v>8480</v>
      </c>
      <c r="M348" t="s">
        <v>8018</v>
      </c>
      <c r="N348" s="4"/>
    </row>
    <row r="349" spans="1:14" ht="52" x14ac:dyDescent="0.3">
      <c r="A349" s="1" t="str">
        <f>HYPERLINK("https://ipmanager.doe.gov/IPManager//ExternalLink.aspx?6ibkph2k9yi6F%2B0Vz7YoTlNm8snv%2FZpH6atZj%2BU%2Foks%3D","Link")</f>
        <v>Link</v>
      </c>
      <c r="B349" s="2" t="s">
        <v>1240</v>
      </c>
      <c r="C349" s="2" t="s">
        <v>1225</v>
      </c>
      <c r="D349" s="2" t="s">
        <v>452</v>
      </c>
      <c r="E349" s="2" t="s">
        <v>1241</v>
      </c>
      <c r="F349" s="2" t="s">
        <v>1242</v>
      </c>
      <c r="G349" s="2" t="s">
        <v>1243</v>
      </c>
      <c r="H349" s="7"/>
      <c r="I349" s="2" t="s">
        <v>9</v>
      </c>
      <c r="K349" t="e">
        <v>#N/A</v>
      </c>
      <c r="L349" s="2" t="s">
        <v>8480</v>
      </c>
      <c r="M349" t="s">
        <v>8018</v>
      </c>
      <c r="N349" s="4"/>
    </row>
    <row r="350" spans="1:14" ht="52" x14ac:dyDescent="0.3">
      <c r="A350" s="1" t="str">
        <f>HYPERLINK("https://ipmanager.doe.gov/IPManager//ExternalLink.aspx?6ibkph2k9yi6F%2B0Vz7YoTk2BI6w%2FjZ2f0x39Xeemdhc%3D","Link")</f>
        <v>Link</v>
      </c>
      <c r="B350" s="2" t="s">
        <v>1244</v>
      </c>
      <c r="C350" s="2" t="s">
        <v>1245</v>
      </c>
      <c r="D350" s="2" t="s">
        <v>1246</v>
      </c>
      <c r="E350" s="2" t="s">
        <v>1247</v>
      </c>
      <c r="F350" s="2"/>
      <c r="G350" s="2" t="s">
        <v>9</v>
      </c>
      <c r="H350" s="2"/>
      <c r="I350" s="2" t="s">
        <v>9</v>
      </c>
      <c r="K350" t="e">
        <v>#N/A</v>
      </c>
      <c r="L350" s="2" t="s">
        <v>8481</v>
      </c>
      <c r="M350" t="s">
        <v>8019</v>
      </c>
      <c r="N350" s="4"/>
    </row>
    <row r="351" spans="1:14" ht="39" x14ac:dyDescent="0.3">
      <c r="A351" s="1" t="str">
        <f>HYPERLINK("https://ipmanager.doe.gov/IPManager//ExternalLink.aspx?6ibkph2k9yi6F%2B0Vz7YoTipZ798QK%2BbP%2BbDdKW11%2B24%3D","Link")</f>
        <v>Link</v>
      </c>
      <c r="B351" s="2" t="s">
        <v>1248</v>
      </c>
      <c r="C351" s="2" t="s">
        <v>1245</v>
      </c>
      <c r="D351" s="2" t="s">
        <v>154</v>
      </c>
      <c r="E351" s="2" t="s">
        <v>783</v>
      </c>
      <c r="F351" s="2" t="s">
        <v>1260</v>
      </c>
      <c r="G351" s="2" t="s">
        <v>1249</v>
      </c>
      <c r="H351" s="8">
        <v>9587256</v>
      </c>
      <c r="I351" s="2" t="s">
        <v>270</v>
      </c>
      <c r="J351" t="s">
        <v>7459</v>
      </c>
      <c r="K351" t="s">
        <v>7796</v>
      </c>
      <c r="L351" s="2" t="s">
        <v>8481</v>
      </c>
      <c r="M351" t="s">
        <v>8019</v>
      </c>
    </row>
    <row r="352" spans="1:14" ht="65" x14ac:dyDescent="0.3">
      <c r="A352" s="1" t="str">
        <f>HYPERLINK("https://ipmanager.doe.gov/IPManager//ExternalLink.aspx?6ibkph2k9yi6F%2B0Vz7YoTr7J5I%2BY4foY4hjhkQEafAg%3D","Link")</f>
        <v>Link</v>
      </c>
      <c r="B352" s="2" t="s">
        <v>1257</v>
      </c>
      <c r="C352" s="2" t="s">
        <v>1245</v>
      </c>
      <c r="D352" s="2" t="s">
        <v>1246</v>
      </c>
      <c r="E352" s="2" t="s">
        <v>1258</v>
      </c>
      <c r="F352" s="2"/>
      <c r="G352" s="2" t="s">
        <v>9</v>
      </c>
      <c r="H352" s="7"/>
      <c r="I352" s="2" t="s">
        <v>9</v>
      </c>
      <c r="K352" t="e">
        <v>#N/A</v>
      </c>
      <c r="L352" s="2" t="s">
        <v>8481</v>
      </c>
      <c r="M352" t="s">
        <v>8019</v>
      </c>
      <c r="N352" s="4"/>
    </row>
    <row r="353" spans="1:14" ht="39" x14ac:dyDescent="0.3">
      <c r="A353" s="1" t="str">
        <f>HYPERLINK("https://ipmanager.doe.gov/IPManager//ExternalLink.aspx?6ibkph2k9yi6F%2B0Vz7YoTvPUg%2FVZPl3iqr%2F610kDyCg%3D","Link")</f>
        <v>Link</v>
      </c>
      <c r="B353" s="2" t="s">
        <v>1259</v>
      </c>
      <c r="C353" s="2" t="s">
        <v>1245</v>
      </c>
      <c r="D353" s="2" t="s">
        <v>1251</v>
      </c>
      <c r="E353" s="2" t="s">
        <v>783</v>
      </c>
      <c r="F353" s="2" t="s">
        <v>1260</v>
      </c>
      <c r="G353" s="2" t="s">
        <v>1261</v>
      </c>
      <c r="H353" s="7"/>
      <c r="I353" s="2" t="s">
        <v>9</v>
      </c>
      <c r="J353" t="s">
        <v>7459</v>
      </c>
      <c r="K353" t="s">
        <v>7796</v>
      </c>
      <c r="L353" s="2" t="s">
        <v>8481</v>
      </c>
      <c r="M353" t="s">
        <v>8019</v>
      </c>
      <c r="N353" s="4"/>
    </row>
    <row r="354" spans="1:14" ht="39" x14ac:dyDescent="0.3">
      <c r="A354" s="1" t="str">
        <f>HYPERLINK("https://ipmanager.doe.gov/IPManager//ExternalLink.aspx?6ibkph2k9yi6F%2B0Vz7YoTo7DPLa3%2F%2FGgB8yfGrMlNw0%3D","Link")</f>
        <v>Link</v>
      </c>
      <c r="B354" s="2" t="s">
        <v>1254</v>
      </c>
      <c r="C354" s="2" t="s">
        <v>1245</v>
      </c>
      <c r="D354" s="2" t="s">
        <v>1246</v>
      </c>
      <c r="E354" s="2" t="s">
        <v>1255</v>
      </c>
      <c r="F354" s="2" t="s">
        <v>7639</v>
      </c>
      <c r="G354" s="2" t="s">
        <v>390</v>
      </c>
      <c r="H354" s="7"/>
      <c r="I354" s="2" t="s">
        <v>9</v>
      </c>
      <c r="K354" t="e">
        <v>#N/A</v>
      </c>
      <c r="L354" s="2" t="s">
        <v>8481</v>
      </c>
      <c r="M354" t="s">
        <v>8019</v>
      </c>
      <c r="N354" s="4"/>
    </row>
    <row r="355" spans="1:14" ht="65" x14ac:dyDescent="0.3">
      <c r="A355" s="1" t="str">
        <f>HYPERLINK("https://ipmanager.doe.gov/IPManager//ExternalLink.aspx?6ibkph2k9yi6F%2B0Vz7YoTipZ798QK%2BbPGaKsoZgq9nY%3D","Link")</f>
        <v>Link</v>
      </c>
      <c r="B355" s="2" t="s">
        <v>1250</v>
      </c>
      <c r="C355" s="2" t="s">
        <v>1245</v>
      </c>
      <c r="D355" s="2" t="s">
        <v>1251</v>
      </c>
      <c r="E355" s="2" t="s">
        <v>1252</v>
      </c>
      <c r="F355" s="2" t="s">
        <v>7660</v>
      </c>
      <c r="G355" s="2" t="s">
        <v>1253</v>
      </c>
      <c r="H355" s="7"/>
      <c r="I355" s="2" t="s">
        <v>9</v>
      </c>
      <c r="K355" t="e">
        <v>#N/A</v>
      </c>
      <c r="L355" s="2" t="s">
        <v>8481</v>
      </c>
      <c r="M355" t="s">
        <v>8019</v>
      </c>
      <c r="N355" s="4"/>
    </row>
    <row r="356" spans="1:14" ht="39" x14ac:dyDescent="0.3">
      <c r="A356" s="1" t="str">
        <f>HYPERLINK("https://ipmanager.doe.gov/IPManager//ExternalLink.aspx?6ibkph2k9yi6F%2B0Vz7YoTvPUg%2FVZPl3iYKt2Y2vL3j8%3D","Link")</f>
        <v>Link</v>
      </c>
      <c r="B356" s="2" t="s">
        <v>1272</v>
      </c>
      <c r="C356" s="2" t="s">
        <v>1273</v>
      </c>
      <c r="D356" s="2" t="s">
        <v>770</v>
      </c>
      <c r="E356" s="2" t="s">
        <v>1274</v>
      </c>
      <c r="F356" s="2" t="s">
        <v>1275</v>
      </c>
      <c r="G356" s="2" t="s">
        <v>1276</v>
      </c>
      <c r="H356" s="7">
        <v>9567678</v>
      </c>
      <c r="I356" s="2" t="s">
        <v>9</v>
      </c>
      <c r="J356" t="s">
        <v>7450</v>
      </c>
      <c r="K356" t="s">
        <v>7667</v>
      </c>
      <c r="L356" s="2" t="s">
        <v>8482</v>
      </c>
      <c r="M356" t="s">
        <v>8020</v>
      </c>
    </row>
    <row r="357" spans="1:14" ht="39" x14ac:dyDescent="0.3">
      <c r="A357" s="1" t="str">
        <f>HYPERLINK("https://ipmanager.doe.gov/IPManager//ExternalLink.aspx?6ibkph2k9yi6F%2B0Vz7YoTp68px7nSN2g%2FQWvZPoiWfw%3D","Link")</f>
        <v>Link</v>
      </c>
      <c r="B357" s="2" t="s">
        <v>1277</v>
      </c>
      <c r="C357" s="2" t="s">
        <v>1273</v>
      </c>
      <c r="D357" s="2" t="s">
        <v>770</v>
      </c>
      <c r="E357" s="2" t="s">
        <v>1278</v>
      </c>
      <c r="F357" s="2" t="s">
        <v>1279</v>
      </c>
      <c r="G357" s="2" t="s">
        <v>146</v>
      </c>
      <c r="H357" s="7">
        <v>9302219</v>
      </c>
      <c r="I357" s="2" t="s">
        <v>160</v>
      </c>
      <c r="J357" t="s">
        <v>7451</v>
      </c>
      <c r="K357" t="s">
        <v>7797</v>
      </c>
      <c r="L357" s="2" t="s">
        <v>8482</v>
      </c>
      <c r="M357" t="s">
        <v>8020</v>
      </c>
    </row>
    <row r="358" spans="1:14" ht="39" x14ac:dyDescent="0.3">
      <c r="A358" s="1" t="str">
        <f>HYPERLINK("https://ipmanager.doe.gov/IPManager//ExternalLink.aspx?6ibkph2k9yi6F%2B0Vz7YoTr7J5I%2BY4foY3%2B4%2B0DAJnyc%3D","Link")</f>
        <v>Link</v>
      </c>
      <c r="B358" s="2" t="s">
        <v>1280</v>
      </c>
      <c r="C358" s="2" t="s">
        <v>1273</v>
      </c>
      <c r="D358" s="2" t="s">
        <v>770</v>
      </c>
      <c r="E358" s="2" t="s">
        <v>1278</v>
      </c>
      <c r="F358" s="2" t="s">
        <v>1281</v>
      </c>
      <c r="G358" s="2" t="s">
        <v>1282</v>
      </c>
      <c r="H358" s="7"/>
      <c r="I358" s="2" t="s">
        <v>9</v>
      </c>
      <c r="K358" t="e">
        <v>#N/A</v>
      </c>
      <c r="L358" s="2" t="s">
        <v>8482</v>
      </c>
      <c r="M358" t="s">
        <v>8020</v>
      </c>
      <c r="N358" s="4"/>
    </row>
    <row r="359" spans="1:14" ht="65" x14ac:dyDescent="0.3">
      <c r="A359" s="1" t="str">
        <f>HYPERLINK("https://ipmanager.doe.gov/IPManager//ExternalLink.aspx?6ibkph2k9yi6F%2B0Vz7YoTq6RR9BlGHHiJCGXTrvVuLA%3D","Link")</f>
        <v>Link</v>
      </c>
      <c r="B359" s="2" t="s">
        <v>1290</v>
      </c>
      <c r="C359" s="2" t="s">
        <v>1284</v>
      </c>
      <c r="D359" s="2" t="s">
        <v>1285</v>
      </c>
      <c r="E359" s="2" t="s">
        <v>1291</v>
      </c>
      <c r="F359" s="2"/>
      <c r="G359" s="2" t="s">
        <v>9</v>
      </c>
      <c r="H359" s="7"/>
      <c r="I359" s="2" t="s">
        <v>9</v>
      </c>
      <c r="K359" t="e">
        <v>#N/A</v>
      </c>
      <c r="L359" s="2" t="s">
        <v>8483</v>
      </c>
      <c r="M359" t="s">
        <v>8021</v>
      </c>
      <c r="N359" s="4"/>
    </row>
    <row r="360" spans="1:14" ht="39" x14ac:dyDescent="0.3">
      <c r="A360" s="1" t="str">
        <f>HYPERLINK("https://ipmanager.doe.gov/IPManager//ExternalLink.aspx?6ibkph2k9yi6F%2B0Vz7YoTipZ798QK%2BbPGGsmqA6wXh4%3D","Link")</f>
        <v>Link</v>
      </c>
      <c r="B360" s="2" t="s">
        <v>1292</v>
      </c>
      <c r="C360" s="2" t="s">
        <v>1284</v>
      </c>
      <c r="D360" s="2" t="s">
        <v>1285</v>
      </c>
      <c r="E360" s="2" t="s">
        <v>1293</v>
      </c>
      <c r="F360" s="2"/>
      <c r="G360" s="2" t="s">
        <v>9</v>
      </c>
      <c r="H360" s="7"/>
      <c r="I360" s="2" t="s">
        <v>9</v>
      </c>
      <c r="K360" t="e">
        <v>#N/A</v>
      </c>
      <c r="L360" s="2" t="s">
        <v>8483</v>
      </c>
      <c r="M360" t="s">
        <v>8021</v>
      </c>
      <c r="N360" s="4"/>
    </row>
    <row r="361" spans="1:14" ht="39" x14ac:dyDescent="0.3">
      <c r="A361" s="1" t="str">
        <f>HYPERLINK("https://ipmanager.doe.gov/IPManager//ExternalLink.aspx?6ibkph2k9yi6F%2B0Vz7YoTipZ798QK%2BbP1dXzuy051%2FE%3D","Link")</f>
        <v>Link</v>
      </c>
      <c r="B361" s="2" t="s">
        <v>1294</v>
      </c>
      <c r="C361" s="2" t="s">
        <v>1284</v>
      </c>
      <c r="D361" s="2" t="s">
        <v>1285</v>
      </c>
      <c r="E361" s="2" t="s">
        <v>1295</v>
      </c>
      <c r="F361" s="2" t="s">
        <v>1296</v>
      </c>
      <c r="G361" s="2" t="s">
        <v>1297</v>
      </c>
      <c r="H361" s="7"/>
      <c r="I361" s="2" t="s">
        <v>9</v>
      </c>
      <c r="J361" t="s">
        <v>7527</v>
      </c>
      <c r="K361" t="s">
        <v>7798</v>
      </c>
      <c r="L361" s="2" t="s">
        <v>8483</v>
      </c>
      <c r="M361" t="s">
        <v>8021</v>
      </c>
      <c r="N361" s="4"/>
    </row>
    <row r="362" spans="1:14" ht="26" x14ac:dyDescent="0.3">
      <c r="A362" s="1" t="str">
        <f>HYPERLINK("https://ipmanager.doe.gov/IPManager//ExternalLink.aspx?6ibkph2k9yi6F%2B0Vz7YoTlNm8snv%2FZpHP0Ut2ZvZOiA%3D","Link")</f>
        <v>Link</v>
      </c>
      <c r="B362" s="2" t="s">
        <v>1298</v>
      </c>
      <c r="C362" s="2" t="s">
        <v>1284</v>
      </c>
      <c r="D362" s="2" t="s">
        <v>1285</v>
      </c>
      <c r="E362" s="2" t="s">
        <v>1299</v>
      </c>
      <c r="F362" s="2" t="s">
        <v>1300</v>
      </c>
      <c r="G362" s="2" t="s">
        <v>1301</v>
      </c>
      <c r="H362" s="7">
        <v>9427698</v>
      </c>
      <c r="I362" s="2" t="s">
        <v>1302</v>
      </c>
      <c r="J362" t="s">
        <v>7452</v>
      </c>
      <c r="K362" t="s">
        <v>7799</v>
      </c>
      <c r="L362" s="2" t="s">
        <v>8483</v>
      </c>
      <c r="M362" t="s">
        <v>8021</v>
      </c>
    </row>
    <row r="363" spans="1:14" ht="39" x14ac:dyDescent="0.3">
      <c r="A363" s="1" t="str">
        <f>HYPERLINK("https://ipmanager.doe.gov/IPManager//ExternalLink.aspx?6ibkph2k9yi6F%2B0Vz7YoTipZ798QK%2BbP2MueLYseo10%3D","Link")</f>
        <v>Link</v>
      </c>
      <c r="B363" s="2" t="s">
        <v>1303</v>
      </c>
      <c r="C363" s="2" t="s">
        <v>1284</v>
      </c>
      <c r="D363" s="2" t="s">
        <v>1285</v>
      </c>
      <c r="E363" s="2" t="s">
        <v>1304</v>
      </c>
      <c r="F363" s="2"/>
      <c r="G363" s="2" t="s">
        <v>9</v>
      </c>
      <c r="H363" s="7"/>
      <c r="I363" s="2" t="s">
        <v>9</v>
      </c>
      <c r="K363" t="e">
        <v>#N/A</v>
      </c>
      <c r="L363" s="2" t="s">
        <v>8483</v>
      </c>
      <c r="M363" t="s">
        <v>8021</v>
      </c>
      <c r="N363" s="4"/>
    </row>
    <row r="364" spans="1:14" ht="39" x14ac:dyDescent="0.3">
      <c r="A364" s="1" t="str">
        <f>HYPERLINK("https://ipmanager.doe.gov/IPManager//ExternalLink.aspx?6ibkph2k9yi6F%2B0Vz7YoTipZ798QK%2BbP%2Fv2Am9VeoIs%3D","Link")</f>
        <v>Link</v>
      </c>
      <c r="B364" s="2" t="s">
        <v>1306</v>
      </c>
      <c r="C364" s="2" t="s">
        <v>1284</v>
      </c>
      <c r="D364" s="2" t="s">
        <v>1285</v>
      </c>
      <c r="E364" s="2" t="s">
        <v>1307</v>
      </c>
      <c r="F364" s="2" t="s">
        <v>1308</v>
      </c>
      <c r="G364" s="2" t="s">
        <v>1309</v>
      </c>
      <c r="H364" s="7">
        <v>9427697</v>
      </c>
      <c r="I364" s="2" t="s">
        <v>1302</v>
      </c>
      <c r="J364" t="s">
        <v>7453</v>
      </c>
      <c r="K364" t="s">
        <v>7800</v>
      </c>
      <c r="L364" s="2" t="s">
        <v>8483</v>
      </c>
      <c r="M364" t="s">
        <v>8021</v>
      </c>
    </row>
    <row r="365" spans="1:14" ht="39" x14ac:dyDescent="0.3">
      <c r="A365" s="1" t="str">
        <f>HYPERLINK("https://ipmanager.doe.gov/IPManager//ExternalLink.aspx?6ibkph2k9yi6F%2B0Vz7YoTipZ798QK%2BbPu3s%2BLLROfSQ%3D","Link")</f>
        <v>Link</v>
      </c>
      <c r="B365" s="2" t="s">
        <v>1310</v>
      </c>
      <c r="C365" s="2" t="s">
        <v>1284</v>
      </c>
      <c r="D365" s="2" t="s">
        <v>1285</v>
      </c>
      <c r="E365" s="2" t="s">
        <v>1311</v>
      </c>
      <c r="F365" s="2" t="s">
        <v>1312</v>
      </c>
      <c r="G365" s="2" t="s">
        <v>1313</v>
      </c>
      <c r="H365" s="7">
        <v>9302220</v>
      </c>
      <c r="I365" s="2" t="s">
        <v>160</v>
      </c>
      <c r="J365" t="s">
        <v>7454</v>
      </c>
      <c r="K365" t="s">
        <v>7801</v>
      </c>
      <c r="L365" s="2" t="s">
        <v>8483</v>
      </c>
      <c r="M365" t="s">
        <v>8021</v>
      </c>
    </row>
    <row r="366" spans="1:14" ht="26" x14ac:dyDescent="0.3">
      <c r="A366" s="1" t="str">
        <f>HYPERLINK("https://ipmanager.doe.gov/IPManager//ExternalLink.aspx?6ibkph2k9yi6F%2B0Vz7YoTlNm8snv%2FZpHC09T8RmVqrM%3D","Link")</f>
        <v>Link</v>
      </c>
      <c r="B366" s="2" t="s">
        <v>1314</v>
      </c>
      <c r="C366" s="2" t="s">
        <v>1284</v>
      </c>
      <c r="D366" s="2" t="s">
        <v>1285</v>
      </c>
      <c r="E366" s="2" t="s">
        <v>1315</v>
      </c>
      <c r="F366" s="2"/>
      <c r="G366" s="2" t="s">
        <v>9</v>
      </c>
      <c r="H366" s="7"/>
      <c r="I366" s="2" t="s">
        <v>9</v>
      </c>
      <c r="K366" t="e">
        <v>#N/A</v>
      </c>
      <c r="L366" s="2" t="s">
        <v>8483</v>
      </c>
      <c r="M366" t="s">
        <v>8021</v>
      </c>
      <c r="N366" s="4"/>
    </row>
    <row r="367" spans="1:14" ht="65" x14ac:dyDescent="0.3">
      <c r="A367" s="1" t="str">
        <f>HYPERLINK("https://ipmanager.doe.gov/IPManager//ExternalLink.aspx?6ibkph2k9yi6F%2B0Vz7YoTipZ798QK%2BbPF5nhCCll0R0%3D","Link")</f>
        <v>Link</v>
      </c>
      <c r="B367" s="2" t="s">
        <v>1283</v>
      </c>
      <c r="C367" s="2" t="s">
        <v>1284</v>
      </c>
      <c r="D367" s="2" t="s">
        <v>1285</v>
      </c>
      <c r="E367" s="2" t="s">
        <v>1286</v>
      </c>
      <c r="F367" s="2" t="s">
        <v>1287</v>
      </c>
      <c r="G367" s="2" t="s">
        <v>1288</v>
      </c>
      <c r="H367" s="7"/>
      <c r="I367" s="2" t="s">
        <v>9</v>
      </c>
      <c r="K367" t="e">
        <v>#N/A</v>
      </c>
      <c r="L367" s="2" t="s">
        <v>8483</v>
      </c>
      <c r="M367" t="s">
        <v>8021</v>
      </c>
      <c r="N367" s="4"/>
    </row>
    <row r="368" spans="1:14" ht="39" x14ac:dyDescent="0.3">
      <c r="A368" s="1" t="str">
        <f>HYPERLINK("https://ipmanager.doe.gov/IPManager//ExternalLink.aspx?6ibkph2k9yi6F%2B0Vz7YoTk2BI6w%2FjZ2fA4wrVtFEOkA%3D","Link")</f>
        <v>Link</v>
      </c>
      <c r="B368" s="2" t="s">
        <v>1316</v>
      </c>
      <c r="C368" s="2" t="s">
        <v>1317</v>
      </c>
      <c r="D368" s="2" t="s">
        <v>1318</v>
      </c>
      <c r="E368" s="2" t="s">
        <v>1319</v>
      </c>
      <c r="F368" s="2" t="s">
        <v>1320</v>
      </c>
      <c r="G368" s="2" t="s">
        <v>1321</v>
      </c>
      <c r="H368" s="7">
        <v>9150889</v>
      </c>
      <c r="I368" s="2" t="s">
        <v>794</v>
      </c>
      <c r="J368" t="s">
        <v>7455</v>
      </c>
      <c r="K368" t="s">
        <v>7802</v>
      </c>
      <c r="L368" s="2" t="s">
        <v>8484</v>
      </c>
      <c r="M368" t="s">
        <v>8022</v>
      </c>
    </row>
    <row r="369" spans="1:14" ht="39" x14ac:dyDescent="0.3">
      <c r="A369" s="1" t="str">
        <f>HYPERLINK("https://ipmanager.doe.gov/IPManager//ExternalLink.aspx?6ibkph2k9yi6F%2B0Vz7YoTk2BI6w%2FjZ2farUr%2FXr07jA%3D","Link")</f>
        <v>Link</v>
      </c>
      <c r="B369" s="2" t="s">
        <v>1322</v>
      </c>
      <c r="C369" s="2" t="s">
        <v>1317</v>
      </c>
      <c r="D369" s="2" t="s">
        <v>1318</v>
      </c>
      <c r="E369" s="2" t="s">
        <v>1319</v>
      </c>
      <c r="F369" s="2" t="s">
        <v>1323</v>
      </c>
      <c r="G369" s="2" t="s">
        <v>1324</v>
      </c>
      <c r="H369" s="7">
        <v>9481898</v>
      </c>
      <c r="I369" s="2" t="s">
        <v>1325</v>
      </c>
      <c r="J369" t="s">
        <v>7456</v>
      </c>
      <c r="K369" t="e">
        <v>#N/A</v>
      </c>
      <c r="L369" s="2" t="s">
        <v>8484</v>
      </c>
      <c r="M369" t="s">
        <v>8022</v>
      </c>
    </row>
    <row r="370" spans="1:14" ht="39" x14ac:dyDescent="0.3">
      <c r="A370" s="1" t="str">
        <f>HYPERLINK("https://ipmanager.doe.gov/IPManager//ExternalLink.aspx?6ibkph2k9yi6F%2B0Vz7YoTipZ798QK%2BbPYTx6xPJ64BU%3D","Link")</f>
        <v>Link</v>
      </c>
      <c r="B370" s="2" t="s">
        <v>1335</v>
      </c>
      <c r="C370" s="2" t="s">
        <v>1317</v>
      </c>
      <c r="D370" s="2" t="s">
        <v>1336</v>
      </c>
      <c r="E370" s="2" t="s">
        <v>1327</v>
      </c>
      <c r="F370" s="2" t="s">
        <v>1337</v>
      </c>
      <c r="G370" s="2" t="s">
        <v>195</v>
      </c>
      <c r="H370" s="7"/>
      <c r="I370" s="2" t="s">
        <v>9</v>
      </c>
      <c r="K370" t="e">
        <v>#N/A</v>
      </c>
      <c r="L370" s="2" t="s">
        <v>8484</v>
      </c>
      <c r="M370" t="s">
        <v>8022</v>
      </c>
      <c r="N370" s="4"/>
    </row>
    <row r="371" spans="1:14" ht="26" x14ac:dyDescent="0.3">
      <c r="A371" s="1" t="str">
        <f>HYPERLINK("https://ipmanager.doe.gov/IPManager//ExternalLink.aspx?6ibkph2k9yi6F%2B0Vz7YoTo7DPLa3%2F%2FGgH56MdAEH4Rw%3D","Link")</f>
        <v>Link</v>
      </c>
      <c r="B371" s="2" t="s">
        <v>1330</v>
      </c>
      <c r="C371" s="2" t="s">
        <v>1317</v>
      </c>
      <c r="D371" s="2" t="s">
        <v>1331</v>
      </c>
      <c r="E371" s="2" t="s">
        <v>1332</v>
      </c>
      <c r="F371" s="2" t="s">
        <v>1333</v>
      </c>
      <c r="G371" s="2" t="s">
        <v>1334</v>
      </c>
      <c r="H371" s="7"/>
      <c r="I371" s="2" t="s">
        <v>9</v>
      </c>
      <c r="K371" t="e">
        <v>#N/A</v>
      </c>
      <c r="L371" s="2" t="s">
        <v>8484</v>
      </c>
      <c r="M371" t="s">
        <v>8022</v>
      </c>
      <c r="N371" s="4"/>
    </row>
    <row r="372" spans="1:14" ht="26" x14ac:dyDescent="0.3">
      <c r="A372" s="1" t="str">
        <f>HYPERLINK("https://ipmanager.doe.gov/IPManager//ExternalLink.aspx?6ibkph2k9yi6F%2B0Vz7YoTipZ798QK%2BbP5aWKw5gexPg%3D","Link")</f>
        <v>Link</v>
      </c>
      <c r="B372" s="2" t="s">
        <v>1326</v>
      </c>
      <c r="C372" s="2" t="s">
        <v>1317</v>
      </c>
      <c r="D372" s="2" t="s">
        <v>1318</v>
      </c>
      <c r="E372" s="2" t="s">
        <v>1327</v>
      </c>
      <c r="F372" s="2" t="s">
        <v>1328</v>
      </c>
      <c r="G372" s="2" t="s">
        <v>693</v>
      </c>
      <c r="H372" s="7"/>
      <c r="I372" s="2" t="s">
        <v>9</v>
      </c>
      <c r="K372" t="e">
        <v>#N/A</v>
      </c>
      <c r="L372" s="2" t="s">
        <v>8484</v>
      </c>
      <c r="M372" t="s">
        <v>8022</v>
      </c>
      <c r="N372" s="4"/>
    </row>
    <row r="373" spans="1:14" ht="52" x14ac:dyDescent="0.3">
      <c r="A373" s="1" t="str">
        <f>HYPERLINK("https://ipmanager.doe.gov/IPManager//ExternalLink.aspx?6ibkph2k9yi6F%2B0Vz7YoTipZ798QK%2BbPcGjhhD5aBh8%3D","Link")</f>
        <v>Link</v>
      </c>
      <c r="B373" s="2" t="s">
        <v>1338</v>
      </c>
      <c r="C373" s="2" t="s">
        <v>1339</v>
      </c>
      <c r="D373" s="2" t="s">
        <v>1340</v>
      </c>
      <c r="E373" s="2" t="s">
        <v>1341</v>
      </c>
      <c r="F373" s="2"/>
      <c r="G373" s="2" t="s">
        <v>9</v>
      </c>
      <c r="H373" s="7"/>
      <c r="I373" s="2" t="s">
        <v>9</v>
      </c>
      <c r="K373" t="e">
        <v>#N/A</v>
      </c>
      <c r="L373" s="2" t="s">
        <v>8409</v>
      </c>
      <c r="M373" t="s">
        <v>8063</v>
      </c>
      <c r="N373" s="4"/>
    </row>
    <row r="374" spans="1:14" ht="78" x14ac:dyDescent="0.3">
      <c r="A374" s="1" t="str">
        <f>HYPERLINK("https://ipmanager.doe.gov/IPManager//ExternalLink.aspx?6ibkph2k9yi6F%2B0Vz7YoTlNm8snv%2FZpHy%2FnWFfaX8qY%3D","Link")</f>
        <v>Link</v>
      </c>
      <c r="B374" s="2" t="s">
        <v>1342</v>
      </c>
      <c r="C374" s="2" t="s">
        <v>1339</v>
      </c>
      <c r="D374" s="2" t="s">
        <v>1343</v>
      </c>
      <c r="E374" s="2" t="s">
        <v>1344</v>
      </c>
      <c r="F374" s="2" t="s">
        <v>1345</v>
      </c>
      <c r="G374" s="2" t="s">
        <v>883</v>
      </c>
      <c r="H374" s="7">
        <v>9856449</v>
      </c>
      <c r="I374" s="2" t="s">
        <v>1346</v>
      </c>
      <c r="J374" t="s">
        <v>7457</v>
      </c>
      <c r="K374" t="s">
        <v>7803</v>
      </c>
      <c r="L374" s="2" t="s">
        <v>8409</v>
      </c>
      <c r="M374" t="s">
        <v>8063</v>
      </c>
    </row>
    <row r="375" spans="1:14" ht="52" x14ac:dyDescent="0.3">
      <c r="A375" s="1" t="str">
        <f>HYPERLINK("https://ipmanager.doe.gov/IPManager//ExternalLink.aspx?6ibkph2k9yi6F%2B0Vz7YoTipZ798QK%2BbPJ1MSzLGOHW4%3D","Link")</f>
        <v>Link</v>
      </c>
      <c r="B375" s="2" t="s">
        <v>1348</v>
      </c>
      <c r="C375" s="2" t="s">
        <v>1339</v>
      </c>
      <c r="D375" s="2" t="s">
        <v>1343</v>
      </c>
      <c r="E375" s="2" t="s">
        <v>1349</v>
      </c>
      <c r="F375" s="2" t="s">
        <v>1347</v>
      </c>
      <c r="G375" s="2" t="s">
        <v>401</v>
      </c>
      <c r="H375" s="7">
        <v>9175408</v>
      </c>
      <c r="I375" s="2" t="s">
        <v>1350</v>
      </c>
      <c r="J375" t="s">
        <v>7458</v>
      </c>
      <c r="K375" t="e">
        <v>#N/A</v>
      </c>
      <c r="L375" s="2" t="s">
        <v>8409</v>
      </c>
      <c r="M375" t="s">
        <v>8063</v>
      </c>
    </row>
    <row r="376" spans="1:14" ht="39" x14ac:dyDescent="0.3">
      <c r="A376" s="1" t="str">
        <f>HYPERLINK("https://ipmanager.doe.gov/IPManager//ExternalLink.aspx?6ibkph2k9yi6F%2B0Vz7YoTipZ798QK%2BbP4aXVdML6vkc%3D","Link")</f>
        <v>Link</v>
      </c>
      <c r="B376" s="2" t="s">
        <v>1355</v>
      </c>
      <c r="C376" s="2" t="s">
        <v>1352</v>
      </c>
      <c r="D376" s="2" t="s">
        <v>1353</v>
      </c>
      <c r="E376" s="2" t="s">
        <v>1356</v>
      </c>
      <c r="F376" s="2" t="s">
        <v>7617</v>
      </c>
      <c r="G376" s="2" t="s">
        <v>1357</v>
      </c>
      <c r="H376" s="8">
        <v>9428778</v>
      </c>
      <c r="I376" s="2" t="s">
        <v>1302</v>
      </c>
      <c r="J376" t="s">
        <v>7466</v>
      </c>
      <c r="K376" t="s">
        <v>7804</v>
      </c>
      <c r="L376" s="2" t="s">
        <v>8485</v>
      </c>
      <c r="M376" t="s">
        <v>8023</v>
      </c>
    </row>
    <row r="377" spans="1:14" ht="78" x14ac:dyDescent="0.3">
      <c r="A377" s="1" t="str">
        <f>HYPERLINK("https://ipmanager.doe.gov/IPManager//ExternalLink.aspx?6ibkph2k9yi6F%2B0Vz7YoTjN2oADz%2F5MxRuJfbqhH%2BL0%3D","Link")</f>
        <v>Link</v>
      </c>
      <c r="B377" s="2" t="s">
        <v>1358</v>
      </c>
      <c r="C377" s="2" t="s">
        <v>1352</v>
      </c>
      <c r="D377" s="2" t="s">
        <v>1359</v>
      </c>
      <c r="E377" s="2" t="s">
        <v>1360</v>
      </c>
      <c r="F377" s="2" t="s">
        <v>1361</v>
      </c>
      <c r="G377" s="2" t="s">
        <v>1362</v>
      </c>
      <c r="H377" s="7"/>
      <c r="I377" s="2" t="s">
        <v>9</v>
      </c>
      <c r="K377" t="e">
        <v>#N/A</v>
      </c>
      <c r="L377" s="2" t="s">
        <v>8485</v>
      </c>
      <c r="M377" t="s">
        <v>8023</v>
      </c>
      <c r="N377" s="4"/>
    </row>
    <row r="378" spans="1:14" ht="52" x14ac:dyDescent="0.3">
      <c r="A378" s="1" t="str">
        <f>HYPERLINK("https://ipmanager.doe.gov/IPManager//ExternalLink.aspx?6ibkph2k9yi6F%2B0Vz7YoTvPUg%2FVZPl3i6YJFQppOPbE%3D","Link")</f>
        <v>Link</v>
      </c>
      <c r="B378" s="2" t="s">
        <v>1351</v>
      </c>
      <c r="C378" s="2" t="s">
        <v>1352</v>
      </c>
      <c r="D378" s="2" t="s">
        <v>1353</v>
      </c>
      <c r="E378" s="2" t="s">
        <v>1354</v>
      </c>
      <c r="F378" s="2" t="s">
        <v>7640</v>
      </c>
      <c r="G378" s="2" t="s">
        <v>98</v>
      </c>
      <c r="H378" s="7"/>
      <c r="I378" s="2" t="s">
        <v>9</v>
      </c>
      <c r="K378" t="e">
        <v>#N/A</v>
      </c>
      <c r="L378" s="2" t="s">
        <v>8485</v>
      </c>
      <c r="M378" t="s">
        <v>8023</v>
      </c>
      <c r="N378" s="4"/>
    </row>
    <row r="379" spans="1:14" ht="65" x14ac:dyDescent="0.3">
      <c r="A379" s="1" t="str">
        <f>HYPERLINK("https://ipmanager.doe.gov/IPManager//ExternalLink.aspx?6ibkph2k9yi6F%2B0Vz7YoTjN2oADz%2F5MxPfTDglWxsr8%3D","Link")</f>
        <v>Link</v>
      </c>
      <c r="B379" s="2" t="s">
        <v>1363</v>
      </c>
      <c r="C379" s="2" t="s">
        <v>1352</v>
      </c>
      <c r="D379" s="2" t="s">
        <v>1353</v>
      </c>
      <c r="E379" s="2" t="s">
        <v>1364</v>
      </c>
      <c r="F379" s="2" t="s">
        <v>1365</v>
      </c>
      <c r="G379" s="2" t="s">
        <v>1362</v>
      </c>
      <c r="H379" s="7"/>
      <c r="I379" s="2" t="s">
        <v>9</v>
      </c>
      <c r="K379" t="e">
        <v>#N/A</v>
      </c>
      <c r="L379" s="2" t="s">
        <v>8485</v>
      </c>
      <c r="M379" t="s">
        <v>8023</v>
      </c>
      <c r="N379" s="4"/>
    </row>
    <row r="380" spans="1:14" ht="39" x14ac:dyDescent="0.3">
      <c r="A380" s="1" t="str">
        <f>HYPERLINK("https://ipmanager.doe.gov/IPManager//ExternalLink.aspx?6ibkph2k9yi6F%2B0Vz7YoTlNm8snv%2FZpHIH4%2Fs6PmF%2FU%3D","Link")</f>
        <v>Link</v>
      </c>
      <c r="B380" s="2" t="s">
        <v>1366</v>
      </c>
      <c r="C380" s="2" t="s">
        <v>1352</v>
      </c>
      <c r="D380" s="2" t="s">
        <v>1353</v>
      </c>
      <c r="E380" s="2" t="s">
        <v>1367</v>
      </c>
      <c r="F380" s="2" t="s">
        <v>1368</v>
      </c>
      <c r="G380" s="2" t="s">
        <v>1369</v>
      </c>
      <c r="H380" s="7"/>
      <c r="I380" s="2" t="s">
        <v>9</v>
      </c>
      <c r="K380" t="e">
        <v>#N/A</v>
      </c>
      <c r="L380" s="2" t="s">
        <v>8485</v>
      </c>
      <c r="M380" t="s">
        <v>8023</v>
      </c>
      <c r="N380" s="4"/>
    </row>
    <row r="381" spans="1:14" ht="65" x14ac:dyDescent="0.3">
      <c r="A381" s="1" t="str">
        <f>HYPERLINK("https://ipmanager.doe.gov/IPManager//ExternalLink.aspx?6ibkph2k9yi6F%2B0Vz7YoTjN2oADz%2F5MxlyYxACnutBI%3D","Link")</f>
        <v>Link</v>
      </c>
      <c r="B381" s="2" t="s">
        <v>1370</v>
      </c>
      <c r="C381" s="2" t="s">
        <v>1352</v>
      </c>
      <c r="D381" s="2" t="s">
        <v>1353</v>
      </c>
      <c r="E381" s="2" t="s">
        <v>1371</v>
      </c>
      <c r="F381" s="2" t="s">
        <v>1372</v>
      </c>
      <c r="G381" s="2" t="s">
        <v>875</v>
      </c>
      <c r="H381" s="7"/>
      <c r="I381" s="2" t="s">
        <v>9</v>
      </c>
      <c r="K381" t="e">
        <v>#N/A</v>
      </c>
      <c r="L381" s="2" t="s">
        <v>8485</v>
      </c>
      <c r="M381" t="s">
        <v>8023</v>
      </c>
      <c r="N381" s="4"/>
    </row>
    <row r="382" spans="1:14" ht="52" x14ac:dyDescent="0.3">
      <c r="A382" s="1" t="str">
        <f>HYPERLINK("https://ipmanager.doe.gov/IPManager//ExternalLink.aspx?6ibkph2k9yi6F%2B0Vz7YoTjN2oADz%2F5Mx%2FDrFWB%2B0gs0%3D","Link")</f>
        <v>Link</v>
      </c>
      <c r="B382" s="2" t="s">
        <v>1373</v>
      </c>
      <c r="C382" s="2" t="s">
        <v>1374</v>
      </c>
      <c r="D382" s="2" t="s">
        <v>1375</v>
      </c>
      <c r="E382" s="2" t="s">
        <v>1376</v>
      </c>
      <c r="F382" s="2"/>
      <c r="G382" s="2" t="s">
        <v>9</v>
      </c>
      <c r="H382" s="7"/>
      <c r="I382" s="2" t="s">
        <v>9</v>
      </c>
      <c r="K382" t="e">
        <v>#N/A</v>
      </c>
      <c r="L382" s="2" t="s">
        <v>8486</v>
      </c>
      <c r="M382" t="s">
        <v>8024</v>
      </c>
      <c r="N382" s="4"/>
    </row>
    <row r="383" spans="1:14" ht="65" x14ac:dyDescent="0.3">
      <c r="A383" s="1" t="str">
        <f>HYPERLINK("https://ipmanager.doe.gov/IPManager//ExternalLink.aspx?6ibkph2k9yi6F%2B0Vz7YoTjN2oADz%2F5MxSyJ85RPSWkw%3D","Link")</f>
        <v>Link</v>
      </c>
      <c r="B383" s="2" t="s">
        <v>1377</v>
      </c>
      <c r="C383" s="2" t="s">
        <v>1374</v>
      </c>
      <c r="D383" s="2" t="s">
        <v>1375</v>
      </c>
      <c r="E383" s="2" t="s">
        <v>1378</v>
      </c>
      <c r="F383" s="2"/>
      <c r="G383" s="2" t="s">
        <v>9</v>
      </c>
      <c r="H383" s="7"/>
      <c r="I383" s="2" t="s">
        <v>9</v>
      </c>
      <c r="K383" t="e">
        <v>#N/A</v>
      </c>
      <c r="L383" s="2" t="s">
        <v>8486</v>
      </c>
      <c r="M383" t="s">
        <v>8024</v>
      </c>
      <c r="N383" s="4"/>
    </row>
    <row r="384" spans="1:14" ht="39" x14ac:dyDescent="0.3">
      <c r="A384" s="1" t="str">
        <f>HYPERLINK("https://ipmanager.doe.gov/IPManager//ExternalLink.aspx?6ibkph2k9yi6F%2B0Vz7YoTk2BI6w%2FjZ2fWIEy8eNrSR0%3D","Link")</f>
        <v>Link</v>
      </c>
      <c r="B384" s="2" t="s">
        <v>1379</v>
      </c>
      <c r="C384" s="2" t="s">
        <v>1374</v>
      </c>
      <c r="D384" s="2" t="s">
        <v>1380</v>
      </c>
      <c r="E384" s="2" t="s">
        <v>1381</v>
      </c>
      <c r="F384" s="2"/>
      <c r="G384" s="2" t="s">
        <v>9</v>
      </c>
      <c r="H384" s="7"/>
      <c r="I384" s="2" t="s">
        <v>9</v>
      </c>
      <c r="K384" t="e">
        <v>#N/A</v>
      </c>
      <c r="L384" s="2" t="s">
        <v>8486</v>
      </c>
      <c r="M384" t="s">
        <v>8024</v>
      </c>
      <c r="N384" s="4"/>
    </row>
    <row r="385" spans="1:14" ht="26" x14ac:dyDescent="0.3">
      <c r="A385" s="1" t="str">
        <f>HYPERLINK("https://ipmanager.doe.gov/IPManager//ExternalLink.aspx?6ibkph2k9yi6F%2B0Vz7YoTipZ798QK%2BbPSRRf16JOz9o%3D","Link")</f>
        <v>Link</v>
      </c>
      <c r="B385" s="2" t="s">
        <v>1382</v>
      </c>
      <c r="C385" s="2" t="s">
        <v>1374</v>
      </c>
      <c r="D385" s="2" t="s">
        <v>1380</v>
      </c>
      <c r="E385" s="2" t="s">
        <v>1383</v>
      </c>
      <c r="F385" s="2" t="s">
        <v>1384</v>
      </c>
      <c r="G385" s="2" t="s">
        <v>1385</v>
      </c>
      <c r="H385" s="7"/>
      <c r="I385" s="2" t="s">
        <v>9</v>
      </c>
      <c r="J385" t="s">
        <v>7528</v>
      </c>
      <c r="K385" t="s">
        <v>7805</v>
      </c>
      <c r="L385" s="2" t="s">
        <v>8486</v>
      </c>
      <c r="M385" t="s">
        <v>8024</v>
      </c>
      <c r="N385" s="4"/>
    </row>
    <row r="386" spans="1:14" ht="65" x14ac:dyDescent="0.3">
      <c r="A386" s="1" t="str">
        <f>HYPERLINK("https://ipmanager.doe.gov/IPManager//ExternalLink.aspx?6ibkph2k9yi6F%2B0Vz7YoTipZ798QK%2BbPzUaS2mj2las%3D","Link")</f>
        <v>Link</v>
      </c>
      <c r="B386" s="2" t="s">
        <v>1386</v>
      </c>
      <c r="C386" s="2" t="s">
        <v>1374</v>
      </c>
      <c r="D386" s="2" t="s">
        <v>1380</v>
      </c>
      <c r="E386" s="2" t="s">
        <v>1387</v>
      </c>
      <c r="F386" s="2"/>
      <c r="G386" s="2" t="s">
        <v>9</v>
      </c>
      <c r="H386" s="7"/>
      <c r="I386" s="2" t="s">
        <v>9</v>
      </c>
      <c r="K386" t="e">
        <v>#N/A</v>
      </c>
      <c r="L386" s="2" t="s">
        <v>8486</v>
      </c>
      <c r="M386" t="s">
        <v>8024</v>
      </c>
      <c r="N386" s="4"/>
    </row>
    <row r="387" spans="1:14" ht="39" x14ac:dyDescent="0.3">
      <c r="A387" s="1" t="str">
        <f>HYPERLINK("https://ipmanager.doe.gov/IPManager//ExternalLink.aspx?6ibkph2k9yi6F%2B0Vz7YoTjnDGhmGHGI7ZOKUdvI%2FpFA%3D","Link")</f>
        <v>Link</v>
      </c>
      <c r="B387" s="2" t="s">
        <v>1382</v>
      </c>
      <c r="C387" s="2" t="s">
        <v>1374</v>
      </c>
      <c r="D387" s="2" t="s">
        <v>1380</v>
      </c>
      <c r="E387" s="2" t="s">
        <v>1383</v>
      </c>
      <c r="F387" s="2" t="s">
        <v>1389</v>
      </c>
      <c r="G387" s="2" t="s">
        <v>1390</v>
      </c>
      <c r="H387" s="7"/>
      <c r="I387" s="2" t="s">
        <v>9</v>
      </c>
      <c r="J387" t="s">
        <v>7528</v>
      </c>
      <c r="K387" t="s">
        <v>7805</v>
      </c>
      <c r="L387" s="2" t="s">
        <v>8486</v>
      </c>
      <c r="M387" t="s">
        <v>8024</v>
      </c>
      <c r="N387" s="5" t="s">
        <v>7526</v>
      </c>
    </row>
    <row r="388" spans="1:14" ht="52" x14ac:dyDescent="0.3">
      <c r="A388" s="1" t="str">
        <f>HYPERLINK("https://ipmanager.doe.gov/IPManager//ExternalLink.aspx?6ibkph2k9yi6F%2B0Vz7YoTjnDGhmGHGI7lIG6t4Q%2B3JA%3D","Link")</f>
        <v>Link</v>
      </c>
      <c r="B388" s="2" t="s">
        <v>1405</v>
      </c>
      <c r="C388" s="2" t="s">
        <v>1392</v>
      </c>
      <c r="D388" s="2" t="s">
        <v>1393</v>
      </c>
      <c r="E388" s="2" t="s">
        <v>1398</v>
      </c>
      <c r="F388" s="2" t="s">
        <v>1406</v>
      </c>
      <c r="G388" s="2" t="s">
        <v>1407</v>
      </c>
      <c r="H388" s="7"/>
      <c r="I388" s="2" t="s">
        <v>9</v>
      </c>
      <c r="J388" t="s">
        <v>7529</v>
      </c>
      <c r="K388" t="s">
        <v>7806</v>
      </c>
      <c r="L388" s="2" t="s">
        <v>8487</v>
      </c>
      <c r="M388" t="s">
        <v>8025</v>
      </c>
      <c r="N388" s="4"/>
    </row>
    <row r="389" spans="1:14" ht="52" x14ac:dyDescent="0.3">
      <c r="A389" s="1" t="str">
        <f>HYPERLINK("https://ipmanager.doe.gov/IPManager//ExternalLink.aspx?6ibkph2k9yi6F%2B0Vz7YoTnXVN2REjGcWjK6u4fbvQhg%3D","Link")</f>
        <v>Link</v>
      </c>
      <c r="B389" s="2" t="s">
        <v>1412</v>
      </c>
      <c r="C389" s="2" t="s">
        <v>1392</v>
      </c>
      <c r="D389" s="2" t="s">
        <v>1393</v>
      </c>
      <c r="E389" s="2" t="s">
        <v>1398</v>
      </c>
      <c r="F389" s="2" t="s">
        <v>1408</v>
      </c>
      <c r="G389" s="2" t="s">
        <v>1401</v>
      </c>
      <c r="H389" s="7">
        <v>8349587</v>
      </c>
      <c r="I389" s="2" t="s">
        <v>1413</v>
      </c>
      <c r="J389" t="s">
        <v>7460</v>
      </c>
      <c r="K389" t="s">
        <v>7807</v>
      </c>
      <c r="L389" s="2" t="s">
        <v>8487</v>
      </c>
      <c r="M389" t="s">
        <v>8025</v>
      </c>
    </row>
    <row r="390" spans="1:14" ht="39" x14ac:dyDescent="0.3">
      <c r="A390" s="1" t="str">
        <f>HYPERLINK("https://ipmanager.doe.gov/IPManager//ExternalLink.aspx?6ibkph2k9yi6F%2B0Vz7YoTipZ798QK%2BbPUWo6uFdOfMg%3D","Link")</f>
        <v>Link</v>
      </c>
      <c r="B390" s="2" t="s">
        <v>1414</v>
      </c>
      <c r="C390" s="2" t="s">
        <v>1392</v>
      </c>
      <c r="D390" s="2" t="s">
        <v>1415</v>
      </c>
      <c r="E390" s="2" t="s">
        <v>1416</v>
      </c>
      <c r="F390" s="2"/>
      <c r="G390" s="2" t="s">
        <v>9</v>
      </c>
      <c r="H390" s="7"/>
      <c r="I390" s="2" t="s">
        <v>9</v>
      </c>
      <c r="K390" t="e">
        <v>#N/A</v>
      </c>
      <c r="L390" s="2" t="s">
        <v>8487</v>
      </c>
      <c r="M390" t="s">
        <v>8025</v>
      </c>
      <c r="N390" s="4"/>
    </row>
    <row r="391" spans="1:14" ht="52" x14ac:dyDescent="0.3">
      <c r="A391" s="1" t="str">
        <f>HYPERLINK("https://ipmanager.doe.gov/IPManager//ExternalLink.aspx?6ibkph2k9yi6F%2B0Vz7YoTipZ798QK%2BbPTzww5dqoF00%3D","Link")</f>
        <v>Link</v>
      </c>
      <c r="B391" s="2" t="s">
        <v>1391</v>
      </c>
      <c r="C391" s="2" t="s">
        <v>1392</v>
      </c>
      <c r="D391" s="2" t="s">
        <v>1393</v>
      </c>
      <c r="E391" s="2" t="s">
        <v>1394</v>
      </c>
      <c r="F391" s="2" t="s">
        <v>1395</v>
      </c>
      <c r="G391" s="2" t="s">
        <v>1396</v>
      </c>
      <c r="H391" s="7"/>
      <c r="I391" s="2" t="s">
        <v>9</v>
      </c>
      <c r="J391" t="s">
        <v>1395</v>
      </c>
      <c r="K391" t="s">
        <v>7808</v>
      </c>
      <c r="L391" s="2" t="s">
        <v>8487</v>
      </c>
      <c r="M391" t="s">
        <v>8025</v>
      </c>
      <c r="N391" s="4"/>
    </row>
    <row r="392" spans="1:14" ht="52" x14ac:dyDescent="0.3">
      <c r="A392" s="1" t="str">
        <f>HYPERLINK("https://ipmanager.doe.gov/IPManager//ExternalLink.aspx?6ibkph2k9yi6F%2B0Vz7YoTjnDGhmGHGI7fzbsIRvT6rw%3D","Link")</f>
        <v>Link</v>
      </c>
      <c r="B392" s="2" t="s">
        <v>1397</v>
      </c>
      <c r="C392" s="2" t="s">
        <v>1392</v>
      </c>
      <c r="D392" s="2" t="s">
        <v>1393</v>
      </c>
      <c r="E392" s="2" t="s">
        <v>1398</v>
      </c>
      <c r="F392" s="2" t="s">
        <v>1399</v>
      </c>
      <c r="G392" s="2" t="s">
        <v>1400</v>
      </c>
      <c r="H392" s="7"/>
      <c r="I392" s="2" t="s">
        <v>9</v>
      </c>
      <c r="J392" t="s">
        <v>1399</v>
      </c>
      <c r="K392" t="s">
        <v>7670</v>
      </c>
      <c r="L392" s="2" t="s">
        <v>8487</v>
      </c>
      <c r="M392" t="s">
        <v>8025</v>
      </c>
      <c r="N392" s="4"/>
    </row>
    <row r="393" spans="1:14" ht="52" x14ac:dyDescent="0.3">
      <c r="A393" s="1" t="str">
        <f>HYPERLINK("https://ipmanager.doe.gov/IPManager//ExternalLink.aspx?6ibkph2k9yi6F%2B0Vz7YoTlNm8snv%2FZpHHf2UJvWKE0M%3D","Link")</f>
        <v>Link</v>
      </c>
      <c r="B393" s="2" t="s">
        <v>1409</v>
      </c>
      <c r="C393" s="2" t="s">
        <v>1392</v>
      </c>
      <c r="D393" s="2" t="s">
        <v>1393</v>
      </c>
      <c r="E393" s="2" t="s">
        <v>1398</v>
      </c>
      <c r="F393" s="2" t="s">
        <v>1410</v>
      </c>
      <c r="G393" s="2" t="s">
        <v>1411</v>
      </c>
      <c r="H393" s="7"/>
      <c r="I393" s="2" t="s">
        <v>9</v>
      </c>
      <c r="K393" t="e">
        <v>#N/A</v>
      </c>
      <c r="L393" s="2" t="s">
        <v>8487</v>
      </c>
      <c r="M393" t="s">
        <v>8025</v>
      </c>
      <c r="N393" s="4"/>
    </row>
    <row r="394" spans="1:14" ht="52" x14ac:dyDescent="0.3">
      <c r="A394" s="1" t="str">
        <f>HYPERLINK("https://ipmanager.doe.gov/IPManager//ExternalLink.aspx?6ibkph2k9yi6F%2B0Vz7YoTnXVN2REjGcWAXo4bUJKM7M%3D","Link")</f>
        <v>Link</v>
      </c>
      <c r="B394" s="2" t="s">
        <v>1391</v>
      </c>
      <c r="C394" s="2" t="s">
        <v>1392</v>
      </c>
      <c r="D394" s="2" t="s">
        <v>1393</v>
      </c>
      <c r="E394" s="2" t="s">
        <v>1402</v>
      </c>
      <c r="F394" s="2" t="s">
        <v>1403</v>
      </c>
      <c r="G394" s="2" t="s">
        <v>1404</v>
      </c>
      <c r="H394" s="7"/>
      <c r="I394" s="2" t="s">
        <v>9</v>
      </c>
      <c r="K394" t="e">
        <v>#N/A</v>
      </c>
      <c r="L394" s="2" t="s">
        <v>8487</v>
      </c>
      <c r="M394" t="s">
        <v>8025</v>
      </c>
      <c r="N394" s="4"/>
    </row>
    <row r="395" spans="1:14" ht="26" x14ac:dyDescent="0.3">
      <c r="A395" s="1" t="str">
        <f>HYPERLINK("https://ipmanager.doe.gov/IPManager//ExternalLink.aspx?6ibkph2k9yi6F%2B0Vz7YoTipZ798QK%2BbPkAhpjurPScw%3D","Link")</f>
        <v>Link</v>
      </c>
      <c r="B395" s="2" t="s">
        <v>1417</v>
      </c>
      <c r="C395" s="2" t="s">
        <v>1418</v>
      </c>
      <c r="D395" s="2" t="s">
        <v>293</v>
      </c>
      <c r="E395" s="2" t="s">
        <v>1419</v>
      </c>
      <c r="F395" s="2" t="s">
        <v>1420</v>
      </c>
      <c r="G395" s="2" t="s">
        <v>583</v>
      </c>
      <c r="H395" s="7">
        <v>8691171</v>
      </c>
      <c r="I395" s="2" t="s">
        <v>1421</v>
      </c>
      <c r="J395" t="s">
        <v>7461</v>
      </c>
      <c r="K395" t="s">
        <v>7809</v>
      </c>
      <c r="L395" s="2" t="s">
        <v>8488</v>
      </c>
      <c r="M395" t="s">
        <v>8026</v>
      </c>
    </row>
    <row r="396" spans="1:14" ht="65" x14ac:dyDescent="0.3">
      <c r="A396" s="1" t="str">
        <f>HYPERLINK("https://ipmanager.doe.gov/IPManager//ExternalLink.aspx?6ibkph2k9yi6F%2B0Vz7YoTjnDGhmGHGI7xznlhjcvOkY%3D","Link")</f>
        <v>Link</v>
      </c>
      <c r="B396" s="2" t="s">
        <v>1423</v>
      </c>
      <c r="C396" s="2" t="s">
        <v>1418</v>
      </c>
      <c r="D396" s="2" t="s">
        <v>293</v>
      </c>
      <c r="E396" s="2" t="s">
        <v>1430</v>
      </c>
      <c r="F396" s="2" t="s">
        <v>1425</v>
      </c>
      <c r="G396" s="2" t="s">
        <v>1426</v>
      </c>
      <c r="H396" s="7">
        <v>8691171</v>
      </c>
      <c r="I396" s="2" t="s">
        <v>1421</v>
      </c>
      <c r="J396" t="s">
        <v>7461</v>
      </c>
      <c r="K396" t="s">
        <v>7809</v>
      </c>
      <c r="L396" s="2" t="s">
        <v>8488</v>
      </c>
      <c r="M396" t="s">
        <v>8026</v>
      </c>
      <c r="N396" s="5" t="s">
        <v>7467</v>
      </c>
    </row>
    <row r="397" spans="1:14" ht="39" x14ac:dyDescent="0.3">
      <c r="A397" s="1" t="str">
        <f>HYPERLINK("https://ipmanager.doe.gov/IPManager//ExternalLink.aspx?6ibkph2k9yi6F%2B0Vz7YoTk2BI6w%2FjZ2fE3xgkknnSzM%3D","Link")</f>
        <v>Link</v>
      </c>
      <c r="B397" s="2" t="s">
        <v>1423</v>
      </c>
      <c r="C397" s="2" t="s">
        <v>1418</v>
      </c>
      <c r="D397" s="2" t="s">
        <v>293</v>
      </c>
      <c r="E397" s="2" t="s">
        <v>1424</v>
      </c>
      <c r="F397" s="2" t="s">
        <v>1425</v>
      </c>
      <c r="G397" s="2" t="s">
        <v>1426</v>
      </c>
      <c r="H397" s="7"/>
      <c r="I397" s="2" t="s">
        <v>9</v>
      </c>
      <c r="K397" t="e">
        <v>#N/A</v>
      </c>
      <c r="L397" s="2" t="s">
        <v>8488</v>
      </c>
      <c r="M397" t="s">
        <v>8026</v>
      </c>
      <c r="N397" s="4"/>
    </row>
    <row r="398" spans="1:14" ht="39" x14ac:dyDescent="0.3">
      <c r="A398" s="1" t="str">
        <f>HYPERLINK("https://ipmanager.doe.gov/IPManager//ExternalLink.aspx?6ibkph2k9yi6F%2B0Vz7YoTipZ798QK%2BbPuhLDUbUSEk0%3D","Link")</f>
        <v>Link</v>
      </c>
      <c r="B398" s="2" t="s">
        <v>1427</v>
      </c>
      <c r="C398" s="2" t="s">
        <v>1418</v>
      </c>
      <c r="D398" s="2" t="s">
        <v>293</v>
      </c>
      <c r="E398" s="2" t="s">
        <v>1428</v>
      </c>
      <c r="F398" s="2" t="s">
        <v>1429</v>
      </c>
      <c r="G398" s="2" t="s">
        <v>1023</v>
      </c>
      <c r="H398" s="7"/>
      <c r="I398" s="2" t="s">
        <v>9</v>
      </c>
      <c r="K398" t="e">
        <v>#N/A</v>
      </c>
      <c r="L398" s="2" t="s">
        <v>8488</v>
      </c>
      <c r="M398" t="s">
        <v>8026</v>
      </c>
      <c r="N398" s="4"/>
    </row>
    <row r="399" spans="1:14" ht="39" x14ac:dyDescent="0.3">
      <c r="A399" s="1" t="str">
        <f>HYPERLINK("https://ipmanager.doe.gov/IPManager//ExternalLink.aspx?6ibkph2k9yi6F%2B0Vz7YoTjnDGhmGHGI7ZJow7%2FaxgFI%3D","Link")</f>
        <v>Link</v>
      </c>
      <c r="B399" s="2" t="s">
        <v>1431</v>
      </c>
      <c r="C399" s="2" t="s">
        <v>1432</v>
      </c>
      <c r="D399" s="2" t="s">
        <v>1433</v>
      </c>
      <c r="E399" s="2" t="s">
        <v>1434</v>
      </c>
      <c r="F399" s="2" t="s">
        <v>1435</v>
      </c>
      <c r="G399" s="2" t="s">
        <v>1436</v>
      </c>
      <c r="H399" s="2"/>
      <c r="I399" s="2" t="s">
        <v>9</v>
      </c>
      <c r="K399" t="e">
        <v>#N/A</v>
      </c>
      <c r="L399" s="2" t="s">
        <v>8489</v>
      </c>
      <c r="M399" t="s">
        <v>8027</v>
      </c>
      <c r="N399" s="4"/>
    </row>
    <row r="400" spans="1:14" ht="39" x14ac:dyDescent="0.3">
      <c r="A400" s="1" t="str">
        <f>HYPERLINK("https://ipmanager.doe.gov/IPManager//ExternalLink.aspx?6ibkph2k9yi6F%2B0Vz7YoTjnDGhmGHGI7R5R6%2F%2BOTEwE%3D","Link")</f>
        <v>Link</v>
      </c>
      <c r="B400" s="2" t="s">
        <v>1437</v>
      </c>
      <c r="C400" s="2" t="s">
        <v>1432</v>
      </c>
      <c r="D400" s="2" t="s">
        <v>1433</v>
      </c>
      <c r="E400" s="2" t="s">
        <v>1434</v>
      </c>
      <c r="F400" s="2" t="s">
        <v>1438</v>
      </c>
      <c r="G400" s="2" t="s">
        <v>9</v>
      </c>
      <c r="H400" s="2"/>
      <c r="I400" s="2" t="s">
        <v>9</v>
      </c>
      <c r="J400" t="s">
        <v>1438</v>
      </c>
      <c r="K400" t="s">
        <v>7810</v>
      </c>
      <c r="L400" s="2" t="s">
        <v>8489</v>
      </c>
      <c r="M400" t="s">
        <v>8027</v>
      </c>
      <c r="N400" s="4"/>
    </row>
    <row r="401" spans="1:14" ht="39" x14ac:dyDescent="0.3">
      <c r="A401" s="1" t="str">
        <f>HYPERLINK("https://ipmanager.doe.gov/IPManager//ExternalLink.aspx?6ibkph2k9yi6F%2B0Vz7YoTipZ798QK%2BbP5wANIT3PtB8%3D","Link")</f>
        <v>Link</v>
      </c>
      <c r="B401" s="2" t="s">
        <v>1445</v>
      </c>
      <c r="C401" s="2" t="s">
        <v>1440</v>
      </c>
      <c r="D401" s="2" t="s">
        <v>8</v>
      </c>
      <c r="E401" s="2" t="s">
        <v>1446</v>
      </c>
      <c r="F401" s="2" t="s">
        <v>1447</v>
      </c>
      <c r="G401" s="2" t="s">
        <v>1448</v>
      </c>
      <c r="H401" s="7"/>
      <c r="I401" s="2" t="s">
        <v>9</v>
      </c>
      <c r="J401" t="s">
        <v>2552</v>
      </c>
      <c r="K401" t="s">
        <v>7811</v>
      </c>
      <c r="L401" s="2" t="s">
        <v>8490</v>
      </c>
      <c r="M401" t="s">
        <v>8028</v>
      </c>
      <c r="N401" s="4"/>
    </row>
    <row r="402" spans="1:14" ht="39" x14ac:dyDescent="0.3">
      <c r="A402" s="1" t="str">
        <f>HYPERLINK("https://ipmanager.doe.gov/IPManager//ExternalLink.aspx?6ibkph2k9yi6F%2B0Vz7YoTipZ798QK%2BbPGE9R2LN7dUg%3D","Link")</f>
        <v>Link</v>
      </c>
      <c r="B402" s="2" t="s">
        <v>1449</v>
      </c>
      <c r="C402" s="2" t="s">
        <v>1440</v>
      </c>
      <c r="D402" s="2" t="s">
        <v>8</v>
      </c>
      <c r="E402" s="2" t="s">
        <v>1450</v>
      </c>
      <c r="F402" s="2" t="s">
        <v>1451</v>
      </c>
      <c r="G402" s="2" t="s">
        <v>1452</v>
      </c>
      <c r="H402" s="7"/>
      <c r="I402" s="2" t="s">
        <v>9</v>
      </c>
      <c r="J402" t="s">
        <v>1505</v>
      </c>
      <c r="K402" t="s">
        <v>7812</v>
      </c>
      <c r="L402" s="2" t="s">
        <v>8490</v>
      </c>
      <c r="M402" t="s">
        <v>8028</v>
      </c>
      <c r="N402" s="4"/>
    </row>
    <row r="403" spans="1:14" ht="39" x14ac:dyDescent="0.3">
      <c r="A403" s="1" t="str">
        <f>HYPERLINK("https://ipmanager.doe.gov/IPManager//ExternalLink.aspx?6ibkph2k9yi6F%2B0Vz7YoTr7J5I%2BY4foYLW7pEXzBIcA%3D","Link")</f>
        <v>Link</v>
      </c>
      <c r="B403" s="2" t="s">
        <v>1453</v>
      </c>
      <c r="C403" s="2" t="s">
        <v>1440</v>
      </c>
      <c r="D403" s="2" t="s">
        <v>8</v>
      </c>
      <c r="E403" s="2" t="s">
        <v>1450</v>
      </c>
      <c r="F403" s="2" t="s">
        <v>1454</v>
      </c>
      <c r="G403" s="2" t="s">
        <v>205</v>
      </c>
      <c r="H403" s="7"/>
      <c r="I403" s="2" t="s">
        <v>9</v>
      </c>
      <c r="J403" t="s">
        <v>1454</v>
      </c>
      <c r="K403" t="s">
        <v>7813</v>
      </c>
      <c r="L403" s="2" t="s">
        <v>8490</v>
      </c>
      <c r="M403" t="s">
        <v>8028</v>
      </c>
      <c r="N403" s="4"/>
    </row>
    <row r="404" spans="1:14" ht="39" x14ac:dyDescent="0.3">
      <c r="A404" s="1" t="str">
        <f>HYPERLINK("https://ipmanager.doe.gov/IPManager//ExternalLink.aspx?6ibkph2k9yi6F%2B0Vz7YoTp68px7nSN2gt0ANAAeHTj0%3D","Link")</f>
        <v>Link</v>
      </c>
      <c r="B404" s="2" t="s">
        <v>1457</v>
      </c>
      <c r="C404" s="2" t="s">
        <v>1440</v>
      </c>
      <c r="D404" s="2" t="s">
        <v>8</v>
      </c>
      <c r="E404" s="2" t="s">
        <v>1446</v>
      </c>
      <c r="F404" s="2" t="s">
        <v>1458</v>
      </c>
      <c r="G404" s="2" t="s">
        <v>1459</v>
      </c>
      <c r="H404" s="7"/>
      <c r="I404" s="2" t="s">
        <v>9</v>
      </c>
      <c r="J404" t="s">
        <v>1458</v>
      </c>
      <c r="K404" t="s">
        <v>7814</v>
      </c>
      <c r="L404" s="2" t="s">
        <v>8490</v>
      </c>
      <c r="M404" t="s">
        <v>8028</v>
      </c>
      <c r="N404" s="4"/>
    </row>
    <row r="405" spans="1:14" ht="39" x14ac:dyDescent="0.3">
      <c r="A405" s="1" t="str">
        <f>HYPERLINK("https://ipmanager.doe.gov/IPManager//ExternalLink.aspx?6ibkph2k9yi6F%2B0Vz7YoTp68px7nSN2gRNMUTN5uX4s%3D","Link")</f>
        <v>Link</v>
      </c>
      <c r="B405" s="2" t="s">
        <v>1465</v>
      </c>
      <c r="C405" s="2" t="s">
        <v>1440</v>
      </c>
      <c r="D405" s="2" t="s">
        <v>8</v>
      </c>
      <c r="E405" s="2" t="s">
        <v>1450</v>
      </c>
      <c r="F405" s="2" t="s">
        <v>1455</v>
      </c>
      <c r="G405" s="2" t="s">
        <v>1456</v>
      </c>
      <c r="H405" s="7"/>
      <c r="I405" s="2" t="s">
        <v>9</v>
      </c>
      <c r="J405" t="s">
        <v>1395</v>
      </c>
      <c r="K405" t="s">
        <v>7808</v>
      </c>
      <c r="L405" s="2" t="s">
        <v>8490</v>
      </c>
      <c r="M405" t="s">
        <v>8028</v>
      </c>
      <c r="N405" s="4"/>
    </row>
    <row r="406" spans="1:14" ht="26" x14ac:dyDescent="0.3">
      <c r="A406" s="1" t="str">
        <f>HYPERLINK("https://ipmanager.doe.gov/IPManager//ExternalLink.aspx?6ibkph2k9yi6F%2B0Vz7YoTp68px7nSN2gngP9TIv708g%3D","Link")</f>
        <v>Link</v>
      </c>
      <c r="B406" s="2" t="s">
        <v>1460</v>
      </c>
      <c r="C406" s="2" t="s">
        <v>1440</v>
      </c>
      <c r="D406" s="2" t="s">
        <v>1461</v>
      </c>
      <c r="E406" s="2" t="s">
        <v>1462</v>
      </c>
      <c r="F406" s="2" t="s">
        <v>1463</v>
      </c>
      <c r="G406" s="2" t="s">
        <v>1046</v>
      </c>
      <c r="H406" s="2"/>
      <c r="I406" s="2" t="s">
        <v>9</v>
      </c>
      <c r="J406" t="s">
        <v>1463</v>
      </c>
      <c r="K406" t="s">
        <v>7683</v>
      </c>
      <c r="L406" s="2" t="s">
        <v>8490</v>
      </c>
      <c r="M406" t="s">
        <v>8028</v>
      </c>
      <c r="N406" s="4"/>
    </row>
    <row r="407" spans="1:14" ht="26" x14ac:dyDescent="0.3">
      <c r="A407" s="1" t="str">
        <f>HYPERLINK("https://ipmanager.doe.gov/IPManager//ExternalLink.aspx?6ibkph2k9yi6F%2B0Vz7YoTsTAnuFk5EoABc61kE0eqvU%3D","Link")</f>
        <v>Link</v>
      </c>
      <c r="B407" s="2" t="s">
        <v>1466</v>
      </c>
      <c r="C407" s="2" t="s">
        <v>1440</v>
      </c>
      <c r="D407" s="2" t="s">
        <v>1461</v>
      </c>
      <c r="E407" s="2" t="s">
        <v>1462</v>
      </c>
      <c r="F407" s="2" t="s">
        <v>1464</v>
      </c>
      <c r="G407" s="2" t="s">
        <v>1046</v>
      </c>
      <c r="H407" s="2"/>
      <c r="I407" s="2" t="s">
        <v>9</v>
      </c>
      <c r="K407" t="e">
        <v>#N/A</v>
      </c>
      <c r="L407" s="2" t="s">
        <v>8490</v>
      </c>
      <c r="M407" t="s">
        <v>8028</v>
      </c>
      <c r="N407" s="4"/>
    </row>
    <row r="408" spans="1:14" ht="52" x14ac:dyDescent="0.3">
      <c r="A408" s="1" t="str">
        <f>HYPERLINK("https://ipmanager.doe.gov/IPManager//ExternalLink.aspx?6ibkph2k9yi6F%2B0Vz7YoTipZ798QK%2BbPw%2FdZpbpLWTY%3D","Link")</f>
        <v>Link</v>
      </c>
      <c r="B408" s="2" t="s">
        <v>1439</v>
      </c>
      <c r="C408" s="2" t="s">
        <v>1440</v>
      </c>
      <c r="D408" s="2" t="s">
        <v>1441</v>
      </c>
      <c r="E408" s="2" t="s">
        <v>1442</v>
      </c>
      <c r="F408" s="2"/>
      <c r="G408" s="2" t="s">
        <v>9</v>
      </c>
      <c r="H408" s="7"/>
      <c r="I408" s="2" t="s">
        <v>9</v>
      </c>
      <c r="K408" t="e">
        <v>#N/A</v>
      </c>
      <c r="L408" s="2" t="s">
        <v>8490</v>
      </c>
      <c r="M408" t="s">
        <v>8028</v>
      </c>
      <c r="N408" s="4"/>
    </row>
    <row r="409" spans="1:14" ht="52" x14ac:dyDescent="0.3">
      <c r="A409" s="1" t="str">
        <f>HYPERLINK("https://ipmanager.doe.gov/IPManager//ExternalLink.aspx?6ibkph2k9yi6F%2B0Vz7YoTo7DPLa3%2F%2FGgcs8MlIx%2FXGI%3D","Link")</f>
        <v>Link</v>
      </c>
      <c r="B409" s="2" t="s">
        <v>1443</v>
      </c>
      <c r="C409" s="2" t="s">
        <v>1440</v>
      </c>
      <c r="D409" s="2" t="s">
        <v>1441</v>
      </c>
      <c r="E409" s="2" t="s">
        <v>1444</v>
      </c>
      <c r="F409" s="2"/>
      <c r="G409" s="2" t="s">
        <v>9</v>
      </c>
      <c r="H409" s="7"/>
      <c r="I409" s="2" t="s">
        <v>9</v>
      </c>
      <c r="K409" t="e">
        <v>#N/A</v>
      </c>
      <c r="L409" s="2" t="s">
        <v>8490</v>
      </c>
      <c r="M409" t="s">
        <v>8028</v>
      </c>
      <c r="N409" s="4"/>
    </row>
    <row r="410" spans="1:14" ht="26" x14ac:dyDescent="0.3">
      <c r="A410" s="1" t="str">
        <f>HYPERLINK("https://ipmanager.doe.gov/IPManager//ExternalLink.aspx?6ibkph2k9yi6F%2B0Vz7YoTipZ798QK%2BbPSkIeryIzq3Q%3D","Link")</f>
        <v>Link</v>
      </c>
      <c r="B410" s="2" t="s">
        <v>1467</v>
      </c>
      <c r="C410" s="2" t="s">
        <v>1440</v>
      </c>
      <c r="D410" s="2" t="s">
        <v>1461</v>
      </c>
      <c r="E410" s="2" t="s">
        <v>1468</v>
      </c>
      <c r="F410" s="2"/>
      <c r="G410" s="2" t="s">
        <v>9</v>
      </c>
      <c r="H410" s="7"/>
      <c r="I410" s="2" t="s">
        <v>9</v>
      </c>
      <c r="K410" t="e">
        <v>#N/A</v>
      </c>
      <c r="L410" s="2" t="s">
        <v>8490</v>
      </c>
      <c r="M410" t="s">
        <v>8028</v>
      </c>
      <c r="N410" s="4"/>
    </row>
    <row r="411" spans="1:14" ht="65" x14ac:dyDescent="0.3">
      <c r="A411" s="1" t="str">
        <f>HYPERLINK("https://ipmanager.doe.gov/IPManager//ExternalLink.aspx?6ibkph2k9yi6F%2B0Vz7YoTipZ798QK%2BbP%2BUvbBQIolsU%3D","Link")</f>
        <v>Link</v>
      </c>
      <c r="B411" s="2" t="s">
        <v>1470</v>
      </c>
      <c r="C411" s="2" t="s">
        <v>1440</v>
      </c>
      <c r="D411" s="2" t="s">
        <v>1461</v>
      </c>
      <c r="E411" s="2" t="s">
        <v>1471</v>
      </c>
      <c r="F411" s="2"/>
      <c r="G411" s="2" t="s">
        <v>9</v>
      </c>
      <c r="H411" s="7"/>
      <c r="I411" s="2" t="s">
        <v>9</v>
      </c>
      <c r="K411" t="e">
        <v>#N/A</v>
      </c>
      <c r="L411" s="2" t="s">
        <v>8490</v>
      </c>
      <c r="M411" t="s">
        <v>8028</v>
      </c>
      <c r="N411" s="4"/>
    </row>
    <row r="412" spans="1:14" ht="39" x14ac:dyDescent="0.3">
      <c r="A412" s="1" t="str">
        <f>HYPERLINK("https://ipmanager.doe.gov/IPManager//ExternalLink.aspx?6ibkph2k9yi6F%2B0Vz7YoTjnDGhmGHGI79VECHziQuSs%3D","Link")</f>
        <v>Link</v>
      </c>
      <c r="B412" s="2" t="s">
        <v>1486</v>
      </c>
      <c r="C412" s="2" t="s">
        <v>1473</v>
      </c>
      <c r="D412" s="2" t="s">
        <v>1474</v>
      </c>
      <c r="E412" s="2" t="s">
        <v>1487</v>
      </c>
      <c r="F412" s="2"/>
      <c r="G412" s="2" t="s">
        <v>9</v>
      </c>
      <c r="H412" s="7"/>
      <c r="I412" s="2" t="s">
        <v>9</v>
      </c>
      <c r="K412" t="e">
        <v>#N/A</v>
      </c>
      <c r="L412" s="2" t="s">
        <v>8491</v>
      </c>
      <c r="M412" t="s">
        <v>8029</v>
      </c>
      <c r="N412" s="4"/>
    </row>
    <row r="413" spans="1:14" ht="91" x14ac:dyDescent="0.3">
      <c r="A413" s="1" t="str">
        <f>HYPERLINK("https://ipmanager.doe.gov/IPManager//ExternalLink.aspx?6ibkph2k9yi6F%2B0Vz7YoTvPUg%2FVZPl3iTeNEXtzsrQQ%3D","Link")</f>
        <v>Link</v>
      </c>
      <c r="B413" s="2" t="s">
        <v>1488</v>
      </c>
      <c r="C413" s="2" t="s">
        <v>1473</v>
      </c>
      <c r="D413" s="2" t="s">
        <v>1474</v>
      </c>
      <c r="E413" s="2" t="s">
        <v>1489</v>
      </c>
      <c r="F413" s="2"/>
      <c r="G413" s="2" t="s">
        <v>9</v>
      </c>
      <c r="H413" s="7"/>
      <c r="I413" s="2" t="s">
        <v>9</v>
      </c>
      <c r="K413" t="e">
        <v>#N/A</v>
      </c>
      <c r="L413" s="2" t="s">
        <v>8491</v>
      </c>
      <c r="M413" t="s">
        <v>8029</v>
      </c>
      <c r="N413" s="4"/>
    </row>
    <row r="414" spans="1:14" ht="52" x14ac:dyDescent="0.3">
      <c r="A414" s="1" t="str">
        <f>HYPERLINK("https://ipmanager.doe.gov/IPManager//ExternalLink.aspx?6ibkph2k9yi6F%2B0Vz7YoTo7DPLa3%2F%2FGgaG30gkqcGUA%3D","Link")</f>
        <v>Link</v>
      </c>
      <c r="B414" s="2" t="s">
        <v>1490</v>
      </c>
      <c r="C414" s="2" t="s">
        <v>1473</v>
      </c>
      <c r="D414" s="2" t="s">
        <v>1474</v>
      </c>
      <c r="E414" s="2" t="s">
        <v>1491</v>
      </c>
      <c r="F414" s="2"/>
      <c r="G414" s="2" t="s">
        <v>9</v>
      </c>
      <c r="H414" s="7"/>
      <c r="I414" s="2" t="s">
        <v>9</v>
      </c>
      <c r="K414" t="e">
        <v>#N/A</v>
      </c>
      <c r="L414" s="2" t="s">
        <v>8491</v>
      </c>
      <c r="M414" t="s">
        <v>8029</v>
      </c>
      <c r="N414" s="4"/>
    </row>
    <row r="415" spans="1:14" ht="65" x14ac:dyDescent="0.3">
      <c r="A415" s="1" t="str">
        <f>HYPERLINK("https://ipmanager.doe.gov/IPManager//ExternalLink.aspx?6ibkph2k9yi6F%2B0Vz7YoTipZ798QK%2BbPFcqNuATyZsA%3D","Link")</f>
        <v>Link</v>
      </c>
      <c r="B415" s="2" t="s">
        <v>1472</v>
      </c>
      <c r="C415" s="2" t="s">
        <v>1473</v>
      </c>
      <c r="D415" s="2" t="s">
        <v>1474</v>
      </c>
      <c r="E415" s="2" t="s">
        <v>1475</v>
      </c>
      <c r="F415" s="2" t="s">
        <v>1476</v>
      </c>
      <c r="G415" s="2" t="s">
        <v>1477</v>
      </c>
      <c r="H415" s="7"/>
      <c r="I415" s="2" t="s">
        <v>9</v>
      </c>
      <c r="K415" t="e">
        <v>#N/A</v>
      </c>
      <c r="L415" s="2" t="s">
        <v>8491</v>
      </c>
      <c r="M415" t="s">
        <v>8029</v>
      </c>
      <c r="N415" s="4"/>
    </row>
    <row r="416" spans="1:14" ht="39" x14ac:dyDescent="0.3">
      <c r="A416" s="1" t="str">
        <f>HYPERLINK("https://ipmanager.doe.gov/IPManager//ExternalLink.aspx?6ibkph2k9yi6F%2B0Vz7YoTipZ798QK%2BbP%2F4OcWRvHsiI%3D","Link")</f>
        <v>Link</v>
      </c>
      <c r="B416" s="2" t="s">
        <v>1479</v>
      </c>
      <c r="C416" s="2" t="s">
        <v>1473</v>
      </c>
      <c r="D416" s="2" t="s">
        <v>1474</v>
      </c>
      <c r="E416" s="2" t="s">
        <v>1480</v>
      </c>
      <c r="F416" s="2" t="s">
        <v>1481</v>
      </c>
      <c r="G416" s="2" t="s">
        <v>1482</v>
      </c>
      <c r="H416" s="7"/>
      <c r="I416" s="2" t="s">
        <v>9</v>
      </c>
      <c r="K416" t="e">
        <v>#N/A</v>
      </c>
      <c r="L416" s="2" t="s">
        <v>8491</v>
      </c>
      <c r="M416" t="s">
        <v>8029</v>
      </c>
      <c r="N416" s="4"/>
    </row>
    <row r="417" spans="1:14" ht="39" x14ac:dyDescent="0.3">
      <c r="A417" s="1" t="str">
        <f>HYPERLINK("https://ipmanager.doe.gov/IPManager//ExternalLink.aspx?6ibkph2k9yi6F%2B0Vz7YoTipZ798QK%2BbP%2FfiiBRGwaM0%3D","Link")</f>
        <v>Link</v>
      </c>
      <c r="B417" s="2" t="s">
        <v>1484</v>
      </c>
      <c r="C417" s="2" t="s">
        <v>1473</v>
      </c>
      <c r="D417" s="2" t="s">
        <v>1474</v>
      </c>
      <c r="E417" s="2" t="s">
        <v>1480</v>
      </c>
      <c r="F417" s="2" t="s">
        <v>1485</v>
      </c>
      <c r="G417" s="2" t="s">
        <v>1483</v>
      </c>
      <c r="H417" s="7"/>
      <c r="I417" s="2" t="s">
        <v>9</v>
      </c>
      <c r="J417" t="s">
        <v>1485</v>
      </c>
      <c r="K417" t="s">
        <v>7703</v>
      </c>
      <c r="L417" s="2" t="s">
        <v>8491</v>
      </c>
      <c r="M417" t="s">
        <v>8029</v>
      </c>
      <c r="N417" s="4"/>
    </row>
    <row r="418" spans="1:14" ht="52" x14ac:dyDescent="0.3">
      <c r="A418" s="1" t="str">
        <f>HYPERLINK("https://ipmanager.doe.gov/IPManager//ExternalLink.aspx?6ibkph2k9yi6F%2B0Vz7YoTo7DPLa3%2F%2FGgbfU6CL7wewg%3D","Link")</f>
        <v>Link</v>
      </c>
      <c r="B418" s="2" t="s">
        <v>1492</v>
      </c>
      <c r="C418" s="2" t="s">
        <v>1473</v>
      </c>
      <c r="D418" s="2" t="s">
        <v>1474</v>
      </c>
      <c r="E418" s="2" t="s">
        <v>1493</v>
      </c>
      <c r="F418" s="2" t="s">
        <v>1476</v>
      </c>
      <c r="G418" s="2" t="s">
        <v>1477</v>
      </c>
      <c r="H418" s="7"/>
      <c r="I418" s="2" t="s">
        <v>9</v>
      </c>
      <c r="K418" t="e">
        <v>#N/A</v>
      </c>
      <c r="L418" s="2" t="s">
        <v>8491</v>
      </c>
      <c r="M418" t="s">
        <v>8029</v>
      </c>
      <c r="N418" s="4"/>
    </row>
    <row r="419" spans="1:14" ht="39" x14ac:dyDescent="0.3">
      <c r="A419" s="1" t="str">
        <f>HYPERLINK("https://ipmanager.doe.gov/IPManager//ExternalLink.aspx?6ibkph2k9yi6F%2B0Vz7YoTipZ798QK%2BbPTe72Pq4Uy5Q%3D","Link")</f>
        <v>Link</v>
      </c>
      <c r="B419" s="2" t="s">
        <v>1495</v>
      </c>
      <c r="C419" s="2" t="s">
        <v>1473</v>
      </c>
      <c r="D419" s="2" t="s">
        <v>1474</v>
      </c>
      <c r="E419" s="2" t="s">
        <v>1496</v>
      </c>
      <c r="F419" s="2" t="s">
        <v>1497</v>
      </c>
      <c r="G419" s="2" t="s">
        <v>1498</v>
      </c>
      <c r="H419" s="7"/>
      <c r="I419" s="2" t="s">
        <v>9</v>
      </c>
      <c r="K419" t="e">
        <v>#N/A</v>
      </c>
      <c r="L419" s="2" t="s">
        <v>8491</v>
      </c>
      <c r="M419" t="s">
        <v>8029</v>
      </c>
      <c r="N419" s="4"/>
    </row>
    <row r="420" spans="1:14" ht="39" x14ac:dyDescent="0.3">
      <c r="A420" s="1" t="str">
        <f>HYPERLINK("https://ipmanager.doe.gov/IPManager//ExternalLink.aspx?6ibkph2k9yi6F%2B0Vz7YoTipZ798QK%2BbPJhNoirBfvAI%3D","Link")</f>
        <v>Link</v>
      </c>
      <c r="B420" s="2" t="s">
        <v>1499</v>
      </c>
      <c r="C420" s="2" t="s">
        <v>1500</v>
      </c>
      <c r="D420" s="2" t="s">
        <v>878</v>
      </c>
      <c r="E420" s="2" t="s">
        <v>1501</v>
      </c>
      <c r="F420" s="2" t="s">
        <v>1502</v>
      </c>
      <c r="G420" s="2" t="s">
        <v>1503</v>
      </c>
      <c r="H420" s="7"/>
      <c r="I420" s="2" t="s">
        <v>9</v>
      </c>
      <c r="K420" t="e">
        <v>#N/A</v>
      </c>
      <c r="L420" s="2" t="s">
        <v>8492</v>
      </c>
      <c r="M420" t="s">
        <v>8030</v>
      </c>
      <c r="N420" s="4"/>
    </row>
    <row r="421" spans="1:14" ht="39" x14ac:dyDescent="0.3">
      <c r="A421" s="1" t="str">
        <f>HYPERLINK("https://ipmanager.doe.gov/IPManager//ExternalLink.aspx?6ibkph2k9yi6F%2B0Vz7YoTr7J5I%2BY4foYLs4T5bSnaoI%3D","Link")</f>
        <v>Link</v>
      </c>
      <c r="B421" s="2" t="s">
        <v>1504</v>
      </c>
      <c r="C421" s="2" t="s">
        <v>1500</v>
      </c>
      <c r="D421" s="2" t="s">
        <v>878</v>
      </c>
      <c r="E421" s="2" t="s">
        <v>1501</v>
      </c>
      <c r="F421" s="2" t="s">
        <v>1505</v>
      </c>
      <c r="G421" s="2" t="s">
        <v>1506</v>
      </c>
      <c r="H421" s="7"/>
      <c r="I421" s="2" t="s">
        <v>9</v>
      </c>
      <c r="J421" t="s">
        <v>1505</v>
      </c>
      <c r="K421" t="s">
        <v>7812</v>
      </c>
      <c r="L421" s="2" t="s">
        <v>8492</v>
      </c>
      <c r="M421" t="s">
        <v>8030</v>
      </c>
      <c r="N421" s="4"/>
    </row>
    <row r="422" spans="1:14" ht="39" x14ac:dyDescent="0.3">
      <c r="A422" s="1" t="str">
        <f>HYPERLINK("https://ipmanager.doe.gov/IPManager//ExternalLink.aspx?6ibkph2k9yi6F%2B0Vz7YoTjnDGhmGHGI7kLLAfovmjQ4%3D","Link")</f>
        <v>Link</v>
      </c>
      <c r="B422" s="2" t="s">
        <v>1510</v>
      </c>
      <c r="C422" s="2" t="s">
        <v>1500</v>
      </c>
      <c r="D422" s="2" t="s">
        <v>878</v>
      </c>
      <c r="E422" s="2" t="s">
        <v>1507</v>
      </c>
      <c r="F422" s="2" t="s">
        <v>1511</v>
      </c>
      <c r="G422" s="2" t="s">
        <v>1512</v>
      </c>
      <c r="H422" s="7"/>
      <c r="I422" s="2" t="s">
        <v>9</v>
      </c>
      <c r="K422" t="e">
        <v>#N/A</v>
      </c>
      <c r="L422" s="2" t="s">
        <v>8492</v>
      </c>
      <c r="M422" t="s">
        <v>8030</v>
      </c>
      <c r="N422" s="4"/>
    </row>
    <row r="423" spans="1:14" ht="143" x14ac:dyDescent="0.3">
      <c r="A423" s="1" t="str">
        <f>HYPERLINK("https://ipmanager.doe.gov/IPManager//ExternalLink.aspx?6ibkph2k9yi6F%2B0Vz7YoTjnDGhmGHGI7Pe46LrPovwA%3D","Link")</f>
        <v>Link</v>
      </c>
      <c r="B423" s="2" t="s">
        <v>1513</v>
      </c>
      <c r="C423" s="2" t="s">
        <v>1500</v>
      </c>
      <c r="D423" s="2" t="s">
        <v>878</v>
      </c>
      <c r="E423" s="2" t="s">
        <v>1514</v>
      </c>
      <c r="F423" s="2" t="s">
        <v>1515</v>
      </c>
      <c r="G423" s="2" t="s">
        <v>1503</v>
      </c>
      <c r="H423" s="7"/>
      <c r="I423" s="2" t="s">
        <v>9</v>
      </c>
      <c r="K423" t="e">
        <v>#N/A</v>
      </c>
      <c r="L423" s="2" t="s">
        <v>8492</v>
      </c>
      <c r="M423" t="s">
        <v>8030</v>
      </c>
      <c r="N423" s="4"/>
    </row>
    <row r="424" spans="1:14" ht="143" x14ac:dyDescent="0.3">
      <c r="A424" s="1" t="str">
        <f>HYPERLINK("https://ipmanager.doe.gov/IPManager//ExternalLink.aspx?6ibkph2k9yi6F%2B0Vz7YoTvPUg%2FVZPl3iJGwvcZE29%2BE%3D","Link")</f>
        <v>Link</v>
      </c>
      <c r="B424" s="2" t="s">
        <v>1516</v>
      </c>
      <c r="C424" s="2" t="s">
        <v>1500</v>
      </c>
      <c r="D424" s="2" t="s">
        <v>878</v>
      </c>
      <c r="E424" s="2" t="s">
        <v>1514</v>
      </c>
      <c r="F424" s="2" t="s">
        <v>1517</v>
      </c>
      <c r="G424" s="2" t="s">
        <v>92</v>
      </c>
      <c r="H424" s="7"/>
      <c r="I424" s="2" t="s">
        <v>9</v>
      </c>
      <c r="K424" t="e">
        <v>#N/A</v>
      </c>
      <c r="L424" s="2" t="s">
        <v>8492</v>
      </c>
      <c r="M424" t="s">
        <v>8030</v>
      </c>
      <c r="N424" s="4"/>
    </row>
    <row r="425" spans="1:14" ht="143" x14ac:dyDescent="0.3">
      <c r="A425" s="1" t="str">
        <f>HYPERLINK("https://ipmanager.doe.gov/IPManager//ExternalLink.aspx?6ibkph2k9yi6F%2B0Vz7YoTvPUg%2FVZPl3ih3DRIFtviXg%3D","Link")</f>
        <v>Link</v>
      </c>
      <c r="B425" s="2" t="s">
        <v>1518</v>
      </c>
      <c r="C425" s="2" t="s">
        <v>1500</v>
      </c>
      <c r="D425" s="2" t="s">
        <v>878</v>
      </c>
      <c r="E425" s="2" t="s">
        <v>1514</v>
      </c>
      <c r="F425" s="2" t="s">
        <v>1508</v>
      </c>
      <c r="G425" s="2" t="s">
        <v>1519</v>
      </c>
      <c r="H425" s="7"/>
      <c r="I425" s="2" t="s">
        <v>9</v>
      </c>
      <c r="K425" t="e">
        <v>#N/A</v>
      </c>
      <c r="L425" s="2" t="s">
        <v>8492</v>
      </c>
      <c r="M425" t="s">
        <v>8030</v>
      </c>
      <c r="N425" s="4"/>
    </row>
    <row r="426" spans="1:14" ht="52" x14ac:dyDescent="0.3">
      <c r="A426" s="1" t="str">
        <f>HYPERLINK("https://ipmanager.doe.gov/IPManager//ExternalLink.aspx?6ibkph2k9yi6F%2B0Vz7YoTvPUg%2FVZPl3iMhJtXnopJ0I%3D","Link")</f>
        <v>Link</v>
      </c>
      <c r="B426" s="2" t="s">
        <v>1520</v>
      </c>
      <c r="C426" s="2" t="s">
        <v>1500</v>
      </c>
      <c r="D426" s="2" t="s">
        <v>903</v>
      </c>
      <c r="E426" s="2" t="s">
        <v>1521</v>
      </c>
      <c r="F426" s="2" t="s">
        <v>1522</v>
      </c>
      <c r="G426" s="2" t="s">
        <v>1523</v>
      </c>
      <c r="H426" s="7"/>
      <c r="I426" s="2" t="s">
        <v>9</v>
      </c>
      <c r="K426" t="e">
        <v>#N/A</v>
      </c>
      <c r="L426" s="2" t="s">
        <v>8492</v>
      </c>
      <c r="M426" t="s">
        <v>8030</v>
      </c>
      <c r="N426" s="4"/>
    </row>
    <row r="427" spans="1:14" ht="52" x14ac:dyDescent="0.3">
      <c r="A427" s="1" t="str">
        <f>HYPERLINK("https://ipmanager.doe.gov/IPManager//ExternalLink.aspx?6ibkph2k9yi6F%2B0Vz7YoTjN2oADz%2F5MxtDjEnZjKyrk%3D","Link")</f>
        <v>Link</v>
      </c>
      <c r="B427" s="2" t="s">
        <v>1532</v>
      </c>
      <c r="C427" s="2" t="s">
        <v>1525</v>
      </c>
      <c r="D427" s="2" t="s">
        <v>1533</v>
      </c>
      <c r="E427" s="2" t="s">
        <v>1534</v>
      </c>
      <c r="F427" s="2" t="s">
        <v>1535</v>
      </c>
      <c r="G427" s="2" t="s">
        <v>327</v>
      </c>
      <c r="H427" s="7">
        <v>9410736</v>
      </c>
      <c r="I427" s="2" t="s">
        <v>1194</v>
      </c>
      <c r="J427" t="s">
        <v>7462</v>
      </c>
      <c r="K427" t="s">
        <v>7815</v>
      </c>
      <c r="L427" s="2" t="s">
        <v>8493</v>
      </c>
      <c r="M427" t="s">
        <v>8031</v>
      </c>
    </row>
    <row r="428" spans="1:14" ht="39" x14ac:dyDescent="0.3">
      <c r="A428" s="1" t="str">
        <f>HYPERLINK("https://ipmanager.doe.gov/IPManager//ExternalLink.aspx?6ibkph2k9yi6F%2B0Vz7YoTjnDGhmGHGI7l35rvjPwh%2Fw%3D","Link")</f>
        <v>Link</v>
      </c>
      <c r="B428" s="2" t="s">
        <v>1539</v>
      </c>
      <c r="C428" s="2" t="s">
        <v>1525</v>
      </c>
      <c r="D428" s="2" t="s">
        <v>1533</v>
      </c>
      <c r="E428" s="2" t="s">
        <v>1540</v>
      </c>
      <c r="F428" s="2"/>
      <c r="G428" s="2" t="s">
        <v>9</v>
      </c>
      <c r="H428" s="7"/>
      <c r="I428" s="2" t="s">
        <v>9</v>
      </c>
      <c r="K428" t="e">
        <v>#N/A</v>
      </c>
      <c r="L428" s="2" t="s">
        <v>8493</v>
      </c>
      <c r="M428" t="s">
        <v>8031</v>
      </c>
      <c r="N428" s="4"/>
    </row>
    <row r="429" spans="1:14" ht="39" x14ac:dyDescent="0.3">
      <c r="A429" s="1" t="str">
        <f>HYPERLINK("https://ipmanager.doe.gov/IPManager//ExternalLink.aspx?6ibkph2k9yi6F%2B0Vz7YoTjnDGhmGHGI7%2Fr%2F%2Bio8s1WQ%3D","Link")</f>
        <v>Link</v>
      </c>
      <c r="B429" s="2" t="s">
        <v>1541</v>
      </c>
      <c r="C429" s="2" t="s">
        <v>1525</v>
      </c>
      <c r="D429" s="2" t="s">
        <v>1533</v>
      </c>
      <c r="E429" s="2" t="s">
        <v>1542</v>
      </c>
      <c r="F429" s="2"/>
      <c r="G429" s="2" t="s">
        <v>9</v>
      </c>
      <c r="H429" s="7"/>
      <c r="I429" s="2" t="s">
        <v>9</v>
      </c>
      <c r="K429" t="e">
        <v>#N/A</v>
      </c>
      <c r="L429" s="2" t="s">
        <v>8493</v>
      </c>
      <c r="M429" t="s">
        <v>8031</v>
      </c>
      <c r="N429" s="4"/>
    </row>
    <row r="430" spans="1:14" ht="39" x14ac:dyDescent="0.3">
      <c r="A430" s="1" t="str">
        <f>HYPERLINK("https://ipmanager.doe.gov/IPManager//ExternalLink.aspx?6ibkph2k9yi6F%2B0Vz7YoTjnDGhmGHGI7sugmaUu1hsI%3D","Link")</f>
        <v>Link</v>
      </c>
      <c r="B430" s="2" t="s">
        <v>1543</v>
      </c>
      <c r="C430" s="2" t="s">
        <v>1525</v>
      </c>
      <c r="D430" s="2" t="s">
        <v>1533</v>
      </c>
      <c r="E430" s="2" t="s">
        <v>1544</v>
      </c>
      <c r="F430" s="2"/>
      <c r="G430" s="2" t="s">
        <v>9</v>
      </c>
      <c r="H430" s="7"/>
      <c r="I430" s="2" t="s">
        <v>9</v>
      </c>
      <c r="K430" t="e">
        <v>#N/A</v>
      </c>
      <c r="L430" s="2" t="s">
        <v>8493</v>
      </c>
      <c r="M430" t="s">
        <v>8031</v>
      </c>
      <c r="N430" s="4"/>
    </row>
    <row r="431" spans="1:14" ht="65" x14ac:dyDescent="0.3">
      <c r="A431" s="1" t="str">
        <f>HYPERLINK("https://ipmanager.doe.gov/IPManager//ExternalLink.aspx?6ibkph2k9yi6F%2B0Vz7YoTjnDGhmGHGI7EjzWs618By8%3D","Link")</f>
        <v>Link</v>
      </c>
      <c r="B431" s="2" t="s">
        <v>1549</v>
      </c>
      <c r="C431" s="2" t="s">
        <v>1525</v>
      </c>
      <c r="D431" s="2" t="s">
        <v>1533</v>
      </c>
      <c r="E431" s="2" t="s">
        <v>1550</v>
      </c>
      <c r="F431" s="2" t="s">
        <v>1551</v>
      </c>
      <c r="G431" s="2" t="s">
        <v>1030</v>
      </c>
      <c r="H431" s="8">
        <v>8764885</v>
      </c>
      <c r="I431" s="2" t="s">
        <v>1552</v>
      </c>
      <c r="J431" t="s">
        <v>7463</v>
      </c>
      <c r="K431" t="s">
        <v>7816</v>
      </c>
      <c r="L431" s="2" t="s">
        <v>8493</v>
      </c>
      <c r="M431" t="s">
        <v>8031</v>
      </c>
    </row>
    <row r="432" spans="1:14" ht="39" x14ac:dyDescent="0.3">
      <c r="A432" s="1" t="str">
        <f>HYPERLINK("https://ipmanager.doe.gov/IPManager//ExternalLink.aspx?6ibkph2k9yi6F%2B0Vz7YoTlNm8snv%2FZpHMDMZzbeAtv8%3D","Link")</f>
        <v>Link</v>
      </c>
      <c r="B432" s="2" t="s">
        <v>1553</v>
      </c>
      <c r="C432" s="2" t="s">
        <v>1525</v>
      </c>
      <c r="D432" s="2" t="s">
        <v>1533</v>
      </c>
      <c r="E432" s="2" t="s">
        <v>1554</v>
      </c>
      <c r="F432" s="2" t="s">
        <v>1555</v>
      </c>
      <c r="G432" s="2" t="s">
        <v>652</v>
      </c>
      <c r="H432" s="7">
        <v>8646538</v>
      </c>
      <c r="I432" s="2" t="s">
        <v>1556</v>
      </c>
      <c r="J432" t="s">
        <v>7464</v>
      </c>
      <c r="K432" t="s">
        <v>7817</v>
      </c>
      <c r="L432" s="2" t="s">
        <v>8493</v>
      </c>
      <c r="M432" t="s">
        <v>8031</v>
      </c>
    </row>
    <row r="433" spans="1:14" ht="39" x14ac:dyDescent="0.3">
      <c r="A433" s="1" t="str">
        <f>HYPERLINK("https://ipmanager.doe.gov/IPManager//ExternalLink.aspx?6ibkph2k9yi6F%2B0Vz7YoTipZ798QK%2BbP5EdUNGJ2ebA%3D","Link")</f>
        <v>Link</v>
      </c>
      <c r="B433" s="2" t="s">
        <v>1524</v>
      </c>
      <c r="C433" s="2" t="s">
        <v>1525</v>
      </c>
      <c r="D433" s="2" t="s">
        <v>1285</v>
      </c>
      <c r="E433" s="2" t="s">
        <v>1526</v>
      </c>
      <c r="F433" s="2" t="s">
        <v>1527</v>
      </c>
      <c r="G433" s="2" t="s">
        <v>1528</v>
      </c>
      <c r="H433" s="7"/>
      <c r="I433" s="2" t="s">
        <v>9</v>
      </c>
      <c r="K433" t="e">
        <v>#N/A</v>
      </c>
      <c r="L433" s="2" t="s">
        <v>8493</v>
      </c>
      <c r="M433" t="s">
        <v>8031</v>
      </c>
      <c r="N433" s="4"/>
    </row>
    <row r="434" spans="1:14" ht="39" x14ac:dyDescent="0.3">
      <c r="A434" s="1" t="str">
        <f>HYPERLINK("https://ipmanager.doe.gov/IPManager//ExternalLink.aspx?6ibkph2k9yi6F%2B0Vz7YoTk2BI6w%2FjZ2ft0JmDSwDeyg%3D","Link")</f>
        <v>Link</v>
      </c>
      <c r="B434" s="2" t="s">
        <v>1529</v>
      </c>
      <c r="C434" s="2" t="s">
        <v>1525</v>
      </c>
      <c r="D434" s="2" t="s">
        <v>1285</v>
      </c>
      <c r="E434" s="2" t="s">
        <v>1530</v>
      </c>
      <c r="F434" s="2" t="s">
        <v>1531</v>
      </c>
      <c r="G434" s="2" t="s">
        <v>239</v>
      </c>
      <c r="H434" s="7"/>
      <c r="I434" s="2" t="s">
        <v>9</v>
      </c>
      <c r="K434" t="e">
        <v>#N/A</v>
      </c>
      <c r="L434" s="2" t="s">
        <v>8493</v>
      </c>
      <c r="M434" t="s">
        <v>8031</v>
      </c>
      <c r="N434" s="4"/>
    </row>
    <row r="435" spans="1:14" ht="39" x14ac:dyDescent="0.3">
      <c r="A435" s="1" t="str">
        <f>HYPERLINK("https://ipmanager.doe.gov/IPManager//ExternalLink.aspx?6ibkph2k9yi6F%2B0Vz7YoTjnDGhmGHGI7AbtNCV148Lw%3D","Link")</f>
        <v>Link</v>
      </c>
      <c r="B435" s="2" t="s">
        <v>1545</v>
      </c>
      <c r="C435" s="2" t="s">
        <v>1525</v>
      </c>
      <c r="D435" s="2" t="s">
        <v>1285</v>
      </c>
      <c r="E435" s="2" t="s">
        <v>1546</v>
      </c>
      <c r="F435" s="2" t="s">
        <v>1547</v>
      </c>
      <c r="G435" s="2" t="s">
        <v>1548</v>
      </c>
      <c r="H435" s="7"/>
      <c r="I435" s="2" t="s">
        <v>9</v>
      </c>
      <c r="K435" t="e">
        <v>#N/A</v>
      </c>
      <c r="L435" s="2" t="s">
        <v>8493</v>
      </c>
      <c r="M435" t="s">
        <v>8031</v>
      </c>
      <c r="N435" s="4"/>
    </row>
    <row r="436" spans="1:14" ht="78" x14ac:dyDescent="0.3">
      <c r="A436" s="1" t="str">
        <f>HYPERLINK("https://ipmanager.doe.gov/IPManager//ExternalLink.aspx?6ibkph2k9yi6F%2B0Vz7YoTlNm8snv%2FZpHE%2BojkcVBBO0%3D","Link")</f>
        <v>Link</v>
      </c>
      <c r="B436" s="2" t="s">
        <v>1536</v>
      </c>
      <c r="C436" s="2" t="s">
        <v>1525</v>
      </c>
      <c r="D436" s="2" t="s">
        <v>1533</v>
      </c>
      <c r="E436" s="2" t="s">
        <v>1537</v>
      </c>
      <c r="F436" s="2" t="s">
        <v>1538</v>
      </c>
      <c r="G436" s="2" t="s">
        <v>1239</v>
      </c>
      <c r="H436" s="7"/>
      <c r="I436" s="2" t="s">
        <v>9</v>
      </c>
      <c r="K436" t="e">
        <v>#N/A</v>
      </c>
      <c r="L436" s="2" t="s">
        <v>8493</v>
      </c>
      <c r="M436" t="s">
        <v>8031</v>
      </c>
      <c r="N436" s="4"/>
    </row>
    <row r="437" spans="1:14" ht="52" x14ac:dyDescent="0.3">
      <c r="A437" s="1" t="str">
        <f>HYPERLINK("https://ipmanager.doe.gov/IPManager//ExternalLink.aspx?6ibkph2k9yi6F%2B0Vz7YoTjnDGhmGHGI76NSIXy2J3T8%3D","Link")</f>
        <v>Link</v>
      </c>
      <c r="B437" s="2" t="s">
        <v>1563</v>
      </c>
      <c r="C437" s="2" t="s">
        <v>1558</v>
      </c>
      <c r="D437" s="2" t="s">
        <v>1559</v>
      </c>
      <c r="E437" s="2" t="s">
        <v>1564</v>
      </c>
      <c r="F437" s="2" t="s">
        <v>1565</v>
      </c>
      <c r="G437" s="2" t="s">
        <v>798</v>
      </c>
      <c r="H437" s="2"/>
      <c r="I437" s="2" t="s">
        <v>9</v>
      </c>
      <c r="K437" t="e">
        <v>#N/A</v>
      </c>
      <c r="L437" s="2" t="s">
        <v>8494</v>
      </c>
      <c r="M437" t="s">
        <v>8032</v>
      </c>
      <c r="N437" s="4"/>
    </row>
    <row r="438" spans="1:14" ht="52" x14ac:dyDescent="0.3">
      <c r="A438" s="1" t="str">
        <f>HYPERLINK("https://ipmanager.doe.gov/IPManager//ExternalLink.aspx?6ibkph2k9yi6F%2B0Vz7YoTgZwfmYxrNyKS2a9Au8jr6I%3D","Link")</f>
        <v>Link</v>
      </c>
      <c r="B438" s="2" t="s">
        <v>1567</v>
      </c>
      <c r="C438" s="2" t="s">
        <v>1558</v>
      </c>
      <c r="D438" s="2" t="s">
        <v>1559</v>
      </c>
      <c r="E438" s="2" t="s">
        <v>1568</v>
      </c>
      <c r="F438" s="2" t="s">
        <v>1569</v>
      </c>
      <c r="G438" s="2" t="s">
        <v>1570</v>
      </c>
      <c r="H438" s="2"/>
      <c r="I438" s="2" t="s">
        <v>9</v>
      </c>
      <c r="K438" t="e">
        <v>#N/A</v>
      </c>
      <c r="L438" s="2" t="s">
        <v>8494</v>
      </c>
      <c r="M438" t="s">
        <v>8032</v>
      </c>
      <c r="N438" s="4"/>
    </row>
    <row r="439" spans="1:14" ht="52" x14ac:dyDescent="0.3">
      <c r="A439" s="1" t="str">
        <f>HYPERLINK("https://ipmanager.doe.gov/IPManager//ExternalLink.aspx?6ibkph2k9yi6F%2B0Vz7YoTgZwfmYxrNyKu6grivC2clk%3D","Link")</f>
        <v>Link</v>
      </c>
      <c r="B439" s="2" t="s">
        <v>1573</v>
      </c>
      <c r="C439" s="2" t="s">
        <v>1558</v>
      </c>
      <c r="D439" s="2" t="s">
        <v>1559</v>
      </c>
      <c r="E439" s="2" t="s">
        <v>1568</v>
      </c>
      <c r="F439" s="2" t="s">
        <v>1574</v>
      </c>
      <c r="G439" s="2" t="s">
        <v>1572</v>
      </c>
      <c r="H439" s="2"/>
      <c r="I439" s="2" t="s">
        <v>9</v>
      </c>
      <c r="K439" t="e">
        <v>#N/A</v>
      </c>
      <c r="L439" s="2" t="s">
        <v>8494</v>
      </c>
      <c r="M439" t="s">
        <v>8032</v>
      </c>
      <c r="N439" s="4"/>
    </row>
    <row r="440" spans="1:14" ht="39" x14ac:dyDescent="0.3">
      <c r="A440" s="1" t="str">
        <f>HYPERLINK("https://ipmanager.doe.gov/IPManager//ExternalLink.aspx?6ibkph2k9yi6F%2B0Vz7YoTgZwfmYxrNyKu%2B4DPvd3MJU%3D","Link")</f>
        <v>Link</v>
      </c>
      <c r="B440" s="2" t="s">
        <v>1575</v>
      </c>
      <c r="C440" s="2" t="s">
        <v>1558</v>
      </c>
      <c r="D440" s="2" t="s">
        <v>1559</v>
      </c>
      <c r="E440" s="2" t="s">
        <v>1576</v>
      </c>
      <c r="F440" s="2" t="s">
        <v>1577</v>
      </c>
      <c r="G440" s="2" t="s">
        <v>920</v>
      </c>
      <c r="H440" s="2"/>
      <c r="I440" s="2" t="s">
        <v>9</v>
      </c>
      <c r="K440" t="e">
        <v>#N/A</v>
      </c>
      <c r="L440" s="2" t="s">
        <v>8494</v>
      </c>
      <c r="M440" t="s">
        <v>8032</v>
      </c>
      <c r="N440" s="4"/>
    </row>
    <row r="441" spans="1:14" ht="52" x14ac:dyDescent="0.3">
      <c r="A441" s="1" t="str">
        <f>HYPERLINK("https://ipmanager.doe.gov/IPManager//ExternalLink.aspx?6ibkph2k9yi6F%2B0Vz7YoTgZwfmYxrNyKz7%2BLim4G3%2BM%3D","Link")</f>
        <v>Link</v>
      </c>
      <c r="B441" s="2" t="s">
        <v>1578</v>
      </c>
      <c r="C441" s="2" t="s">
        <v>1558</v>
      </c>
      <c r="D441" s="2" t="s">
        <v>1559</v>
      </c>
      <c r="E441" s="2" t="s">
        <v>1579</v>
      </c>
      <c r="F441" s="2" t="s">
        <v>1580</v>
      </c>
      <c r="G441" s="2" t="s">
        <v>1581</v>
      </c>
      <c r="H441" s="2"/>
      <c r="I441" s="2" t="s">
        <v>9</v>
      </c>
      <c r="K441" t="e">
        <v>#N/A</v>
      </c>
      <c r="L441" s="2" t="s">
        <v>8494</v>
      </c>
      <c r="M441" t="s">
        <v>8032</v>
      </c>
      <c r="N441" s="4"/>
    </row>
    <row r="442" spans="1:14" ht="26" x14ac:dyDescent="0.3">
      <c r="A442" s="1" t="str">
        <f>HYPERLINK("https://ipmanager.doe.gov/IPManager//ExternalLink.aspx?6ibkph2k9yi6F%2B0Vz7YoTgZwfmYxrNyKLb5Eto0gWfg%3D","Link")</f>
        <v>Link</v>
      </c>
      <c r="B442" s="2" t="s">
        <v>1583</v>
      </c>
      <c r="C442" s="2" t="s">
        <v>1558</v>
      </c>
      <c r="D442" s="2" t="s">
        <v>1559</v>
      </c>
      <c r="E442" s="2" t="s">
        <v>1584</v>
      </c>
      <c r="F442" s="2" t="s">
        <v>1585</v>
      </c>
      <c r="G442" s="2" t="s">
        <v>1586</v>
      </c>
      <c r="H442" s="2"/>
      <c r="I442" s="2" t="s">
        <v>9</v>
      </c>
      <c r="K442" t="e">
        <v>#N/A</v>
      </c>
      <c r="L442" s="2" t="s">
        <v>8494</v>
      </c>
      <c r="M442" t="s">
        <v>8032</v>
      </c>
      <c r="N442" s="4"/>
    </row>
    <row r="443" spans="1:14" ht="52" x14ac:dyDescent="0.3">
      <c r="A443" s="1" t="str">
        <f>HYPERLINK("https://ipmanager.doe.gov/IPManager//ExternalLink.aspx?6ibkph2k9yi6F%2B0Vz7YoTgZwfmYxrNyKDaWawAdU8Q0%3D","Link")</f>
        <v>Link</v>
      </c>
      <c r="B443" s="2" t="s">
        <v>1588</v>
      </c>
      <c r="C443" s="2" t="s">
        <v>1558</v>
      </c>
      <c r="D443" s="2" t="s">
        <v>1559</v>
      </c>
      <c r="E443" s="2" t="s">
        <v>1579</v>
      </c>
      <c r="F443" s="2" t="s">
        <v>1589</v>
      </c>
      <c r="G443" s="2" t="s">
        <v>1590</v>
      </c>
      <c r="H443" s="2"/>
      <c r="I443" s="2" t="s">
        <v>9</v>
      </c>
      <c r="K443" t="e">
        <v>#N/A</v>
      </c>
      <c r="L443" s="2" t="s">
        <v>8494</v>
      </c>
      <c r="M443" t="s">
        <v>8032</v>
      </c>
      <c r="N443" s="4"/>
    </row>
    <row r="444" spans="1:14" ht="26" x14ac:dyDescent="0.3">
      <c r="A444" s="1" t="str">
        <f>HYPERLINK("https://ipmanager.doe.gov/IPManager//ExternalLink.aspx?6ibkph2k9yi6F%2B0Vz7YoTk2BI6w%2FjZ2fCe%2Bxn3qwtNU%3D","Link")</f>
        <v>Link</v>
      </c>
      <c r="B444" s="2" t="s">
        <v>1592</v>
      </c>
      <c r="C444" s="2" t="s">
        <v>1558</v>
      </c>
      <c r="D444" s="2" t="s">
        <v>1559</v>
      </c>
      <c r="E444" s="2" t="s">
        <v>1593</v>
      </c>
      <c r="F444" s="2" t="s">
        <v>1594</v>
      </c>
      <c r="G444" s="2" t="s">
        <v>1595</v>
      </c>
      <c r="H444" s="2"/>
      <c r="I444" s="2" t="s">
        <v>9</v>
      </c>
      <c r="K444" t="e">
        <v>#N/A</v>
      </c>
      <c r="L444" s="2" t="s">
        <v>8494</v>
      </c>
      <c r="M444" t="s">
        <v>8032</v>
      </c>
      <c r="N444" s="4"/>
    </row>
    <row r="445" spans="1:14" ht="52" x14ac:dyDescent="0.3">
      <c r="A445" s="1" t="str">
        <f>HYPERLINK("https://ipmanager.doe.gov/IPManager//ExternalLink.aspx?6ibkph2k9yi6F%2B0Vz7YoTk2BI6w%2FjZ2fv805lIOpHNQ%3D","Link")</f>
        <v>Link</v>
      </c>
      <c r="B445" s="2" t="s">
        <v>1596</v>
      </c>
      <c r="C445" s="2" t="s">
        <v>1558</v>
      </c>
      <c r="D445" s="2" t="s">
        <v>1559</v>
      </c>
      <c r="E445" s="2" t="s">
        <v>1568</v>
      </c>
      <c r="F445" s="2" t="s">
        <v>1597</v>
      </c>
      <c r="G445" s="2" t="s">
        <v>1572</v>
      </c>
      <c r="H445" s="2"/>
      <c r="I445" s="2" t="s">
        <v>9</v>
      </c>
      <c r="K445" t="e">
        <v>#N/A</v>
      </c>
      <c r="L445" s="2" t="s">
        <v>8494</v>
      </c>
      <c r="M445" t="s">
        <v>8032</v>
      </c>
      <c r="N445" s="4"/>
    </row>
    <row r="446" spans="1:14" ht="52" x14ac:dyDescent="0.3">
      <c r="A446" s="1" t="str">
        <f>HYPERLINK("https://ipmanager.doe.gov/IPManager//ExternalLink.aspx?6ibkph2k9yi6F%2B0Vz7YoTk2BI6w%2FjZ2fDUruhQXYHz4%3D","Link")</f>
        <v>Link</v>
      </c>
      <c r="B446" s="2" t="s">
        <v>1600</v>
      </c>
      <c r="C446" s="2" t="s">
        <v>1558</v>
      </c>
      <c r="D446" s="2" t="s">
        <v>1559</v>
      </c>
      <c r="E446" s="2" t="s">
        <v>1579</v>
      </c>
      <c r="F446" s="2" t="s">
        <v>1601</v>
      </c>
      <c r="G446" s="2" t="s">
        <v>1602</v>
      </c>
      <c r="H446" s="2"/>
      <c r="I446" s="2" t="s">
        <v>9</v>
      </c>
      <c r="K446" t="e">
        <v>#N/A</v>
      </c>
      <c r="L446" s="2" t="s">
        <v>8494</v>
      </c>
      <c r="M446" t="s">
        <v>8032</v>
      </c>
      <c r="N446" s="4"/>
    </row>
    <row r="447" spans="1:14" ht="52" x14ac:dyDescent="0.3">
      <c r="A447" s="1" t="str">
        <f>HYPERLINK("https://ipmanager.doe.gov/IPManager//ExternalLink.aspx?6ibkph2k9yi6F%2B0Vz7YoTk2BI6w%2FjZ2fm1tD9b17oIg%3D","Link")</f>
        <v>Link</v>
      </c>
      <c r="B447" s="2" t="s">
        <v>1603</v>
      </c>
      <c r="C447" s="2" t="s">
        <v>1558</v>
      </c>
      <c r="D447" s="2" t="s">
        <v>1559</v>
      </c>
      <c r="E447" s="2" t="s">
        <v>1579</v>
      </c>
      <c r="F447" s="2" t="s">
        <v>1604</v>
      </c>
      <c r="G447" s="2" t="s">
        <v>1605</v>
      </c>
      <c r="H447" s="2"/>
      <c r="I447" s="2" t="s">
        <v>9</v>
      </c>
      <c r="K447" t="e">
        <v>#N/A</v>
      </c>
      <c r="L447" s="2" t="s">
        <v>8494</v>
      </c>
      <c r="M447" t="s">
        <v>8032</v>
      </c>
      <c r="N447" s="4"/>
    </row>
    <row r="448" spans="1:14" ht="52" x14ac:dyDescent="0.3">
      <c r="A448" s="1" t="str">
        <f>HYPERLINK("https://ipmanager.doe.gov/IPManager//ExternalLink.aspx?6ibkph2k9yi6F%2B0Vz7YoTk2BI6w%2FjZ2fdma%2F2AV1rRM%3D","Link")</f>
        <v>Link</v>
      </c>
      <c r="B448" s="2" t="s">
        <v>1606</v>
      </c>
      <c r="C448" s="2" t="s">
        <v>1558</v>
      </c>
      <c r="D448" s="2" t="s">
        <v>1559</v>
      </c>
      <c r="E448" s="2" t="s">
        <v>1579</v>
      </c>
      <c r="F448" s="2" t="s">
        <v>1607</v>
      </c>
      <c r="G448" s="2" t="s">
        <v>1608</v>
      </c>
      <c r="H448" s="2"/>
      <c r="I448" s="2" t="s">
        <v>9</v>
      </c>
      <c r="K448" t="e">
        <v>#N/A</v>
      </c>
      <c r="L448" s="2" t="s">
        <v>8494</v>
      </c>
      <c r="M448" t="s">
        <v>8032</v>
      </c>
      <c r="N448" s="4"/>
    </row>
    <row r="449" spans="1:14" ht="26" x14ac:dyDescent="0.3">
      <c r="A449" s="1" t="str">
        <f>HYPERLINK("https://ipmanager.doe.gov/IPManager//ExternalLink.aspx?6ibkph2k9yi6F%2B0Vz7YoTk2BI6w%2FjZ2fSNOBYgm%2B2LI%3D","Link")</f>
        <v>Link</v>
      </c>
      <c r="B449" s="2" t="s">
        <v>1611</v>
      </c>
      <c r="C449" s="2" t="s">
        <v>1558</v>
      </c>
      <c r="D449" s="2" t="s">
        <v>1559</v>
      </c>
      <c r="E449" s="2" t="s">
        <v>1584</v>
      </c>
      <c r="F449" s="2" t="s">
        <v>1587</v>
      </c>
      <c r="G449" s="2" t="s">
        <v>1612</v>
      </c>
      <c r="H449" s="2"/>
      <c r="I449" s="2" t="s">
        <v>9</v>
      </c>
      <c r="K449" t="e">
        <v>#N/A</v>
      </c>
      <c r="L449" s="2" t="s">
        <v>8494</v>
      </c>
      <c r="M449" t="s">
        <v>8032</v>
      </c>
      <c r="N449" s="4"/>
    </row>
    <row r="450" spans="1:14" ht="39" x14ac:dyDescent="0.3">
      <c r="A450" s="1" t="str">
        <f>HYPERLINK("https://ipmanager.doe.gov/IPManager//ExternalLink.aspx?6ibkph2k9yi6F%2B0Vz7YoTk2BI6w%2FjZ2fB4cdNtpI3v0%3D","Link")</f>
        <v>Link</v>
      </c>
      <c r="B450" s="2" t="s">
        <v>1613</v>
      </c>
      <c r="C450" s="2" t="s">
        <v>1558</v>
      </c>
      <c r="D450" s="2" t="s">
        <v>1559</v>
      </c>
      <c r="E450" s="2" t="s">
        <v>1614</v>
      </c>
      <c r="F450" s="2" t="s">
        <v>1615</v>
      </c>
      <c r="G450" s="2" t="s">
        <v>1612</v>
      </c>
      <c r="H450" s="2"/>
      <c r="I450" s="2" t="s">
        <v>9</v>
      </c>
      <c r="K450" t="e">
        <v>#N/A</v>
      </c>
      <c r="L450" s="2" t="s">
        <v>8494</v>
      </c>
      <c r="M450" t="s">
        <v>8032</v>
      </c>
      <c r="N450" s="4"/>
    </row>
    <row r="451" spans="1:14" ht="39" x14ac:dyDescent="0.3">
      <c r="A451" s="1" t="str">
        <f>HYPERLINK("https://ipmanager.doe.gov/IPManager//ExternalLink.aspx?6ibkph2k9yi6F%2B0Vz7YoTjnDGhmGHGI706eDisfW%2FIM%3D","Link")</f>
        <v>Link</v>
      </c>
      <c r="B451" s="2" t="s">
        <v>1613</v>
      </c>
      <c r="C451" s="2" t="s">
        <v>1558</v>
      </c>
      <c r="D451" s="2" t="s">
        <v>1559</v>
      </c>
      <c r="E451" s="2" t="s">
        <v>1614</v>
      </c>
      <c r="F451" s="2" t="s">
        <v>1624</v>
      </c>
      <c r="G451" s="2" t="s">
        <v>1625</v>
      </c>
      <c r="H451" s="2"/>
      <c r="I451" s="2" t="s">
        <v>9</v>
      </c>
      <c r="K451" t="e">
        <v>#N/A</v>
      </c>
      <c r="L451" s="2" t="s">
        <v>8494</v>
      </c>
      <c r="M451" t="s">
        <v>8032</v>
      </c>
      <c r="N451" s="4"/>
    </row>
    <row r="452" spans="1:14" ht="52" x14ac:dyDescent="0.3">
      <c r="A452" s="1" t="str">
        <f>HYPERLINK("https://ipmanager.doe.gov/IPManager//ExternalLink.aspx?6ibkph2k9yi6F%2B0Vz7YoTjnDGhmGHGI7ktFeQBlII4s%3D","Link")</f>
        <v>Link</v>
      </c>
      <c r="B452" s="2" t="s">
        <v>1563</v>
      </c>
      <c r="C452" s="2" t="s">
        <v>1558</v>
      </c>
      <c r="D452" s="2" t="s">
        <v>1559</v>
      </c>
      <c r="E452" s="2" t="s">
        <v>1564</v>
      </c>
      <c r="F452" s="2" t="s">
        <v>1629</v>
      </c>
      <c r="G452" s="2" t="s">
        <v>798</v>
      </c>
      <c r="H452" s="2"/>
      <c r="I452" s="2" t="s">
        <v>9</v>
      </c>
      <c r="J452" t="s">
        <v>1629</v>
      </c>
      <c r="K452" t="s">
        <v>7671</v>
      </c>
      <c r="L452" s="2" t="s">
        <v>8494</v>
      </c>
      <c r="M452" t="s">
        <v>8032</v>
      </c>
      <c r="N452" s="4"/>
    </row>
    <row r="453" spans="1:14" ht="26" x14ac:dyDescent="0.3">
      <c r="A453" s="1" t="str">
        <f>HYPERLINK("https://ipmanager.doe.gov/IPManager//ExternalLink.aspx?6ibkph2k9yi6F%2B0Vz7YoTjnDGhmGHGI7biuOBLMDz78%3D","Link")</f>
        <v>Link</v>
      </c>
      <c r="B453" s="2" t="s">
        <v>1611</v>
      </c>
      <c r="C453" s="2" t="s">
        <v>1558</v>
      </c>
      <c r="D453" s="2" t="s">
        <v>1559</v>
      </c>
      <c r="E453" s="2" t="s">
        <v>1584</v>
      </c>
      <c r="F453" s="2" t="s">
        <v>1630</v>
      </c>
      <c r="G453" s="2" t="s">
        <v>1631</v>
      </c>
      <c r="H453" s="7"/>
      <c r="I453" s="2" t="s">
        <v>9</v>
      </c>
      <c r="K453" t="e">
        <v>#N/A</v>
      </c>
      <c r="L453" s="2" t="s">
        <v>8494</v>
      </c>
      <c r="M453" t="s">
        <v>8032</v>
      </c>
      <c r="N453" s="4"/>
    </row>
    <row r="454" spans="1:14" ht="39" x14ac:dyDescent="0.3">
      <c r="A454" s="1" t="str">
        <f>HYPERLINK("https://ipmanager.doe.gov/IPManager//ExternalLink.aspx?6ibkph2k9yi6F%2B0Vz7YoTjnDGhmGHGI7pNZoDA7iTtY%3D","Link")</f>
        <v>Link</v>
      </c>
      <c r="B454" s="2" t="s">
        <v>1632</v>
      </c>
      <c r="C454" s="2" t="s">
        <v>1558</v>
      </c>
      <c r="D454" s="2" t="s">
        <v>1559</v>
      </c>
      <c r="E454" s="2" t="s">
        <v>1633</v>
      </c>
      <c r="F454" s="2" t="s">
        <v>1634</v>
      </c>
      <c r="G454" s="2" t="s">
        <v>1572</v>
      </c>
      <c r="H454" s="7"/>
      <c r="I454" s="2" t="s">
        <v>9</v>
      </c>
      <c r="K454" t="e">
        <v>#N/A</v>
      </c>
      <c r="L454" s="2" t="s">
        <v>8494</v>
      </c>
      <c r="M454" t="s">
        <v>8032</v>
      </c>
      <c r="N454" s="4"/>
    </row>
    <row r="455" spans="1:14" ht="39" x14ac:dyDescent="0.3">
      <c r="A455" s="1" t="str">
        <f>HYPERLINK("https://ipmanager.doe.gov/IPManager//ExternalLink.aspx?6ibkph2k9yi6F%2B0Vz7YoTjnDGhmGHGI7xEhCnhP5Yvs%3D","Link")</f>
        <v>Link</v>
      </c>
      <c r="B455" s="2" t="s">
        <v>1621</v>
      </c>
      <c r="C455" s="2" t="s">
        <v>1558</v>
      </c>
      <c r="D455" s="2" t="s">
        <v>1559</v>
      </c>
      <c r="E455" s="2" t="s">
        <v>1560</v>
      </c>
      <c r="F455" s="2" t="s">
        <v>1636</v>
      </c>
      <c r="G455" s="2" t="s">
        <v>1637</v>
      </c>
      <c r="H455" s="7"/>
      <c r="I455" s="2" t="s">
        <v>9</v>
      </c>
      <c r="J455" t="s">
        <v>1636</v>
      </c>
      <c r="K455" t="s">
        <v>7818</v>
      </c>
      <c r="L455" s="2" t="s">
        <v>8494</v>
      </c>
      <c r="M455" t="s">
        <v>8032</v>
      </c>
      <c r="N455" s="4"/>
    </row>
    <row r="456" spans="1:14" ht="39" x14ac:dyDescent="0.3">
      <c r="A456" s="1" t="str">
        <f>HYPERLINK("https://ipmanager.doe.gov/IPManager//ExternalLink.aspx?6ibkph2k9yi6F%2B0Vz7YoTlNm8snv%2FZpHNQhuRVBmnzo%3D","Link")</f>
        <v>Link</v>
      </c>
      <c r="B456" s="2" t="s">
        <v>1557</v>
      </c>
      <c r="C456" s="2" t="s">
        <v>1558</v>
      </c>
      <c r="D456" s="2" t="s">
        <v>1559</v>
      </c>
      <c r="E456" s="2" t="s">
        <v>1560</v>
      </c>
      <c r="F456" s="2" t="s">
        <v>1561</v>
      </c>
      <c r="G456" s="2" t="s">
        <v>1562</v>
      </c>
      <c r="H456" s="7">
        <v>9362583</v>
      </c>
      <c r="I456" s="2" t="s">
        <v>597</v>
      </c>
      <c r="J456" t="s">
        <v>7465</v>
      </c>
      <c r="K456" t="s">
        <v>7819</v>
      </c>
      <c r="L456" s="2" t="s">
        <v>8494</v>
      </c>
      <c r="M456" t="s">
        <v>8032</v>
      </c>
    </row>
    <row r="457" spans="1:14" ht="52" x14ac:dyDescent="0.3">
      <c r="A457" s="1" t="str">
        <f>HYPERLINK("https://ipmanager.doe.gov/IPManager//ExternalLink.aspx?6ibkph2k9yi6F%2B0Vz7YoTgZwfmYxrNyKW5shZHbKbCw%3D","Link")</f>
        <v>Link</v>
      </c>
      <c r="B457" s="2" t="s">
        <v>1591</v>
      </c>
      <c r="C457" s="2" t="s">
        <v>1558</v>
      </c>
      <c r="D457" s="2" t="s">
        <v>1559</v>
      </c>
      <c r="E457" s="2" t="s">
        <v>1564</v>
      </c>
      <c r="F457" s="2" t="s">
        <v>1566</v>
      </c>
      <c r="G457" s="2" t="s">
        <v>35</v>
      </c>
      <c r="H457" s="7">
        <v>9437864</v>
      </c>
      <c r="I457" s="2" t="s">
        <v>874</v>
      </c>
      <c r="J457" t="s">
        <v>7476</v>
      </c>
      <c r="K457" t="s">
        <v>7820</v>
      </c>
      <c r="L457" s="2" t="s">
        <v>8494</v>
      </c>
      <c r="M457" t="s">
        <v>8032</v>
      </c>
      <c r="N457" s="5" t="s">
        <v>7477</v>
      </c>
    </row>
    <row r="458" spans="1:14" ht="39" x14ac:dyDescent="0.3">
      <c r="A458" s="1" t="str">
        <f>HYPERLINK("https://ipmanager.doe.gov/IPManager//ExternalLink.aspx?6ibkph2k9yi6F%2B0Vz7YoTk2BI6w%2FjZ2fxcnDouV0pCs%3D","Link")</f>
        <v>Link</v>
      </c>
      <c r="B458" s="2" t="s">
        <v>1598</v>
      </c>
      <c r="C458" s="2" t="s">
        <v>1558</v>
      </c>
      <c r="D458" s="2" t="s">
        <v>1559</v>
      </c>
      <c r="E458" s="2" t="s">
        <v>1560</v>
      </c>
      <c r="F458" s="2" t="s">
        <v>7618</v>
      </c>
      <c r="G458" s="2" t="s">
        <v>113</v>
      </c>
      <c r="H458" s="7">
        <v>9385392</v>
      </c>
      <c r="I458" s="2" t="s">
        <v>1599</v>
      </c>
      <c r="J458" t="s">
        <v>7478</v>
      </c>
      <c r="K458" t="e">
        <v>#N/A</v>
      </c>
      <c r="L458" s="2" t="s">
        <v>8494</v>
      </c>
      <c r="M458" t="s">
        <v>8032</v>
      </c>
    </row>
    <row r="459" spans="1:14" ht="39" x14ac:dyDescent="0.3">
      <c r="A459" s="1" t="str">
        <f>HYPERLINK("https://ipmanager.doe.gov/IPManager//ExternalLink.aspx?6ibkph2k9yi6F%2B0Vz7YoTk2BI6w%2FjZ2f3zdTfrtcRTE%3D","Link")</f>
        <v>Link</v>
      </c>
      <c r="B459" s="2" t="s">
        <v>1609</v>
      </c>
      <c r="C459" s="2" t="s">
        <v>1558</v>
      </c>
      <c r="D459" s="2" t="s">
        <v>1559</v>
      </c>
      <c r="E459" s="2" t="s">
        <v>1576</v>
      </c>
      <c r="F459" s="2" t="s">
        <v>1610</v>
      </c>
      <c r="G459" s="2" t="s">
        <v>35</v>
      </c>
      <c r="H459" s="7">
        <v>9178200</v>
      </c>
      <c r="I459" s="2" t="s">
        <v>1350</v>
      </c>
      <c r="J459" t="s">
        <v>7468</v>
      </c>
      <c r="K459" t="s">
        <v>7821</v>
      </c>
      <c r="L459" s="2" t="s">
        <v>8494</v>
      </c>
      <c r="M459" t="s">
        <v>8032</v>
      </c>
    </row>
    <row r="460" spans="1:14" ht="52" x14ac:dyDescent="0.3">
      <c r="A460" s="1" t="str">
        <f>HYPERLINK("https://ipmanager.doe.gov/IPManager//ExternalLink.aspx?6ibkph2k9yi6F%2B0Vz7YoTk2BI6w%2FjZ2f90q41tpjDAw%3D","Link")</f>
        <v>Link</v>
      </c>
      <c r="B460" s="2" t="s">
        <v>1616</v>
      </c>
      <c r="C460" s="2" t="s">
        <v>1558</v>
      </c>
      <c r="D460" s="2" t="s">
        <v>1559</v>
      </c>
      <c r="E460" s="2" t="s">
        <v>1579</v>
      </c>
      <c r="F460" s="2" t="s">
        <v>1582</v>
      </c>
      <c r="G460" s="2" t="s">
        <v>35</v>
      </c>
      <c r="H460" s="7">
        <v>9484569</v>
      </c>
      <c r="I460" s="2" t="s">
        <v>1325</v>
      </c>
      <c r="J460" t="s">
        <v>7469</v>
      </c>
      <c r="K460" t="s">
        <v>7822</v>
      </c>
      <c r="L460" s="2" t="s">
        <v>8494</v>
      </c>
      <c r="M460" t="s">
        <v>8032</v>
      </c>
    </row>
    <row r="461" spans="1:14" ht="26" x14ac:dyDescent="0.3">
      <c r="A461" s="1" t="str">
        <f>HYPERLINK("https://ipmanager.doe.gov/IPManager//ExternalLink.aspx?6ibkph2k9yi6F%2B0Vz7YoTk2BI6w%2FjZ2fsLSmid3BOAw%3D","Link")</f>
        <v>Link</v>
      </c>
      <c r="B461" s="2" t="s">
        <v>1617</v>
      </c>
      <c r="C461" s="2" t="s">
        <v>1558</v>
      </c>
      <c r="D461" s="2" t="s">
        <v>1559</v>
      </c>
      <c r="E461" s="2" t="s">
        <v>1593</v>
      </c>
      <c r="F461" s="2" t="s">
        <v>1618</v>
      </c>
      <c r="G461" s="2" t="s">
        <v>1619</v>
      </c>
      <c r="H461" s="7"/>
      <c r="I461" s="2" t="s">
        <v>9</v>
      </c>
      <c r="J461" t="s">
        <v>7530</v>
      </c>
      <c r="K461" t="s">
        <v>7823</v>
      </c>
      <c r="L461" s="2" t="s">
        <v>8494</v>
      </c>
      <c r="M461" t="s">
        <v>8032</v>
      </c>
      <c r="N461" s="4"/>
    </row>
    <row r="462" spans="1:14" ht="39" x14ac:dyDescent="0.3">
      <c r="A462" s="1" t="str">
        <f>HYPERLINK("https://ipmanager.doe.gov/IPManager//ExternalLink.aspx?6ibkph2k9yi6F%2B0Vz7YoTk2BI6w%2FjZ2fIPDpjtyoUm8%3D","Link")</f>
        <v>Link</v>
      </c>
      <c r="B462" s="2" t="s">
        <v>1617</v>
      </c>
      <c r="C462" s="2" t="s">
        <v>1558</v>
      </c>
      <c r="D462" s="2" t="s">
        <v>1559</v>
      </c>
      <c r="E462" s="2" t="s">
        <v>1593</v>
      </c>
      <c r="F462" s="2" t="s">
        <v>1620</v>
      </c>
      <c r="G462" s="2" t="s">
        <v>738</v>
      </c>
      <c r="H462" s="7"/>
      <c r="I462" s="2" t="s">
        <v>9</v>
      </c>
      <c r="J462" t="s">
        <v>7530</v>
      </c>
      <c r="K462" t="s">
        <v>7823</v>
      </c>
      <c r="L462" s="2" t="s">
        <v>8494</v>
      </c>
      <c r="M462" t="s">
        <v>8032</v>
      </c>
      <c r="N462" s="5" t="s">
        <v>7526</v>
      </c>
    </row>
    <row r="463" spans="1:14" ht="39" x14ac:dyDescent="0.3">
      <c r="A463" s="1" t="str">
        <f>HYPERLINK("https://ipmanager.doe.gov/IPManager//ExternalLink.aspx?6ibkph2k9yi6F%2B0Vz7YoTjnDGhmGHGI7voErh7ICzcI%3D","Link")</f>
        <v>Link</v>
      </c>
      <c r="B463" s="2" t="s">
        <v>1621</v>
      </c>
      <c r="C463" s="2" t="s">
        <v>1558</v>
      </c>
      <c r="D463" s="2" t="s">
        <v>1559</v>
      </c>
      <c r="E463" s="2" t="s">
        <v>1560</v>
      </c>
      <c r="F463" s="2"/>
      <c r="G463" s="2" t="s">
        <v>9</v>
      </c>
      <c r="H463" s="7"/>
      <c r="I463" s="2" t="s">
        <v>9</v>
      </c>
      <c r="K463" t="e">
        <v>#N/A</v>
      </c>
      <c r="L463" s="2" t="s">
        <v>8494</v>
      </c>
      <c r="M463" t="s">
        <v>8032</v>
      </c>
      <c r="N463" s="4"/>
    </row>
    <row r="464" spans="1:14" ht="39" x14ac:dyDescent="0.3">
      <c r="A464" s="1" t="str">
        <f>HYPERLINK("https://ipmanager.doe.gov/IPManager//ExternalLink.aspx?6ibkph2k9yi6F%2B0Vz7YoTjnDGhmGHGI7z4t7fyFTMxQ%3D","Link")</f>
        <v>Link</v>
      </c>
      <c r="B464" s="2" t="s">
        <v>1609</v>
      </c>
      <c r="C464" s="2" t="s">
        <v>1558</v>
      </c>
      <c r="D464" s="2" t="s">
        <v>1559</v>
      </c>
      <c r="E464" s="2" t="s">
        <v>1576</v>
      </c>
      <c r="F464" s="2" t="s">
        <v>1622</v>
      </c>
      <c r="G464" s="2" t="s">
        <v>1623</v>
      </c>
      <c r="H464" s="7"/>
      <c r="I464" s="2" t="s">
        <v>9</v>
      </c>
      <c r="J464" t="s">
        <v>7468</v>
      </c>
      <c r="K464" t="s">
        <v>7821</v>
      </c>
      <c r="L464" s="2" t="s">
        <v>8494</v>
      </c>
      <c r="M464" t="s">
        <v>8032</v>
      </c>
      <c r="N464" s="5" t="s">
        <v>7526</v>
      </c>
    </row>
    <row r="465" spans="1:14" ht="39" x14ac:dyDescent="0.3">
      <c r="A465" s="1" t="str">
        <f>HYPERLINK("https://ipmanager.doe.gov/IPManager//ExternalLink.aspx?6ibkph2k9yi6F%2B0Vz7YoTgZwfmYxrNyKDOAOCJXP6%2B4%3D","Link")</f>
        <v>Link</v>
      </c>
      <c r="B465" s="2" t="s">
        <v>1626</v>
      </c>
      <c r="C465" s="2" t="s">
        <v>1558</v>
      </c>
      <c r="D465" s="2" t="s">
        <v>1559</v>
      </c>
      <c r="E465" s="2" t="s">
        <v>1576</v>
      </c>
      <c r="F465" s="2" t="s">
        <v>1627</v>
      </c>
      <c r="G465" s="2" t="s">
        <v>1628</v>
      </c>
      <c r="H465" s="7">
        <v>9401501</v>
      </c>
      <c r="I465" s="2" t="s">
        <v>386</v>
      </c>
      <c r="J465" t="s">
        <v>7470</v>
      </c>
      <c r="K465" t="s">
        <v>7824</v>
      </c>
      <c r="L465" s="2" t="s">
        <v>8494</v>
      </c>
      <c r="M465" t="s">
        <v>8032</v>
      </c>
    </row>
    <row r="466" spans="1:14" ht="52" x14ac:dyDescent="0.3">
      <c r="A466" s="1" t="str">
        <f>HYPERLINK("https://ipmanager.doe.gov/IPManager//ExternalLink.aspx?6ibkph2k9yi6F%2B0Vz7YoTgZwfmYxrNyKHAszSTzrzb0%3D","Link")</f>
        <v>Link</v>
      </c>
      <c r="B466" s="2" t="s">
        <v>1638</v>
      </c>
      <c r="C466" s="2" t="s">
        <v>1558</v>
      </c>
      <c r="D466" s="2" t="s">
        <v>1559</v>
      </c>
      <c r="E466" s="2" t="s">
        <v>1568</v>
      </c>
      <c r="F466" s="2" t="s">
        <v>1571</v>
      </c>
      <c r="G466" s="2" t="s">
        <v>1572</v>
      </c>
      <c r="H466" s="7"/>
      <c r="I466" s="2" t="s">
        <v>9</v>
      </c>
      <c r="J466" t="s">
        <v>7531</v>
      </c>
      <c r="K466" t="s">
        <v>7825</v>
      </c>
      <c r="L466" s="2" t="s">
        <v>8494</v>
      </c>
      <c r="M466" t="s">
        <v>8032</v>
      </c>
      <c r="N466" s="4"/>
    </row>
    <row r="467" spans="1:14" ht="39" x14ac:dyDescent="0.3">
      <c r="A467" s="1" t="str">
        <f>HYPERLINK("https://ipmanager.doe.gov/IPManager//ExternalLink.aspx?6ibkph2k9yi6F%2B0Vz7YoTgZwfmYxrNyKhtEDp52PVs0%3D","Link")</f>
        <v>Link</v>
      </c>
      <c r="B467" s="2" t="s">
        <v>1639</v>
      </c>
      <c r="C467" s="2" t="s">
        <v>1558</v>
      </c>
      <c r="D467" s="2" t="s">
        <v>1559</v>
      </c>
      <c r="E467" s="2" t="s">
        <v>1560</v>
      </c>
      <c r="F467" s="2" t="s">
        <v>1640</v>
      </c>
      <c r="G467" s="2" t="s">
        <v>1641</v>
      </c>
      <c r="H467" s="7">
        <v>9184464</v>
      </c>
      <c r="I467" s="2" t="s">
        <v>494</v>
      </c>
      <c r="J467" t="s">
        <v>7471</v>
      </c>
      <c r="K467" t="s">
        <v>7826</v>
      </c>
      <c r="L467" s="2" t="s">
        <v>8494</v>
      </c>
      <c r="M467" t="s">
        <v>8032</v>
      </c>
    </row>
    <row r="468" spans="1:14" ht="39" x14ac:dyDescent="0.3">
      <c r="A468" s="1" t="str">
        <f>HYPERLINK("https://ipmanager.doe.gov/IPManager//ExternalLink.aspx?6ibkph2k9yi6F%2B0Vz7YoTgZwfmYxrNyKUK9t1ecrH9c%3D","Link")</f>
        <v>Link</v>
      </c>
      <c r="B468" s="2" t="s">
        <v>1632</v>
      </c>
      <c r="C468" s="2" t="s">
        <v>1558</v>
      </c>
      <c r="D468" s="2" t="s">
        <v>1559</v>
      </c>
      <c r="E468" s="2" t="s">
        <v>1633</v>
      </c>
      <c r="F468" s="2" t="s">
        <v>1635</v>
      </c>
      <c r="G468" s="2" t="s">
        <v>1572</v>
      </c>
      <c r="H468" s="7">
        <v>9203092</v>
      </c>
      <c r="I468" s="2" t="s">
        <v>1642</v>
      </c>
      <c r="J468" t="s">
        <v>7472</v>
      </c>
      <c r="K468" t="s">
        <v>7827</v>
      </c>
      <c r="L468" s="2" t="s">
        <v>8494</v>
      </c>
      <c r="M468" t="s">
        <v>8032</v>
      </c>
    </row>
    <row r="469" spans="1:14" ht="26" x14ac:dyDescent="0.3">
      <c r="A469" s="1" t="str">
        <f>HYPERLINK("https://ipmanager.doe.gov/IPManager//ExternalLink.aspx?6ibkph2k9yi6F%2B0Vz7YoTk2BI6w%2FjZ2fz0nBn%2F44jQM%3D","Link")</f>
        <v>Link</v>
      </c>
      <c r="B469" s="2" t="s">
        <v>1643</v>
      </c>
      <c r="C469" s="2" t="s">
        <v>1558</v>
      </c>
      <c r="D469" s="2" t="s">
        <v>1559</v>
      </c>
      <c r="E469" s="2" t="s">
        <v>1644</v>
      </c>
      <c r="F469" s="2" t="s">
        <v>1645</v>
      </c>
      <c r="G469" s="2" t="s">
        <v>1586</v>
      </c>
      <c r="H469" s="7">
        <v>8722226</v>
      </c>
      <c r="I469" s="2" t="s">
        <v>1646</v>
      </c>
      <c r="J469" t="s">
        <v>7473</v>
      </c>
      <c r="K469" t="s">
        <v>7828</v>
      </c>
      <c r="L469" s="2" t="s">
        <v>8494</v>
      </c>
      <c r="M469" t="s">
        <v>8032</v>
      </c>
    </row>
    <row r="470" spans="1:14" ht="65" x14ac:dyDescent="0.3">
      <c r="A470" s="1" t="str">
        <f>HYPERLINK("https://ipmanager.doe.gov/IPManager//ExternalLink.aspx?6ibkph2k9yi6F%2B0Vz7YoTk2BI6w%2FjZ2f1W171U%2B%2BNR0%3D","Link")</f>
        <v>Link</v>
      </c>
      <c r="B470" s="2" t="s">
        <v>1647</v>
      </c>
      <c r="C470" s="2" t="s">
        <v>1648</v>
      </c>
      <c r="D470" s="2" t="s">
        <v>1649</v>
      </c>
      <c r="E470" s="2" t="s">
        <v>1650</v>
      </c>
      <c r="F470" s="2" t="s">
        <v>1651</v>
      </c>
      <c r="G470" s="2" t="s">
        <v>1652</v>
      </c>
      <c r="H470" s="7">
        <v>8739603</v>
      </c>
      <c r="I470" s="2" t="s">
        <v>502</v>
      </c>
      <c r="J470" t="s">
        <v>7474</v>
      </c>
      <c r="K470" t="s">
        <v>7829</v>
      </c>
      <c r="L470" s="2" t="s">
        <v>8439</v>
      </c>
      <c r="M470" t="s">
        <v>8184</v>
      </c>
    </row>
    <row r="471" spans="1:14" ht="52" x14ac:dyDescent="0.3">
      <c r="A471" s="1" t="str">
        <f>HYPERLINK("https://ipmanager.doe.gov/IPManager//ExternalLink.aspx?6ibkph2k9yi6F%2B0Vz7YoTk2BI6w%2FjZ2fV3N54Fywnvs%3D","Link")</f>
        <v>Link</v>
      </c>
      <c r="B471" s="2" t="s">
        <v>1653</v>
      </c>
      <c r="C471" s="2" t="s">
        <v>1648</v>
      </c>
      <c r="D471" s="2" t="s">
        <v>1649</v>
      </c>
      <c r="E471" s="2" t="s">
        <v>1654</v>
      </c>
      <c r="F471" s="2"/>
      <c r="G471" s="2" t="s">
        <v>9</v>
      </c>
      <c r="H471" s="7"/>
      <c r="I471" s="2" t="s">
        <v>9</v>
      </c>
      <c r="K471" t="e">
        <v>#N/A</v>
      </c>
      <c r="L471" s="2" t="s">
        <v>8439</v>
      </c>
      <c r="M471" t="s">
        <v>8184</v>
      </c>
      <c r="N471" s="4"/>
    </row>
    <row r="472" spans="1:14" ht="65" x14ac:dyDescent="0.3">
      <c r="A472" s="1" t="str">
        <f>HYPERLINK("https://ipmanager.doe.gov/IPManager//ExternalLink.aspx?6ibkph2k9yi6F%2B0Vz7YoTlNm8snv%2FZpHszrZsIYZjJM%3D","Link")</f>
        <v>Link</v>
      </c>
      <c r="B472" s="2" t="s">
        <v>1655</v>
      </c>
      <c r="C472" s="2" t="s">
        <v>1656</v>
      </c>
      <c r="D472" s="2" t="s">
        <v>1657</v>
      </c>
      <c r="E472" s="2" t="s">
        <v>1658</v>
      </c>
      <c r="F472" s="2" t="s">
        <v>1659</v>
      </c>
      <c r="G472" s="2" t="s">
        <v>317</v>
      </c>
      <c r="H472" s="7"/>
      <c r="I472" s="2" t="s">
        <v>9</v>
      </c>
      <c r="K472" t="e">
        <v>#N/A</v>
      </c>
      <c r="L472" s="2" t="e">
        <v>#N/A</v>
      </c>
      <c r="M472" t="e">
        <v>#N/A</v>
      </c>
      <c r="N472" s="4"/>
    </row>
    <row r="473" spans="1:14" ht="52" x14ac:dyDescent="0.3">
      <c r="A473" s="1" t="str">
        <f>HYPERLINK("https://ipmanager.doe.gov/IPManager//ExternalLink.aspx?6ibkph2k9yi6F%2B0Vz7YoTlNm8snv%2FZpHRP%2FJpgDlf2I%3D","Link")</f>
        <v>Link</v>
      </c>
      <c r="B473" s="2" t="s">
        <v>1661</v>
      </c>
      <c r="C473" s="2" t="s">
        <v>1662</v>
      </c>
      <c r="D473" s="2" t="s">
        <v>1663</v>
      </c>
      <c r="E473" s="2" t="s">
        <v>1664</v>
      </c>
      <c r="F473" s="2"/>
      <c r="G473" s="2" t="s">
        <v>9</v>
      </c>
      <c r="H473" s="7"/>
      <c r="I473" s="2" t="s">
        <v>9</v>
      </c>
      <c r="K473" t="e">
        <v>#N/A</v>
      </c>
      <c r="L473" s="2" t="s">
        <v>8495</v>
      </c>
      <c r="M473" t="s">
        <v>8033</v>
      </c>
      <c r="N473" s="4"/>
    </row>
    <row r="474" spans="1:14" ht="52" x14ac:dyDescent="0.3">
      <c r="A474" s="1" t="str">
        <f>HYPERLINK("https://ipmanager.doe.gov/IPManager//ExternalLink.aspx?6ibkph2k9yi6F%2B0Vz7YoTipZ798QK%2BbPf8tsnt2xHuQ%3D","Link")</f>
        <v>Link</v>
      </c>
      <c r="B474" s="2" t="s">
        <v>1665</v>
      </c>
      <c r="C474" s="2" t="s">
        <v>1662</v>
      </c>
      <c r="D474" s="2" t="s">
        <v>1666</v>
      </c>
      <c r="E474" s="2" t="s">
        <v>1667</v>
      </c>
      <c r="F474" s="2"/>
      <c r="G474" s="2" t="s">
        <v>9</v>
      </c>
      <c r="H474" s="7"/>
      <c r="I474" s="2" t="s">
        <v>9</v>
      </c>
      <c r="K474" t="e">
        <v>#N/A</v>
      </c>
      <c r="L474" s="2" t="s">
        <v>8495</v>
      </c>
      <c r="M474" t="s">
        <v>8033</v>
      </c>
      <c r="N474" s="4"/>
    </row>
    <row r="475" spans="1:14" ht="78" x14ac:dyDescent="0.3">
      <c r="A475" s="1" t="str">
        <f>HYPERLINK("https://ipmanager.doe.gov/IPManager//ExternalLink.aspx?6ibkph2k9yi6F%2B0Vz7YoTipZ798QK%2BbPODEizRUiLKc%3D","Link")</f>
        <v>Link</v>
      </c>
      <c r="B475" s="2" t="s">
        <v>1669</v>
      </c>
      <c r="C475" s="2" t="s">
        <v>1670</v>
      </c>
      <c r="D475" s="2" t="s">
        <v>308</v>
      </c>
      <c r="E475" s="2" t="s">
        <v>1671</v>
      </c>
      <c r="F475" s="2"/>
      <c r="G475" s="2" t="s">
        <v>9</v>
      </c>
      <c r="H475" s="7"/>
      <c r="I475" s="2" t="s">
        <v>9</v>
      </c>
      <c r="K475" t="e">
        <v>#N/A</v>
      </c>
      <c r="L475" s="2" t="s">
        <v>8496</v>
      </c>
      <c r="M475" t="s">
        <v>8034</v>
      </c>
      <c r="N475" s="4"/>
    </row>
    <row r="476" spans="1:14" ht="26" x14ac:dyDescent="0.3">
      <c r="A476" s="1" t="str">
        <f>HYPERLINK("https://ipmanager.doe.gov/IPManager//ExternalLink.aspx?6ibkph2k9yi6F%2B0Vz7YoTipZ798QK%2BbPktfTtL2i8mw%3D","Link")</f>
        <v>Link</v>
      </c>
      <c r="B476" s="2" t="s">
        <v>1673</v>
      </c>
      <c r="C476" s="2" t="s">
        <v>1670</v>
      </c>
      <c r="D476" s="2" t="s">
        <v>308</v>
      </c>
      <c r="E476" s="2" t="s">
        <v>1674</v>
      </c>
      <c r="F476" s="2"/>
      <c r="G476" s="2" t="s">
        <v>9</v>
      </c>
      <c r="H476" s="7"/>
      <c r="I476" s="2" t="s">
        <v>9</v>
      </c>
      <c r="K476" t="e">
        <v>#N/A</v>
      </c>
      <c r="L476" s="2" t="s">
        <v>8496</v>
      </c>
      <c r="M476" t="s">
        <v>8034</v>
      </c>
      <c r="N476" s="4"/>
    </row>
    <row r="477" spans="1:14" ht="52" x14ac:dyDescent="0.3">
      <c r="A477" s="1" t="str">
        <f>HYPERLINK("https://ipmanager.doe.gov/IPManager//ExternalLink.aspx?6ibkph2k9yi6F%2B0Vz7YoTk2BI6w%2FjZ2fMCumFhiuNVs%3D","Link")</f>
        <v>Link</v>
      </c>
      <c r="B477" s="2" t="s">
        <v>1675</v>
      </c>
      <c r="C477" s="2" t="s">
        <v>1676</v>
      </c>
      <c r="D477" s="2" t="s">
        <v>1677</v>
      </c>
      <c r="E477" s="2" t="s">
        <v>1678</v>
      </c>
      <c r="F477" s="2" t="s">
        <v>7619</v>
      </c>
      <c r="G477" s="2" t="s">
        <v>1679</v>
      </c>
      <c r="H477" s="8">
        <v>9325171</v>
      </c>
      <c r="I477" s="2" t="s">
        <v>1680</v>
      </c>
      <c r="J477" t="s">
        <v>7489</v>
      </c>
      <c r="K477" t="s">
        <v>7830</v>
      </c>
      <c r="L477" s="2" t="s">
        <v>8497</v>
      </c>
      <c r="M477" t="s">
        <v>8035</v>
      </c>
    </row>
    <row r="478" spans="1:14" ht="39" x14ac:dyDescent="0.3">
      <c r="A478" s="1" t="str">
        <f>HYPERLINK("https://ipmanager.doe.gov/IPManager//ExternalLink.aspx?6ibkph2k9yi6F%2B0Vz7YoTipZ798QK%2BbPdCQ8bzIhr0k%3D","Link")</f>
        <v>Link</v>
      </c>
      <c r="B478" s="2" t="s">
        <v>1681</v>
      </c>
      <c r="C478" s="2" t="s">
        <v>1676</v>
      </c>
      <c r="D478" s="2" t="s">
        <v>1677</v>
      </c>
      <c r="E478" s="2" t="s">
        <v>1682</v>
      </c>
      <c r="F478" s="2" t="s">
        <v>7620</v>
      </c>
      <c r="G478" s="2" t="s">
        <v>1683</v>
      </c>
      <c r="H478" s="8">
        <v>9114281</v>
      </c>
      <c r="I478" s="2" t="s">
        <v>470</v>
      </c>
      <c r="J478" t="s">
        <v>7490</v>
      </c>
      <c r="K478" t="s">
        <v>7831</v>
      </c>
      <c r="L478" s="2" t="s">
        <v>8497</v>
      </c>
      <c r="M478" t="s">
        <v>8035</v>
      </c>
    </row>
    <row r="479" spans="1:14" ht="39" x14ac:dyDescent="0.3">
      <c r="A479" s="1" t="str">
        <f>HYPERLINK("https://ipmanager.doe.gov/IPManager//ExternalLink.aspx?6ibkph2k9yi6F%2B0Vz7YoTipZ798QK%2BbPuuXrc5Bz9Zw%3D","Link")</f>
        <v>Link</v>
      </c>
      <c r="B479" s="2" t="s">
        <v>1688</v>
      </c>
      <c r="C479" s="2" t="s">
        <v>1676</v>
      </c>
      <c r="D479" s="2" t="s">
        <v>1677</v>
      </c>
      <c r="E479" s="2" t="s">
        <v>1689</v>
      </c>
      <c r="F479" s="2" t="s">
        <v>1690</v>
      </c>
      <c r="G479" s="2" t="s">
        <v>392</v>
      </c>
      <c r="H479" s="8">
        <v>9281756</v>
      </c>
      <c r="I479" s="2" t="s">
        <v>1691</v>
      </c>
      <c r="J479" t="s">
        <v>7479</v>
      </c>
      <c r="K479" t="s">
        <v>7832</v>
      </c>
      <c r="L479" s="2" t="s">
        <v>8497</v>
      </c>
      <c r="M479" t="s">
        <v>8035</v>
      </c>
    </row>
    <row r="480" spans="1:14" ht="39" x14ac:dyDescent="0.3">
      <c r="A480" s="1" t="str">
        <f>HYPERLINK("https://ipmanager.doe.gov/IPManager//ExternalLink.aspx?6ibkph2k9yi6F%2B0Vz7YoTipZ798QK%2BbPiDHPYZ%2BwzjY%3D","Link")</f>
        <v>Link</v>
      </c>
      <c r="B480" s="2" t="s">
        <v>1684</v>
      </c>
      <c r="C480" s="2" t="s">
        <v>1676</v>
      </c>
      <c r="D480" s="2" t="s">
        <v>1677</v>
      </c>
      <c r="E480" s="2" t="s">
        <v>1685</v>
      </c>
      <c r="F480" s="2" t="s">
        <v>1686</v>
      </c>
      <c r="G480" s="2" t="s">
        <v>1687</v>
      </c>
      <c r="H480" s="7"/>
      <c r="I480" s="2" t="s">
        <v>9</v>
      </c>
      <c r="K480" t="e">
        <v>#N/A</v>
      </c>
      <c r="L480" s="2" t="s">
        <v>8497</v>
      </c>
      <c r="M480" t="s">
        <v>8035</v>
      </c>
      <c r="N480" s="4"/>
    </row>
    <row r="481" spans="1:14" ht="65" x14ac:dyDescent="0.3">
      <c r="A481" s="1" t="str">
        <f>HYPERLINK("https://ipmanager.doe.gov/IPManager//ExternalLink.aspx?6ibkph2k9yi6F%2B0Vz7YoTipZ798QK%2BbPiLeiThTx5Z0%3D","Link")</f>
        <v>Link</v>
      </c>
      <c r="B481" s="2" t="s">
        <v>1701</v>
      </c>
      <c r="C481" s="2" t="s">
        <v>1693</v>
      </c>
      <c r="D481" s="2" t="s">
        <v>1702</v>
      </c>
      <c r="E481" s="2" t="s">
        <v>1703</v>
      </c>
      <c r="F481" s="2" t="s">
        <v>1704</v>
      </c>
      <c r="G481" s="2" t="s">
        <v>1201</v>
      </c>
      <c r="H481" s="7"/>
      <c r="I481" s="2" t="s">
        <v>9</v>
      </c>
      <c r="K481" t="e">
        <v>#N/A</v>
      </c>
      <c r="L481" s="2" t="s">
        <v>8498</v>
      </c>
      <c r="M481" t="s">
        <v>8036</v>
      </c>
      <c r="N481" s="4"/>
    </row>
    <row r="482" spans="1:14" ht="52" x14ac:dyDescent="0.3">
      <c r="A482" s="1" t="str">
        <f>HYPERLINK("https://ipmanager.doe.gov/IPManager//ExternalLink.aspx?6ibkph2k9yi6F%2B0Vz7YoTipZ798QK%2BbPygXWNRreWEM%3D","Link")</f>
        <v>Link</v>
      </c>
      <c r="B482" s="2" t="s">
        <v>1692</v>
      </c>
      <c r="C482" s="2" t="s">
        <v>1693</v>
      </c>
      <c r="D482" s="2" t="s">
        <v>154</v>
      </c>
      <c r="E482" s="2" t="s">
        <v>1694</v>
      </c>
      <c r="F482" s="2"/>
      <c r="G482" s="2" t="s">
        <v>9</v>
      </c>
      <c r="H482" s="7"/>
      <c r="I482" s="2" t="s">
        <v>9</v>
      </c>
      <c r="K482" t="e">
        <v>#N/A</v>
      </c>
      <c r="L482" s="2" t="s">
        <v>8498</v>
      </c>
      <c r="M482" t="s">
        <v>8036</v>
      </c>
      <c r="N482" s="4"/>
    </row>
    <row r="483" spans="1:14" ht="65" x14ac:dyDescent="0.3">
      <c r="A483" s="1" t="str">
        <f>HYPERLINK("https://ipmanager.doe.gov/IPManager//ExternalLink.aspx?6ibkph2k9yi6F%2B0Vz7YoTipZ798QK%2BbPulNSFG5vHXI%3D","Link")</f>
        <v>Link</v>
      </c>
      <c r="B483" s="2" t="s">
        <v>1695</v>
      </c>
      <c r="C483" s="2" t="s">
        <v>1693</v>
      </c>
      <c r="D483" s="2" t="s">
        <v>154</v>
      </c>
      <c r="E483" s="2" t="s">
        <v>1696</v>
      </c>
      <c r="F483" s="2"/>
      <c r="G483" s="2" t="s">
        <v>9</v>
      </c>
      <c r="H483" s="7"/>
      <c r="I483" s="2" t="s">
        <v>9</v>
      </c>
      <c r="K483" t="e">
        <v>#N/A</v>
      </c>
      <c r="L483" s="2" t="s">
        <v>8498</v>
      </c>
      <c r="M483" t="s">
        <v>8036</v>
      </c>
      <c r="N483" s="4"/>
    </row>
    <row r="484" spans="1:14" ht="65" x14ac:dyDescent="0.3">
      <c r="A484" s="1" t="str">
        <f>HYPERLINK("https://ipmanager.doe.gov/IPManager//ExternalLink.aspx?6ibkph2k9yi6F%2B0Vz7YoTipZ798QK%2BbPqLFrHbvVP%2Bo%3D","Link")</f>
        <v>Link</v>
      </c>
      <c r="B484" s="2" t="s">
        <v>1697</v>
      </c>
      <c r="C484" s="2" t="s">
        <v>1693</v>
      </c>
      <c r="D484" s="2" t="s">
        <v>154</v>
      </c>
      <c r="E484" s="2" t="s">
        <v>1698</v>
      </c>
      <c r="F484" s="2"/>
      <c r="G484" s="2" t="s">
        <v>9</v>
      </c>
      <c r="H484" s="7"/>
      <c r="I484" s="2" t="s">
        <v>9</v>
      </c>
      <c r="K484" t="e">
        <v>#N/A</v>
      </c>
      <c r="L484" s="2" t="s">
        <v>8498</v>
      </c>
      <c r="M484" t="s">
        <v>8036</v>
      </c>
      <c r="N484" s="4"/>
    </row>
    <row r="485" spans="1:14" ht="78" x14ac:dyDescent="0.3">
      <c r="A485" s="1" t="str">
        <f>HYPERLINK("https://ipmanager.doe.gov/IPManager//ExternalLink.aspx?6ibkph2k9yi6F%2B0Vz7YoTipZ798QK%2BbPnPBjrVZsOTs%3D","Link")</f>
        <v>Link</v>
      </c>
      <c r="B485" s="2" t="s">
        <v>1699</v>
      </c>
      <c r="C485" s="2" t="s">
        <v>1693</v>
      </c>
      <c r="D485" s="2" t="s">
        <v>154</v>
      </c>
      <c r="E485" s="2" t="s">
        <v>1700</v>
      </c>
      <c r="F485" s="2"/>
      <c r="G485" s="2" t="s">
        <v>9</v>
      </c>
      <c r="H485" s="7"/>
      <c r="I485" s="2" t="s">
        <v>9</v>
      </c>
      <c r="K485" t="e">
        <v>#N/A</v>
      </c>
      <c r="L485" s="2" t="s">
        <v>8498</v>
      </c>
      <c r="M485" t="s">
        <v>8036</v>
      </c>
      <c r="N485" s="4"/>
    </row>
    <row r="486" spans="1:14" ht="52" x14ac:dyDescent="0.3">
      <c r="A486" s="1" t="str">
        <f>HYPERLINK("https://ipmanager.doe.gov/IPManager//ExternalLink.aspx?6ibkph2k9yi6F%2B0Vz7YoTipZ798QK%2BbPxOet97sqask%3D","Link")</f>
        <v>Link</v>
      </c>
      <c r="B486" s="2" t="s">
        <v>1705</v>
      </c>
      <c r="C486" s="2" t="s">
        <v>1706</v>
      </c>
      <c r="D486" s="2" t="s">
        <v>1707</v>
      </c>
      <c r="E486" s="2" t="s">
        <v>1708</v>
      </c>
      <c r="F486" s="2"/>
      <c r="G486" s="2" t="s">
        <v>9</v>
      </c>
      <c r="H486" s="7"/>
      <c r="I486" s="2" t="s">
        <v>9</v>
      </c>
      <c r="K486" t="e">
        <v>#N/A</v>
      </c>
      <c r="L486" s="2" t="s">
        <v>8499</v>
      </c>
      <c r="M486" t="s">
        <v>8037</v>
      </c>
      <c r="N486" s="4"/>
    </row>
    <row r="487" spans="1:14" ht="52" x14ac:dyDescent="0.3">
      <c r="A487" s="1" t="str">
        <f>HYPERLINK("https://ipmanager.doe.gov/IPManager//ExternalLink.aspx?6ibkph2k9yi6F%2B0Vz7YoTq6RR9BlGHHiY4DPRmVF47Q%3D","Link")</f>
        <v>Link</v>
      </c>
      <c r="B487" s="2" t="s">
        <v>1709</v>
      </c>
      <c r="C487" s="2" t="s">
        <v>1706</v>
      </c>
      <c r="D487" s="2" t="s">
        <v>1707</v>
      </c>
      <c r="E487" s="2" t="s">
        <v>1710</v>
      </c>
      <c r="F487" s="2"/>
      <c r="G487" s="2" t="s">
        <v>9</v>
      </c>
      <c r="H487" s="7"/>
      <c r="I487" s="2" t="s">
        <v>9</v>
      </c>
      <c r="K487" t="e">
        <v>#N/A</v>
      </c>
      <c r="L487" s="2" t="s">
        <v>8499</v>
      </c>
      <c r="M487" t="s">
        <v>8037</v>
      </c>
      <c r="N487" s="4"/>
    </row>
    <row r="488" spans="1:14" ht="26" x14ac:dyDescent="0.3">
      <c r="A488" s="1" t="str">
        <f>HYPERLINK("https://ipmanager.doe.gov/IPManager//ExternalLink.aspx?6ibkph2k9yi6F%2B0Vz7YoTk2BI6w%2FjZ2fm%2BKmcO8h3ms%3D","Link")</f>
        <v>Link</v>
      </c>
      <c r="B488" s="2" t="s">
        <v>1711</v>
      </c>
      <c r="C488" s="2" t="s">
        <v>1706</v>
      </c>
      <c r="D488" s="2" t="s">
        <v>1712</v>
      </c>
      <c r="E488" s="2" t="s">
        <v>1713</v>
      </c>
      <c r="F488" s="2" t="s">
        <v>1714</v>
      </c>
      <c r="G488" s="2" t="s">
        <v>1715</v>
      </c>
      <c r="H488" s="8">
        <v>9184237</v>
      </c>
      <c r="I488" s="2" t="s">
        <v>494</v>
      </c>
      <c r="J488" t="s">
        <v>7480</v>
      </c>
      <c r="K488" t="s">
        <v>7833</v>
      </c>
      <c r="L488" s="2" t="s">
        <v>8499</v>
      </c>
      <c r="M488" t="s">
        <v>8037</v>
      </c>
    </row>
    <row r="489" spans="1:14" ht="52" x14ac:dyDescent="0.3">
      <c r="A489" s="1" t="str">
        <f>HYPERLINK("https://ipmanager.doe.gov/IPManager//ExternalLink.aspx?6ibkph2k9yi6F%2B0Vz7YoTk2BI6w%2FjZ2fUR9LTzgKFbw%3D","Link")</f>
        <v>Link</v>
      </c>
      <c r="B489" s="2" t="s">
        <v>1716</v>
      </c>
      <c r="C489" s="2" t="s">
        <v>1706</v>
      </c>
      <c r="D489" s="2" t="s">
        <v>1712</v>
      </c>
      <c r="E489" s="2" t="s">
        <v>1717</v>
      </c>
      <c r="F489" s="2"/>
      <c r="G489" s="2" t="s">
        <v>9</v>
      </c>
      <c r="H489" s="7"/>
      <c r="I489" s="2" t="s">
        <v>9</v>
      </c>
      <c r="K489" t="e">
        <v>#N/A</v>
      </c>
      <c r="L489" s="2" t="s">
        <v>8499</v>
      </c>
      <c r="M489" t="s">
        <v>8037</v>
      </c>
      <c r="N489" s="4"/>
    </row>
    <row r="490" spans="1:14" ht="65" x14ac:dyDescent="0.3">
      <c r="A490" s="1" t="str">
        <f>HYPERLINK("https://ipmanager.doe.gov/IPManager//ExternalLink.aspx?6ibkph2k9yi6F%2B0Vz7YoTk2BI6w%2FjZ2fNJ3ZR6lo6kc%3D","Link")</f>
        <v>Link</v>
      </c>
      <c r="B490" s="2" t="s">
        <v>1718</v>
      </c>
      <c r="C490" s="2" t="s">
        <v>1719</v>
      </c>
      <c r="D490" s="2" t="s">
        <v>1720</v>
      </c>
      <c r="E490" s="2" t="s">
        <v>1721</v>
      </c>
      <c r="F490" s="2" t="s">
        <v>1722</v>
      </c>
      <c r="G490" s="2" t="s">
        <v>1723</v>
      </c>
      <c r="H490" s="7">
        <v>9607748</v>
      </c>
      <c r="I490" s="2" t="s">
        <v>1724</v>
      </c>
      <c r="J490" t="s">
        <v>7481</v>
      </c>
      <c r="K490" t="s">
        <v>7834</v>
      </c>
      <c r="L490" s="2" t="s">
        <v>8500</v>
      </c>
      <c r="M490" t="s">
        <v>8038</v>
      </c>
    </row>
    <row r="491" spans="1:14" ht="52" x14ac:dyDescent="0.3">
      <c r="A491" s="1" t="str">
        <f>HYPERLINK("https://ipmanager.doe.gov/IPManager//ExternalLink.aspx?6ibkph2k9yi6F%2B0Vz7YoTq6RR9BlGHHi86DQo7WZnho%3D","Link")</f>
        <v>Link</v>
      </c>
      <c r="B491" s="2" t="s">
        <v>1725</v>
      </c>
      <c r="C491" s="2" t="s">
        <v>1719</v>
      </c>
      <c r="D491" s="2" t="s">
        <v>1720</v>
      </c>
      <c r="E491" s="2" t="s">
        <v>1726</v>
      </c>
      <c r="F491" s="2" t="s">
        <v>1727</v>
      </c>
      <c r="G491" s="2" t="s">
        <v>1728</v>
      </c>
      <c r="H491" s="7"/>
      <c r="I491" s="2" t="s">
        <v>9</v>
      </c>
      <c r="K491" t="e">
        <v>#N/A</v>
      </c>
      <c r="L491" s="2" t="s">
        <v>8500</v>
      </c>
      <c r="M491" t="s">
        <v>8038</v>
      </c>
      <c r="N491" s="4"/>
    </row>
    <row r="492" spans="1:14" ht="52" x14ac:dyDescent="0.3">
      <c r="A492" s="1" t="str">
        <f>HYPERLINK("https://ipmanager.doe.gov/IPManager//ExternalLink.aspx?6ibkph2k9yi6F%2B0Vz7YoTvPUg%2FVZPl3infyVo%2FEX5xQ%3D","Link")</f>
        <v>Link</v>
      </c>
      <c r="B492" s="2" t="s">
        <v>1729</v>
      </c>
      <c r="C492" s="2" t="s">
        <v>1730</v>
      </c>
      <c r="D492" s="2" t="s">
        <v>1731</v>
      </c>
      <c r="E492" s="2" t="s">
        <v>1732</v>
      </c>
      <c r="F492" s="2" t="s">
        <v>1733</v>
      </c>
      <c r="G492" s="2" t="s">
        <v>1734</v>
      </c>
      <c r="H492" s="7"/>
      <c r="I492" s="2" t="s">
        <v>9</v>
      </c>
      <c r="K492" t="e">
        <v>#N/A</v>
      </c>
      <c r="L492" s="2" t="s">
        <v>8501</v>
      </c>
      <c r="M492" t="s">
        <v>8039</v>
      </c>
      <c r="N492" s="4"/>
    </row>
    <row r="493" spans="1:14" ht="52" x14ac:dyDescent="0.3">
      <c r="A493" s="1" t="str">
        <f>HYPERLINK("https://ipmanager.doe.gov/IPManager//ExternalLink.aspx?6ibkph2k9yi6F%2B0Vz7YoTvPUg%2FVZPl3iAvZZjSzbEYs%3D","Link")</f>
        <v>Link</v>
      </c>
      <c r="B493" s="2" t="s">
        <v>1736</v>
      </c>
      <c r="C493" s="2" t="s">
        <v>1730</v>
      </c>
      <c r="D493" s="2" t="s">
        <v>1731</v>
      </c>
      <c r="E493" s="2" t="s">
        <v>1737</v>
      </c>
      <c r="F493" s="2" t="s">
        <v>1738</v>
      </c>
      <c r="G493" s="2" t="s">
        <v>1739</v>
      </c>
      <c r="H493" s="7"/>
      <c r="I493" s="2" t="s">
        <v>9</v>
      </c>
      <c r="K493" t="e">
        <v>#N/A</v>
      </c>
      <c r="L493" s="2" t="s">
        <v>8501</v>
      </c>
      <c r="M493" t="s">
        <v>8039</v>
      </c>
      <c r="N493" s="4"/>
    </row>
    <row r="494" spans="1:14" ht="52" x14ac:dyDescent="0.3">
      <c r="A494" s="1" t="str">
        <f>HYPERLINK("https://ipmanager.doe.gov/IPManager//ExternalLink.aspx?6ibkph2k9yi6F%2B0Vz7YoTq6RR9BlGHHir6nDBjSnnoI%3D","Link")</f>
        <v>Link</v>
      </c>
      <c r="B494" s="2" t="s">
        <v>1747</v>
      </c>
      <c r="C494" s="2" t="s">
        <v>1730</v>
      </c>
      <c r="D494" s="2" t="s">
        <v>1731</v>
      </c>
      <c r="E494" s="2" t="s">
        <v>1732</v>
      </c>
      <c r="F494" s="2" t="s">
        <v>1735</v>
      </c>
      <c r="G494" s="2" t="s">
        <v>405</v>
      </c>
      <c r="H494" s="7"/>
      <c r="I494" s="2" t="s">
        <v>9</v>
      </c>
      <c r="K494" t="e">
        <v>#N/A</v>
      </c>
      <c r="L494" s="2" t="s">
        <v>8501</v>
      </c>
      <c r="M494" t="s">
        <v>8039</v>
      </c>
      <c r="N494" s="4"/>
    </row>
    <row r="495" spans="1:14" ht="26" x14ac:dyDescent="0.3">
      <c r="A495" s="1" t="str">
        <f>HYPERLINK("https://ipmanager.doe.gov/IPManager//ExternalLink.aspx?6ibkph2k9yi6F%2B0Vz7YoTo7DPLa3%2F%2FGgvKldO39KllI%3D","Link")</f>
        <v>Link</v>
      </c>
      <c r="B495" s="2" t="s">
        <v>1755</v>
      </c>
      <c r="C495" s="2" t="s">
        <v>1730</v>
      </c>
      <c r="D495" s="2" t="s">
        <v>1731</v>
      </c>
      <c r="E495" s="2" t="s">
        <v>1756</v>
      </c>
      <c r="F495" s="2" t="s">
        <v>1740</v>
      </c>
      <c r="G495" s="2" t="s">
        <v>1757</v>
      </c>
      <c r="H495" s="7"/>
      <c r="I495" s="2" t="s">
        <v>9</v>
      </c>
      <c r="K495" t="e">
        <v>#N/A</v>
      </c>
      <c r="L495" s="2" t="s">
        <v>8501</v>
      </c>
      <c r="M495" t="s">
        <v>8039</v>
      </c>
      <c r="N495" s="4"/>
    </row>
    <row r="496" spans="1:14" ht="26" x14ac:dyDescent="0.3">
      <c r="A496" s="1" t="str">
        <f>HYPERLINK("https://ipmanager.doe.gov/IPManager//ExternalLink.aspx?6ibkph2k9yi6F%2B0Vz7YoTvPUg%2FVZPl3iZkimOeMUD80%3D","Link")</f>
        <v>Link</v>
      </c>
      <c r="B496" s="2" t="s">
        <v>1741</v>
      </c>
      <c r="C496" s="2" t="s">
        <v>1730</v>
      </c>
      <c r="D496" s="2" t="s">
        <v>1731</v>
      </c>
      <c r="E496" s="2" t="s">
        <v>1742</v>
      </c>
      <c r="F496" s="2" t="s">
        <v>1743</v>
      </c>
      <c r="G496" s="2" t="s">
        <v>381</v>
      </c>
      <c r="H496" s="7"/>
      <c r="I496" s="2" t="s">
        <v>9</v>
      </c>
      <c r="J496" t="s">
        <v>7532</v>
      </c>
      <c r="K496" t="s">
        <v>7835</v>
      </c>
      <c r="L496" s="2" t="s">
        <v>8501</v>
      </c>
      <c r="M496" t="s">
        <v>8039</v>
      </c>
      <c r="N496" s="4"/>
    </row>
    <row r="497" spans="1:14" ht="39" x14ac:dyDescent="0.3">
      <c r="A497" s="1" t="str">
        <f>HYPERLINK("https://ipmanager.doe.gov/IPManager//ExternalLink.aspx?6ibkph2k9yi6F%2B0Vz7YoTvPUg%2FVZPl3i%2BmVob8DuYYw%3D","Link")</f>
        <v>Link</v>
      </c>
      <c r="B497" s="2" t="s">
        <v>1745</v>
      </c>
      <c r="C497" s="2" t="s">
        <v>1730</v>
      </c>
      <c r="D497" s="2" t="s">
        <v>1731</v>
      </c>
      <c r="E497" s="2" t="s">
        <v>1746</v>
      </c>
      <c r="F497" s="2"/>
      <c r="G497" s="2" t="s">
        <v>9</v>
      </c>
      <c r="H497" s="7"/>
      <c r="I497" s="2" t="s">
        <v>9</v>
      </c>
      <c r="K497" t="e">
        <v>#N/A</v>
      </c>
      <c r="L497" s="2" t="s">
        <v>8501</v>
      </c>
      <c r="M497" t="s">
        <v>8039</v>
      </c>
      <c r="N497" s="4"/>
    </row>
    <row r="498" spans="1:14" ht="26" x14ac:dyDescent="0.3">
      <c r="A498" s="1" t="str">
        <f>HYPERLINK("https://ipmanager.doe.gov/IPManager//ExternalLink.aspx?6ibkph2k9yi6F%2B0Vz7YoTq6RR9BlGHHiQGER0929W3I%3D","Link")</f>
        <v>Link</v>
      </c>
      <c r="B498" s="2" t="s">
        <v>1748</v>
      </c>
      <c r="C498" s="2" t="s">
        <v>1730</v>
      </c>
      <c r="D498" s="2" t="s">
        <v>1731</v>
      </c>
      <c r="E498" s="2" t="s">
        <v>1742</v>
      </c>
      <c r="F498" s="2"/>
      <c r="G498" s="2" t="s">
        <v>9</v>
      </c>
      <c r="H498" s="7"/>
      <c r="I498" s="2" t="s">
        <v>9</v>
      </c>
      <c r="K498" t="e">
        <v>#N/A</v>
      </c>
      <c r="L498" s="2" t="s">
        <v>8501</v>
      </c>
      <c r="M498" t="s">
        <v>8039</v>
      </c>
      <c r="N498" s="4"/>
    </row>
    <row r="499" spans="1:14" ht="39" x14ac:dyDescent="0.3">
      <c r="A499" s="1" t="str">
        <f>HYPERLINK("https://ipmanager.doe.gov/IPManager//ExternalLink.aspx?6ibkph2k9yi6F%2B0Vz7YoTq6RR9BlGHHixXf8qVJtOCM%3D","Link")</f>
        <v>Link</v>
      </c>
      <c r="B499" s="2" t="s">
        <v>1750</v>
      </c>
      <c r="C499" s="2" t="s">
        <v>1730</v>
      </c>
      <c r="D499" s="2" t="s">
        <v>1751</v>
      </c>
      <c r="E499" s="2" t="s">
        <v>1752</v>
      </c>
      <c r="F499" s="2" t="s">
        <v>1753</v>
      </c>
      <c r="G499" s="2" t="s">
        <v>1754</v>
      </c>
      <c r="H499" s="7">
        <v>9295116</v>
      </c>
      <c r="I499" s="2" t="s">
        <v>968</v>
      </c>
      <c r="J499" t="s">
        <v>7482</v>
      </c>
      <c r="K499" t="s">
        <v>7836</v>
      </c>
      <c r="L499" s="2" t="s">
        <v>8501</v>
      </c>
      <c r="M499" t="s">
        <v>8039</v>
      </c>
    </row>
    <row r="500" spans="1:14" ht="26" x14ac:dyDescent="0.3">
      <c r="A500" s="1" t="str">
        <f>HYPERLINK("https://ipmanager.doe.gov/IPManager//ExternalLink.aspx?6ibkph2k9yi6F%2B0Vz7YoTo7DPLa3%2F%2FGgS8h1rHwtnAg%3D","Link")</f>
        <v>Link</v>
      </c>
      <c r="B500" s="2" t="s">
        <v>1758</v>
      </c>
      <c r="C500" s="2" t="s">
        <v>1730</v>
      </c>
      <c r="D500" s="2" t="s">
        <v>1731</v>
      </c>
      <c r="E500" s="2" t="s">
        <v>1742</v>
      </c>
      <c r="F500" s="2" t="s">
        <v>1744</v>
      </c>
      <c r="G500" s="2" t="s">
        <v>1749</v>
      </c>
      <c r="H500" s="7">
        <v>9359259</v>
      </c>
      <c r="I500" s="2" t="s">
        <v>1759</v>
      </c>
      <c r="J500" t="s">
        <v>7483</v>
      </c>
      <c r="K500" t="s">
        <v>7837</v>
      </c>
      <c r="L500" s="2" t="s">
        <v>8501</v>
      </c>
      <c r="M500" t="s">
        <v>8039</v>
      </c>
    </row>
    <row r="501" spans="1:14" ht="26" x14ac:dyDescent="0.3">
      <c r="A501" s="1" t="str">
        <f>HYPERLINK("https://ipmanager.doe.gov/IPManager//ExternalLink.aspx?6ibkph2k9yi6F%2B0Vz7YoTjnDGhmGHGI7uffR7KIkN78%3D","Link")</f>
        <v>Link</v>
      </c>
      <c r="B501" s="2" t="s">
        <v>1760</v>
      </c>
      <c r="C501" s="2" t="s">
        <v>1730</v>
      </c>
      <c r="D501" s="2" t="s">
        <v>1415</v>
      </c>
      <c r="E501" s="2" t="s">
        <v>1761</v>
      </c>
      <c r="F501" s="2"/>
      <c r="G501" s="2" t="s">
        <v>9</v>
      </c>
      <c r="H501" s="7"/>
      <c r="I501" s="2" t="s">
        <v>9</v>
      </c>
      <c r="K501" t="e">
        <v>#N/A</v>
      </c>
      <c r="L501" s="2" t="s">
        <v>8501</v>
      </c>
      <c r="M501" t="s">
        <v>8039</v>
      </c>
      <c r="N501" s="4"/>
    </row>
    <row r="502" spans="1:14" ht="26" x14ac:dyDescent="0.3">
      <c r="A502" s="1" t="str">
        <f>HYPERLINK("https://ipmanager.doe.gov/IPManager//ExternalLink.aspx?6ibkph2k9yi6F%2B0Vz7YoTjnDGhmGHGI7HQ%2F6FQtxr8w%3D","Link")</f>
        <v>Link</v>
      </c>
      <c r="B502" s="2" t="s">
        <v>1766</v>
      </c>
      <c r="C502" s="2" t="s">
        <v>1762</v>
      </c>
      <c r="D502" s="2" t="s">
        <v>1763</v>
      </c>
      <c r="E502" s="2" t="s">
        <v>1767</v>
      </c>
      <c r="F502" s="2" t="s">
        <v>1764</v>
      </c>
      <c r="G502" s="2" t="s">
        <v>588</v>
      </c>
      <c r="H502" s="7">
        <v>8786327</v>
      </c>
      <c r="I502" s="2" t="s">
        <v>1765</v>
      </c>
      <c r="J502" t="s">
        <v>7484</v>
      </c>
      <c r="K502" t="s">
        <v>7838</v>
      </c>
      <c r="L502" s="2" t="s">
        <v>8502</v>
      </c>
      <c r="M502" t="s">
        <v>8040</v>
      </c>
    </row>
    <row r="503" spans="1:14" ht="39" x14ac:dyDescent="0.3">
      <c r="A503" s="1" t="str">
        <f>HYPERLINK("https://ipmanager.doe.gov/IPManager//ExternalLink.aspx?6ibkph2k9yi6F%2B0Vz7YoTipZ798QK%2BbPicCJ%2BlC9Eec%3D","Link")</f>
        <v>Link</v>
      </c>
      <c r="B503" s="2" t="s">
        <v>1768</v>
      </c>
      <c r="C503" s="2" t="s">
        <v>1762</v>
      </c>
      <c r="D503" s="2" t="s">
        <v>1763</v>
      </c>
      <c r="E503" s="2" t="s">
        <v>1769</v>
      </c>
      <c r="F503" s="2" t="s">
        <v>1770</v>
      </c>
      <c r="G503" s="2" t="s">
        <v>1771</v>
      </c>
      <c r="H503" s="7">
        <v>9041435</v>
      </c>
      <c r="I503" s="2" t="s">
        <v>1772</v>
      </c>
      <c r="J503" t="s">
        <v>7485</v>
      </c>
      <c r="K503" t="s">
        <v>7839</v>
      </c>
      <c r="L503" s="2" t="s">
        <v>8502</v>
      </c>
      <c r="M503" t="s">
        <v>8040</v>
      </c>
    </row>
    <row r="504" spans="1:14" ht="26" x14ac:dyDescent="0.3">
      <c r="A504" s="1" t="str">
        <f>HYPERLINK("https://ipmanager.doe.gov/IPManager//ExternalLink.aspx?6ibkph2k9yi6F%2B0Vz7YoTo7DPLa3%2F%2FGgxk1s%2BN8Lpgc%3D","Link")</f>
        <v>Link</v>
      </c>
      <c r="B504" s="2" t="s">
        <v>1773</v>
      </c>
      <c r="C504" s="2" t="s">
        <v>1774</v>
      </c>
      <c r="D504" s="2" t="s">
        <v>1775</v>
      </c>
      <c r="E504" s="2" t="s">
        <v>1776</v>
      </c>
      <c r="F504" s="2" t="s">
        <v>1777</v>
      </c>
      <c r="G504" s="2" t="s">
        <v>1778</v>
      </c>
      <c r="H504" s="7">
        <v>9905367</v>
      </c>
      <c r="I504" s="2" t="s">
        <v>1779</v>
      </c>
      <c r="J504" t="s">
        <v>7486</v>
      </c>
      <c r="K504" t="s">
        <v>7840</v>
      </c>
      <c r="L504" s="2" t="s">
        <v>8503</v>
      </c>
      <c r="M504" t="s">
        <v>8041</v>
      </c>
    </row>
    <row r="505" spans="1:14" x14ac:dyDescent="0.3">
      <c r="A505" s="1" t="str">
        <f>HYPERLINK("https://ipmanager.doe.gov/IPManager//ExternalLink.aspx?6ibkph2k9yi6F%2B0Vz7YoTo7DPLa3%2F%2FGgDcKK7AvQUX4%3D","Link")</f>
        <v>Link</v>
      </c>
      <c r="B505" s="2" t="s">
        <v>1780</v>
      </c>
      <c r="C505" s="2" t="s">
        <v>1781</v>
      </c>
      <c r="D505" s="2" t="s">
        <v>1782</v>
      </c>
      <c r="E505" s="2" t="s">
        <v>1783</v>
      </c>
      <c r="F505" s="2" t="s">
        <v>1784</v>
      </c>
      <c r="G505" s="2" t="s">
        <v>1785</v>
      </c>
      <c r="H505" s="7">
        <v>9538875</v>
      </c>
      <c r="I505" s="2" t="s">
        <v>275</v>
      </c>
      <c r="J505" t="s">
        <v>7487</v>
      </c>
      <c r="K505" t="s">
        <v>7841</v>
      </c>
      <c r="L505" s="2" t="s">
        <v>8504</v>
      </c>
      <c r="M505" t="s">
        <v>8042</v>
      </c>
    </row>
    <row r="506" spans="1:14" ht="39" x14ac:dyDescent="0.3">
      <c r="A506" s="1" t="str">
        <f>HYPERLINK("https://ipmanager.doe.gov/IPManager//ExternalLink.aspx?6ibkph2k9yi6F%2B0Vz7YoTr7J5I%2BY4foY2RYJO8slBAE%3D","Link")</f>
        <v>Link</v>
      </c>
      <c r="B506" s="2" t="s">
        <v>1786</v>
      </c>
      <c r="C506" s="2" t="s">
        <v>1781</v>
      </c>
      <c r="D506" s="2" t="s">
        <v>1787</v>
      </c>
      <c r="E506" s="2" t="s">
        <v>1788</v>
      </c>
      <c r="F506" s="2"/>
      <c r="G506" s="2" t="s">
        <v>9</v>
      </c>
      <c r="H506" s="7"/>
      <c r="I506" s="2" t="s">
        <v>9</v>
      </c>
      <c r="K506" t="e">
        <v>#N/A</v>
      </c>
      <c r="L506" s="2" t="s">
        <v>8504</v>
      </c>
      <c r="M506" t="s">
        <v>8042</v>
      </c>
      <c r="N506" s="4"/>
    </row>
    <row r="507" spans="1:14" ht="39" x14ac:dyDescent="0.3">
      <c r="A507" s="1" t="str">
        <f>HYPERLINK("https://ipmanager.doe.gov/IPManager//ExternalLink.aspx?6ibkph2k9yi6F%2B0Vz7YoTo7DPLa3%2F%2FGg6SmZZ%2BlG0nU%3D","Link")</f>
        <v>Link</v>
      </c>
      <c r="B507" s="2" t="s">
        <v>1789</v>
      </c>
      <c r="C507" s="2" t="s">
        <v>1781</v>
      </c>
      <c r="D507" s="2" t="s">
        <v>1787</v>
      </c>
      <c r="E507" s="2" t="s">
        <v>1790</v>
      </c>
      <c r="F507" s="2"/>
      <c r="G507" s="2" t="s">
        <v>9</v>
      </c>
      <c r="H507" s="7"/>
      <c r="I507" s="2" t="s">
        <v>9</v>
      </c>
      <c r="K507" t="e">
        <v>#N/A</v>
      </c>
      <c r="L507" s="2" t="s">
        <v>8504</v>
      </c>
      <c r="M507" t="s">
        <v>8042</v>
      </c>
      <c r="N507" s="4"/>
    </row>
    <row r="508" spans="1:14" ht="65" x14ac:dyDescent="0.3">
      <c r="A508" s="1" t="str">
        <f>HYPERLINK("https://ipmanager.doe.gov/IPManager//ExternalLink.aspx?6ibkph2k9yi6F%2B0Vz7YoTk2BI6w%2FjZ2f7lp27vVeXCI%3D","Link")</f>
        <v>Link</v>
      </c>
      <c r="B508" s="2" t="s">
        <v>1791</v>
      </c>
      <c r="C508" s="2" t="s">
        <v>1792</v>
      </c>
      <c r="D508" s="2" t="s">
        <v>1793</v>
      </c>
      <c r="E508" s="2" t="s">
        <v>1794</v>
      </c>
      <c r="F508" s="2"/>
      <c r="G508" s="2" t="s">
        <v>9</v>
      </c>
      <c r="H508" s="7"/>
      <c r="I508" s="2" t="s">
        <v>9</v>
      </c>
      <c r="K508" t="e">
        <v>#N/A</v>
      </c>
      <c r="L508" s="2" t="s">
        <v>8505</v>
      </c>
      <c r="M508" t="s">
        <v>8043</v>
      </c>
      <c r="N508" s="4"/>
    </row>
    <row r="509" spans="1:14" ht="26" x14ac:dyDescent="0.3">
      <c r="A509" s="1" t="str">
        <f>HYPERLINK("https://ipmanager.doe.gov/IPManager//ExternalLink.aspx?6ibkph2k9yi6F%2B0Vz7YoTr7J5I%2BY4foYOabksf96Lrw%3D","Link")</f>
        <v>Link</v>
      </c>
      <c r="B509" s="2" t="s">
        <v>1796</v>
      </c>
      <c r="C509" s="2" t="s">
        <v>1792</v>
      </c>
      <c r="D509" s="2" t="s">
        <v>1793</v>
      </c>
      <c r="E509" s="2" t="s">
        <v>1797</v>
      </c>
      <c r="F509" s="2"/>
      <c r="G509" s="2" t="s">
        <v>9</v>
      </c>
      <c r="H509" s="7"/>
      <c r="I509" s="2" t="s">
        <v>9</v>
      </c>
      <c r="K509" t="e">
        <v>#N/A</v>
      </c>
      <c r="L509" s="2" t="s">
        <v>8505</v>
      </c>
      <c r="M509" t="s">
        <v>8043</v>
      </c>
      <c r="N509" s="4"/>
    </row>
    <row r="510" spans="1:14" ht="52" x14ac:dyDescent="0.3">
      <c r="A510" s="1" t="str">
        <f>HYPERLINK("https://ipmanager.doe.gov/IPManager//ExternalLink.aspx?6ibkph2k9yi6F%2B0Vz7YoTvPUg%2FVZPl3ik8%2Bv323BA7k%3D","Link")</f>
        <v>Link</v>
      </c>
      <c r="B510" s="2" t="s">
        <v>1798</v>
      </c>
      <c r="C510" s="2" t="s">
        <v>1799</v>
      </c>
      <c r="D510" s="2" t="s">
        <v>1433</v>
      </c>
      <c r="E510" s="2" t="s">
        <v>1800</v>
      </c>
      <c r="F510" s="2" t="s">
        <v>1801</v>
      </c>
      <c r="G510" s="2" t="s">
        <v>1802</v>
      </c>
      <c r="H510" s="2"/>
      <c r="I510" s="2" t="s">
        <v>9</v>
      </c>
      <c r="K510" t="e">
        <v>#N/A</v>
      </c>
      <c r="L510" s="2" t="s">
        <v>8506</v>
      </c>
      <c r="M510" t="s">
        <v>8044</v>
      </c>
      <c r="N510" s="4"/>
    </row>
    <row r="511" spans="1:14" ht="52" x14ac:dyDescent="0.3">
      <c r="A511" s="1" t="str">
        <f>HYPERLINK("https://ipmanager.doe.gov/IPManager//ExternalLink.aspx?6ibkph2k9yi6F%2B0Vz7YoTvPUg%2FVZPl3ip85SxS2fu3s%3D","Link")</f>
        <v>Link</v>
      </c>
      <c r="B511" s="2" t="s">
        <v>1803</v>
      </c>
      <c r="C511" s="2" t="s">
        <v>1799</v>
      </c>
      <c r="D511" s="2" t="s">
        <v>1433</v>
      </c>
      <c r="E511" s="2" t="s">
        <v>1800</v>
      </c>
      <c r="F511" s="2" t="s">
        <v>1804</v>
      </c>
      <c r="G511" s="2" t="s">
        <v>555</v>
      </c>
      <c r="H511" s="2"/>
      <c r="I511" s="2" t="s">
        <v>9</v>
      </c>
      <c r="J511" t="s">
        <v>1804</v>
      </c>
      <c r="K511" t="s">
        <v>7842</v>
      </c>
      <c r="L511" s="2" t="s">
        <v>8506</v>
      </c>
      <c r="M511" t="s">
        <v>8044</v>
      </c>
      <c r="N511" s="4"/>
    </row>
    <row r="512" spans="1:14" ht="52" x14ac:dyDescent="0.3">
      <c r="A512" s="1" t="str">
        <f>HYPERLINK("https://ipmanager.doe.gov/IPManager//ExternalLink.aspx?6ibkph2k9yi6F%2B0Vz7YoTipZ798QK%2BbPENRmGCpR2Fs%3D","Link")</f>
        <v>Link</v>
      </c>
      <c r="B512" s="2" t="s">
        <v>1805</v>
      </c>
      <c r="C512" s="2" t="s">
        <v>1806</v>
      </c>
      <c r="D512" s="2" t="s">
        <v>1807</v>
      </c>
      <c r="E512" s="2" t="s">
        <v>1808</v>
      </c>
      <c r="F512" s="2" t="s">
        <v>1809</v>
      </c>
      <c r="G512" s="2" t="s">
        <v>1810</v>
      </c>
      <c r="H512" s="7">
        <v>8955795</v>
      </c>
      <c r="I512" s="2" t="s">
        <v>206</v>
      </c>
      <c r="J512" t="s">
        <v>7488</v>
      </c>
      <c r="K512" t="e">
        <v>#N/A</v>
      </c>
      <c r="L512" s="2" t="s">
        <v>8412</v>
      </c>
      <c r="M512" t="s">
        <v>8413</v>
      </c>
    </row>
    <row r="513" spans="1:14" ht="52" x14ac:dyDescent="0.3">
      <c r="A513" s="1" t="str">
        <f>HYPERLINK("https://ipmanager.doe.gov/IPManager//ExternalLink.aspx?6ibkph2k9yi6F%2B0Vz7YoTnXVN2REjGcWuPRUE3eL4yc%3D","Link")</f>
        <v>Link</v>
      </c>
      <c r="B513" s="2" t="s">
        <v>1811</v>
      </c>
      <c r="C513" s="2" t="s">
        <v>1806</v>
      </c>
      <c r="D513" s="2" t="s">
        <v>1807</v>
      </c>
      <c r="E513" s="2" t="s">
        <v>1812</v>
      </c>
      <c r="F513" s="2" t="s">
        <v>1813</v>
      </c>
      <c r="G513" s="2" t="s">
        <v>985</v>
      </c>
      <c r="H513" s="7">
        <v>9555895</v>
      </c>
      <c r="I513" s="2" t="s">
        <v>406</v>
      </c>
      <c r="J513" t="s">
        <v>7492</v>
      </c>
      <c r="K513" t="s">
        <v>7843</v>
      </c>
      <c r="L513" s="2" t="s">
        <v>8412</v>
      </c>
      <c r="M513" t="s">
        <v>8413</v>
      </c>
    </row>
    <row r="514" spans="1:14" ht="26" x14ac:dyDescent="0.3">
      <c r="A514" s="1" t="str">
        <f>HYPERLINK("https://ipmanager.doe.gov/IPManager//ExternalLink.aspx?6ibkph2k9yi6F%2B0Vz7YoTq6RR9BlGHHipj4msHb4duo%3D","Link")</f>
        <v>Link</v>
      </c>
      <c r="B514" s="2" t="s">
        <v>1814</v>
      </c>
      <c r="C514" s="2" t="s">
        <v>1806</v>
      </c>
      <c r="D514" s="2" t="s">
        <v>1807</v>
      </c>
      <c r="E514" s="2" t="s">
        <v>1815</v>
      </c>
      <c r="F514" s="2" t="s">
        <v>1816</v>
      </c>
      <c r="G514" s="2" t="s">
        <v>1628</v>
      </c>
      <c r="H514" s="7">
        <v>9598170</v>
      </c>
      <c r="I514" s="2" t="s">
        <v>377</v>
      </c>
      <c r="J514" t="s">
        <v>7493</v>
      </c>
      <c r="K514" t="s">
        <v>7844</v>
      </c>
      <c r="L514" s="2" t="s">
        <v>8412</v>
      </c>
      <c r="M514" t="s">
        <v>8413</v>
      </c>
    </row>
    <row r="515" spans="1:14" ht="39" x14ac:dyDescent="0.3">
      <c r="A515" s="1" t="str">
        <f>HYPERLINK("https://ipmanager.doe.gov/IPManager//ExternalLink.aspx?6ibkph2k9yi6F%2B0Vz7YoTjnDGhmGHGI7NYpsKYVlCtk%3D","Link")</f>
        <v>Link</v>
      </c>
      <c r="B515" s="2" t="s">
        <v>1837</v>
      </c>
      <c r="C515" s="2" t="s">
        <v>1818</v>
      </c>
      <c r="D515" s="2" t="s">
        <v>1838</v>
      </c>
      <c r="E515" s="2" t="s">
        <v>1839</v>
      </c>
      <c r="F515" s="2" t="s">
        <v>7621</v>
      </c>
      <c r="G515" s="2" t="s">
        <v>1840</v>
      </c>
      <c r="H515" s="7"/>
      <c r="I515" s="2" t="s">
        <v>9</v>
      </c>
      <c r="K515" t="e">
        <v>#N/A</v>
      </c>
      <c r="L515" s="2" t="s">
        <v>8507</v>
      </c>
      <c r="M515" t="s">
        <v>8045</v>
      </c>
      <c r="N515" s="4"/>
    </row>
    <row r="516" spans="1:14" ht="39" x14ac:dyDescent="0.3">
      <c r="A516" s="1" t="str">
        <f>HYPERLINK("https://ipmanager.doe.gov/IPManager//ExternalLink.aspx?6ibkph2k9yi6F%2B0Vz7YoTvPUg%2FVZPl3ioG80foefq3Q%3D","Link")</f>
        <v>Link</v>
      </c>
      <c r="B516" s="2" t="s">
        <v>1817</v>
      </c>
      <c r="C516" s="2" t="s">
        <v>1818</v>
      </c>
      <c r="D516" s="2" t="s">
        <v>770</v>
      </c>
      <c r="E516" s="2" t="s">
        <v>1819</v>
      </c>
      <c r="F516" s="2" t="s">
        <v>1820</v>
      </c>
      <c r="G516" s="2" t="s">
        <v>1821</v>
      </c>
      <c r="H516" s="7">
        <v>9041003</v>
      </c>
      <c r="I516" s="2" t="s">
        <v>1772</v>
      </c>
      <c r="J516" t="s">
        <v>7494</v>
      </c>
      <c r="K516" t="s">
        <v>7845</v>
      </c>
      <c r="L516" s="2" t="s">
        <v>8507</v>
      </c>
      <c r="M516" t="s">
        <v>8045</v>
      </c>
    </row>
    <row r="517" spans="1:14" ht="39" x14ac:dyDescent="0.3">
      <c r="A517" s="1" t="str">
        <f>HYPERLINK("https://ipmanager.doe.gov/IPManager//ExternalLink.aspx?6ibkph2k9yi6F%2B0Vz7YoTvPUg%2FVZPl3ikv6mWDVlS1E%3D","Link")</f>
        <v>Link</v>
      </c>
      <c r="B517" s="2" t="s">
        <v>1822</v>
      </c>
      <c r="C517" s="2" t="s">
        <v>1818</v>
      </c>
      <c r="D517" s="2" t="s">
        <v>770</v>
      </c>
      <c r="E517" s="2" t="s">
        <v>1823</v>
      </c>
      <c r="F517" s="2" t="s">
        <v>7622</v>
      </c>
      <c r="G517" s="2" t="s">
        <v>1824</v>
      </c>
      <c r="H517" s="8">
        <v>9911813</v>
      </c>
      <c r="I517" s="2" t="s">
        <v>1825</v>
      </c>
      <c r="J517" t="s">
        <v>7491</v>
      </c>
      <c r="K517" t="s">
        <v>7846</v>
      </c>
      <c r="L517" s="2" t="s">
        <v>8507</v>
      </c>
      <c r="M517" t="s">
        <v>8045</v>
      </c>
    </row>
    <row r="518" spans="1:14" ht="39" x14ac:dyDescent="0.3">
      <c r="A518" s="1" t="str">
        <f>HYPERLINK("https://ipmanager.doe.gov/IPManager//ExternalLink.aspx?6ibkph2k9yi6F%2B0Vz7YoTipZ798QK%2BbPGgMVXEC0%2BXU%3D","Link")</f>
        <v>Link</v>
      </c>
      <c r="B518" s="2" t="s">
        <v>1826</v>
      </c>
      <c r="C518" s="2" t="s">
        <v>1818</v>
      </c>
      <c r="D518" s="2" t="s">
        <v>770</v>
      </c>
      <c r="E518" s="2" t="s">
        <v>1827</v>
      </c>
      <c r="F518" s="2" t="s">
        <v>1828</v>
      </c>
      <c r="G518" s="2" t="s">
        <v>1829</v>
      </c>
      <c r="H518" s="8">
        <v>9570600</v>
      </c>
      <c r="I518" s="2" t="s">
        <v>1830</v>
      </c>
      <c r="J518" t="s">
        <v>7495</v>
      </c>
      <c r="K518" t="s">
        <v>7847</v>
      </c>
      <c r="L518" s="2" t="s">
        <v>8507</v>
      </c>
      <c r="M518" t="s">
        <v>8045</v>
      </c>
    </row>
    <row r="519" spans="1:14" ht="39" x14ac:dyDescent="0.3">
      <c r="A519" s="1" t="str">
        <f>HYPERLINK("https://ipmanager.doe.gov/IPManager//ExternalLink.aspx?6ibkph2k9yi6F%2B0Vz7YoTipZ798QK%2BbPbpxVpX23xoc%3D","Link")</f>
        <v>Link</v>
      </c>
      <c r="B519" s="2" t="s">
        <v>1831</v>
      </c>
      <c r="C519" s="2" t="s">
        <v>1818</v>
      </c>
      <c r="D519" s="2" t="s">
        <v>770</v>
      </c>
      <c r="E519" s="2" t="s">
        <v>1832</v>
      </c>
      <c r="F519" s="2" t="s">
        <v>1833</v>
      </c>
      <c r="G519" s="2" t="s">
        <v>1834</v>
      </c>
      <c r="H519" s="8">
        <v>9293538</v>
      </c>
      <c r="I519" s="2" t="s">
        <v>968</v>
      </c>
      <c r="J519" t="s">
        <v>7496</v>
      </c>
      <c r="K519" t="e">
        <v>#N/A</v>
      </c>
      <c r="L519" s="2" t="s">
        <v>8507</v>
      </c>
      <c r="M519" t="s">
        <v>8045</v>
      </c>
    </row>
    <row r="520" spans="1:14" ht="39" x14ac:dyDescent="0.3">
      <c r="A520" s="1" t="str">
        <f>HYPERLINK("https://ipmanager.doe.gov/IPManager//ExternalLink.aspx?6ibkph2k9yi6F%2B0Vz7YoTipZ798QK%2BbPG57xgEVOMxU%3D","Link")</f>
        <v>Link</v>
      </c>
      <c r="B520" s="2" t="s">
        <v>1835</v>
      </c>
      <c r="C520" s="2" t="s">
        <v>1818</v>
      </c>
      <c r="D520" s="2" t="s">
        <v>770</v>
      </c>
      <c r="E520" s="2" t="s">
        <v>1836</v>
      </c>
      <c r="F520" s="2"/>
      <c r="G520" s="2" t="s">
        <v>9</v>
      </c>
      <c r="H520" s="7"/>
      <c r="I520" s="2" t="s">
        <v>9</v>
      </c>
      <c r="K520" t="e">
        <v>#N/A</v>
      </c>
      <c r="L520" s="2" t="s">
        <v>8507</v>
      </c>
      <c r="M520" t="s">
        <v>8045</v>
      </c>
      <c r="N520" s="4"/>
    </row>
    <row r="521" spans="1:14" ht="39" x14ac:dyDescent="0.3">
      <c r="A521" s="1" t="str">
        <f>HYPERLINK("https://ipmanager.doe.gov/IPManager//ExternalLink.aspx?6ibkph2k9yi6F%2B0Vz7YoTk2BI6w%2FjZ2f%2BqQQen9bzqs%3D","Link")</f>
        <v>Link</v>
      </c>
      <c r="B521" s="2" t="s">
        <v>1841</v>
      </c>
      <c r="C521" s="2" t="s">
        <v>1818</v>
      </c>
      <c r="D521" s="2" t="s">
        <v>770</v>
      </c>
      <c r="E521" s="2" t="s">
        <v>1842</v>
      </c>
      <c r="F521" s="2"/>
      <c r="G521" s="2" t="s">
        <v>9</v>
      </c>
      <c r="H521" s="7"/>
      <c r="I521" s="2" t="s">
        <v>9</v>
      </c>
      <c r="K521" t="e">
        <v>#N/A</v>
      </c>
      <c r="L521" s="2" t="s">
        <v>8507</v>
      </c>
      <c r="M521" t="s">
        <v>8045</v>
      </c>
      <c r="N521" s="4"/>
    </row>
    <row r="522" spans="1:14" ht="39" x14ac:dyDescent="0.3">
      <c r="A522" s="1" t="str">
        <f>HYPERLINK("https://ipmanager.doe.gov/IPManager//ExternalLink.aspx?6ibkph2k9yi6F%2B0Vz7YoTo7DPLa3%2F%2FGg6uDw4jvi6kc%3D","Link")</f>
        <v>Link</v>
      </c>
      <c r="B522" s="2" t="s">
        <v>1817</v>
      </c>
      <c r="C522" s="2" t="s">
        <v>1818</v>
      </c>
      <c r="D522" s="2" t="s">
        <v>770</v>
      </c>
      <c r="E522" s="2" t="s">
        <v>1850</v>
      </c>
      <c r="F522" s="2" t="s">
        <v>1851</v>
      </c>
      <c r="G522" s="2" t="s">
        <v>1821</v>
      </c>
      <c r="H522" s="7"/>
      <c r="I522" s="2" t="s">
        <v>9</v>
      </c>
      <c r="J522" t="s">
        <v>7494</v>
      </c>
      <c r="K522" t="s">
        <v>7845</v>
      </c>
      <c r="L522" s="2" t="s">
        <v>8507</v>
      </c>
      <c r="M522" t="s">
        <v>8045</v>
      </c>
      <c r="N522" s="5" t="s">
        <v>7526</v>
      </c>
    </row>
    <row r="523" spans="1:14" ht="39" x14ac:dyDescent="0.3">
      <c r="A523" s="1" t="str">
        <f>HYPERLINK("https://ipmanager.doe.gov/IPManager//ExternalLink.aspx?6ibkph2k9yi6F%2B0Vz7YoTipZ798QK%2BbPInAx2jPORbk%3D","Link")</f>
        <v>Link</v>
      </c>
      <c r="B523" s="2" t="s">
        <v>1843</v>
      </c>
      <c r="C523" s="2" t="s">
        <v>1818</v>
      </c>
      <c r="D523" s="2" t="s">
        <v>770</v>
      </c>
      <c r="E523" s="2" t="s">
        <v>1844</v>
      </c>
      <c r="F523" s="2" t="s">
        <v>1845</v>
      </c>
      <c r="G523" s="2" t="s">
        <v>1846</v>
      </c>
      <c r="H523" s="7"/>
      <c r="I523" s="2" t="s">
        <v>9</v>
      </c>
      <c r="K523" t="e">
        <v>#N/A</v>
      </c>
      <c r="L523" s="2" t="s">
        <v>8507</v>
      </c>
      <c r="M523" t="s">
        <v>8045</v>
      </c>
      <c r="N523" s="4"/>
    </row>
    <row r="524" spans="1:14" ht="39" x14ac:dyDescent="0.3">
      <c r="A524" s="1" t="str">
        <f>HYPERLINK("https://ipmanager.doe.gov/IPManager//ExternalLink.aspx?6ibkph2k9yi6F%2B0Vz7YoTgZwfmYxrNyK4rqsRB%2BAav8%3D","Link")</f>
        <v>Link</v>
      </c>
      <c r="B524" s="2" t="s">
        <v>1847</v>
      </c>
      <c r="C524" s="2" t="s">
        <v>1818</v>
      </c>
      <c r="D524" s="2" t="s">
        <v>770</v>
      </c>
      <c r="E524" s="2" t="s">
        <v>1848</v>
      </c>
      <c r="F524" s="2" t="s">
        <v>1849</v>
      </c>
      <c r="G524" s="2" t="s">
        <v>1421</v>
      </c>
      <c r="H524" s="7"/>
      <c r="I524" s="2" t="s">
        <v>9</v>
      </c>
      <c r="J524" t="s">
        <v>1849</v>
      </c>
      <c r="K524" t="s">
        <v>7848</v>
      </c>
      <c r="L524" s="2" t="s">
        <v>8507</v>
      </c>
      <c r="M524" t="s">
        <v>8045</v>
      </c>
      <c r="N524" s="4"/>
    </row>
    <row r="525" spans="1:14" ht="26" x14ac:dyDescent="0.3">
      <c r="A525" s="1" t="str">
        <f>HYPERLINK("https://ipmanager.doe.gov/IPManager//ExternalLink.aspx?6ibkph2k9yi6F%2B0Vz7YoTipZ798QK%2BbP0imGVF%2Bo9fo%3D","Link")</f>
        <v>Link</v>
      </c>
      <c r="B525" s="2" t="s">
        <v>1852</v>
      </c>
      <c r="C525" s="2" t="s">
        <v>1853</v>
      </c>
      <c r="D525" s="2" t="s">
        <v>1854</v>
      </c>
      <c r="E525" s="2" t="s">
        <v>1855</v>
      </c>
      <c r="F525" s="2" t="s">
        <v>1856</v>
      </c>
      <c r="G525" s="2" t="s">
        <v>35</v>
      </c>
      <c r="H525" s="7">
        <v>9722236</v>
      </c>
      <c r="I525" s="2" t="s">
        <v>1857</v>
      </c>
      <c r="J525" t="s">
        <v>7497</v>
      </c>
      <c r="K525" t="s">
        <v>7849</v>
      </c>
      <c r="L525" s="2" t="s">
        <v>8508</v>
      </c>
      <c r="M525" t="s">
        <v>8046</v>
      </c>
    </row>
    <row r="526" spans="1:14" ht="39" x14ac:dyDescent="0.3">
      <c r="A526" s="1" t="str">
        <f>HYPERLINK("https://ipmanager.doe.gov/IPManager//ExternalLink.aspx?6ibkph2k9yi6F%2B0Vz7YoTq6RR9BlGHHi14TDZDCgv2I%3D","Link")</f>
        <v>Link</v>
      </c>
      <c r="B526" s="2" t="s">
        <v>1872</v>
      </c>
      <c r="C526" s="2" t="s">
        <v>1859</v>
      </c>
      <c r="D526" s="2" t="s">
        <v>1860</v>
      </c>
      <c r="E526" s="2" t="s">
        <v>1873</v>
      </c>
      <c r="F526" s="2"/>
      <c r="G526" s="2" t="s">
        <v>9</v>
      </c>
      <c r="H526" s="7"/>
      <c r="I526" s="2" t="s">
        <v>9</v>
      </c>
      <c r="K526" t="e">
        <v>#N/A</v>
      </c>
      <c r="L526" s="2" t="s">
        <v>8509</v>
      </c>
      <c r="M526" t="s">
        <v>8047</v>
      </c>
      <c r="N526" s="4"/>
    </row>
    <row r="527" spans="1:14" x14ac:dyDescent="0.3">
      <c r="A527" s="1" t="str">
        <f>HYPERLINK("https://ipmanager.doe.gov/IPManager//ExternalLink.aspx?6ibkph2k9yi6F%2B0Vz7YoTjnDGhmGHGI7A6BhFQTrIkU%3D","Link")</f>
        <v>Link</v>
      </c>
      <c r="B527" s="2" t="s">
        <v>1858</v>
      </c>
      <c r="C527" s="2" t="s">
        <v>1859</v>
      </c>
      <c r="D527" s="2" t="s">
        <v>1860</v>
      </c>
      <c r="E527" s="2" t="s">
        <v>1861</v>
      </c>
      <c r="F527" s="2" t="s">
        <v>1862</v>
      </c>
      <c r="G527" s="2" t="s">
        <v>1863</v>
      </c>
      <c r="H527" s="7"/>
      <c r="I527" s="2" t="s">
        <v>9</v>
      </c>
      <c r="K527" t="e">
        <v>#N/A</v>
      </c>
      <c r="L527" s="2" t="s">
        <v>8509</v>
      </c>
      <c r="M527" t="s">
        <v>8047</v>
      </c>
      <c r="N527" s="4"/>
    </row>
    <row r="528" spans="1:14" ht="39" x14ac:dyDescent="0.3">
      <c r="A528" s="1" t="str">
        <f>HYPERLINK("https://ipmanager.doe.gov/IPManager//ExternalLink.aspx?6ibkph2k9yi6F%2B0Vz7YoTjnDGhmGHGI7Co8hDAlWw0g%3D","Link")</f>
        <v>Link</v>
      </c>
      <c r="B528" s="2" t="s">
        <v>1864</v>
      </c>
      <c r="C528" s="2" t="s">
        <v>1859</v>
      </c>
      <c r="D528" s="2" t="s">
        <v>1860</v>
      </c>
      <c r="E528" s="2" t="s">
        <v>1865</v>
      </c>
      <c r="F528" s="2" t="s">
        <v>1866</v>
      </c>
      <c r="G528" s="2" t="s">
        <v>1867</v>
      </c>
      <c r="H528" s="7"/>
      <c r="I528" s="2" t="s">
        <v>9</v>
      </c>
      <c r="K528" t="e">
        <v>#N/A</v>
      </c>
      <c r="L528" s="2" t="s">
        <v>8509</v>
      </c>
      <c r="M528" t="s">
        <v>8047</v>
      </c>
      <c r="N528" s="4"/>
    </row>
    <row r="529" spans="1:14" ht="26" x14ac:dyDescent="0.3">
      <c r="A529" s="1" t="str">
        <f>HYPERLINK("https://ipmanager.doe.gov/IPManager//ExternalLink.aspx?6ibkph2k9yi6F%2B0Vz7YoTq6RR9BlGHHiPAb5uP3D%2BHQ%3D","Link")</f>
        <v>Link</v>
      </c>
      <c r="B529" s="2" t="s">
        <v>1868</v>
      </c>
      <c r="C529" s="2" t="s">
        <v>1859</v>
      </c>
      <c r="D529" s="2" t="s">
        <v>1860</v>
      </c>
      <c r="E529" s="2" t="s">
        <v>1869</v>
      </c>
      <c r="F529" s="2" t="s">
        <v>1870</v>
      </c>
      <c r="G529" s="2" t="s">
        <v>1871</v>
      </c>
      <c r="H529" s="7"/>
      <c r="I529" s="2" t="s">
        <v>9</v>
      </c>
      <c r="K529" t="e">
        <v>#N/A</v>
      </c>
      <c r="L529" s="2" t="s">
        <v>8509</v>
      </c>
      <c r="M529" t="s">
        <v>8047</v>
      </c>
      <c r="N529" s="4"/>
    </row>
    <row r="530" spans="1:14" ht="52" x14ac:dyDescent="0.3">
      <c r="A530" s="1" t="str">
        <f>HYPERLINK("https://ipmanager.doe.gov/IPManager//ExternalLink.aspx?6ibkph2k9yi6F%2B0Vz7YoTq6RR9BlGHHiW0v5jKTuJNA%3D","Link")</f>
        <v>Link</v>
      </c>
      <c r="B530" s="2" t="s">
        <v>1874</v>
      </c>
      <c r="C530" s="2" t="s">
        <v>1859</v>
      </c>
      <c r="D530" s="2" t="s">
        <v>1860</v>
      </c>
      <c r="E530" s="2" t="s">
        <v>1875</v>
      </c>
      <c r="F530" s="2" t="s">
        <v>1876</v>
      </c>
      <c r="G530" s="2" t="s">
        <v>1877</v>
      </c>
      <c r="H530" s="7"/>
      <c r="I530" s="2" t="s">
        <v>9</v>
      </c>
      <c r="K530" t="e">
        <v>#N/A</v>
      </c>
      <c r="L530" s="2" t="s">
        <v>8509</v>
      </c>
      <c r="M530" t="s">
        <v>8047</v>
      </c>
      <c r="N530" s="4"/>
    </row>
    <row r="531" spans="1:14" ht="39" x14ac:dyDescent="0.3">
      <c r="A531" s="1" t="str">
        <f>HYPERLINK("https://ipmanager.doe.gov/IPManager//ExternalLink.aspx?6ibkph2k9yi6F%2B0Vz7YoTjnDGhmGHGI7NAxNopSp%2Bvs%3D","Link")</f>
        <v>Link</v>
      </c>
      <c r="B531" s="2" t="s">
        <v>1878</v>
      </c>
      <c r="C531" s="2" t="s">
        <v>1879</v>
      </c>
      <c r="D531" s="2" t="s">
        <v>1880</v>
      </c>
      <c r="E531" s="2" t="s">
        <v>1881</v>
      </c>
      <c r="F531" s="2" t="s">
        <v>1882</v>
      </c>
      <c r="G531" s="2" t="s">
        <v>1050</v>
      </c>
      <c r="H531" s="2"/>
      <c r="I531" s="2" t="s">
        <v>9</v>
      </c>
      <c r="J531" t="s">
        <v>3468</v>
      </c>
      <c r="K531" t="s">
        <v>7850</v>
      </c>
      <c r="L531" s="2" t="s">
        <v>8510</v>
      </c>
      <c r="M531" t="s">
        <v>8048</v>
      </c>
      <c r="N531" s="4"/>
    </row>
    <row r="532" spans="1:14" ht="39" x14ac:dyDescent="0.3">
      <c r="A532" s="1" t="str">
        <f>HYPERLINK("https://ipmanager.doe.gov/IPManager//ExternalLink.aspx?6ibkph2k9yi6F%2B0Vz7YoTr7J5I%2BY4foYXMuNWSSOUvk%3D","Link")</f>
        <v>Link</v>
      </c>
      <c r="B532" s="2" t="s">
        <v>1886</v>
      </c>
      <c r="C532" s="2" t="s">
        <v>1879</v>
      </c>
      <c r="D532" s="2" t="s">
        <v>1880</v>
      </c>
      <c r="E532" s="2" t="s">
        <v>1887</v>
      </c>
      <c r="F532" s="2" t="s">
        <v>1888</v>
      </c>
      <c r="G532" s="2" t="s">
        <v>1883</v>
      </c>
      <c r="H532" s="2"/>
      <c r="I532" s="2" t="s">
        <v>9</v>
      </c>
      <c r="J532" t="s">
        <v>2338</v>
      </c>
      <c r="K532" t="s">
        <v>7756</v>
      </c>
      <c r="L532" s="2" t="s">
        <v>8510</v>
      </c>
      <c r="M532" t="s">
        <v>8048</v>
      </c>
      <c r="N532" s="4"/>
    </row>
    <row r="533" spans="1:14" ht="39" x14ac:dyDescent="0.3">
      <c r="A533" s="1" t="str">
        <f>HYPERLINK("https://ipmanager.doe.gov/IPManager//ExternalLink.aspx?6ibkph2k9yi6F%2B0Vz7YoTjnDGhmGHGI7eHnxu%2Beli6Y%3D","Link")</f>
        <v>Link</v>
      </c>
      <c r="B533" s="2" t="s">
        <v>1884</v>
      </c>
      <c r="C533" s="2" t="s">
        <v>1879</v>
      </c>
      <c r="D533" s="2" t="s">
        <v>1880</v>
      </c>
      <c r="E533" s="2" t="s">
        <v>1885</v>
      </c>
      <c r="F533" s="2"/>
      <c r="G533" s="2" t="s">
        <v>9</v>
      </c>
      <c r="H533" s="7"/>
      <c r="I533" s="2" t="s">
        <v>9</v>
      </c>
      <c r="K533" t="e">
        <v>#N/A</v>
      </c>
      <c r="L533" s="2" t="s">
        <v>8510</v>
      </c>
      <c r="M533" t="s">
        <v>8048</v>
      </c>
      <c r="N533" s="4"/>
    </row>
    <row r="534" spans="1:14" ht="26" x14ac:dyDescent="0.3">
      <c r="A534" s="1" t="str">
        <f>HYPERLINK("https://ipmanager.doe.gov/IPManager//ExternalLink.aspx?6ibkph2k9yi6F%2B0Vz7YoTr7J5I%2BY4foY%2FZCHVjf4wVo%3D","Link")</f>
        <v>Link</v>
      </c>
      <c r="B534" s="2" t="s">
        <v>1889</v>
      </c>
      <c r="C534" s="2" t="s">
        <v>1890</v>
      </c>
      <c r="D534" s="2" t="s">
        <v>1891</v>
      </c>
      <c r="E534" s="2" t="s">
        <v>1892</v>
      </c>
      <c r="F534" s="2"/>
      <c r="G534" s="2" t="s">
        <v>9</v>
      </c>
      <c r="H534" s="7"/>
      <c r="I534" s="2" t="s">
        <v>9</v>
      </c>
      <c r="K534" t="e">
        <v>#N/A</v>
      </c>
      <c r="L534" s="2" t="s">
        <v>8511</v>
      </c>
      <c r="M534" t="s">
        <v>8049</v>
      </c>
      <c r="N534" s="4"/>
    </row>
    <row r="535" spans="1:14" ht="26" x14ac:dyDescent="0.3">
      <c r="A535" s="1" t="str">
        <f>HYPERLINK("https://ipmanager.doe.gov/IPManager//ExternalLink.aspx?6ibkph2k9yi6F%2B0Vz7YoTipZ798QK%2BbP1g63srw1Bxo%3D","Link")</f>
        <v>Link</v>
      </c>
      <c r="B535" s="2" t="s">
        <v>1893</v>
      </c>
      <c r="C535" s="2" t="s">
        <v>1890</v>
      </c>
      <c r="D535" s="2" t="s">
        <v>1891</v>
      </c>
      <c r="E535" s="2" t="s">
        <v>1894</v>
      </c>
      <c r="F535" s="2"/>
      <c r="G535" s="2" t="s">
        <v>9</v>
      </c>
      <c r="H535" s="7"/>
      <c r="I535" s="2" t="s">
        <v>9</v>
      </c>
      <c r="K535" t="e">
        <v>#N/A</v>
      </c>
      <c r="L535" s="2" t="s">
        <v>8511</v>
      </c>
      <c r="M535" t="s">
        <v>8049</v>
      </c>
      <c r="N535" s="4"/>
    </row>
    <row r="536" spans="1:14" ht="65" x14ac:dyDescent="0.3">
      <c r="A536" s="1" t="str">
        <f>HYPERLINK("https://ipmanager.doe.gov/IPManager//ExternalLink.aspx?6ibkph2k9yi6F%2B0Vz7YoTp68px7nSN2gn1PQK5gMFAk%3D","Link")</f>
        <v>Link</v>
      </c>
      <c r="B536" s="2" t="s">
        <v>1895</v>
      </c>
      <c r="C536" s="2" t="s">
        <v>1896</v>
      </c>
      <c r="D536" s="2" t="s">
        <v>1897</v>
      </c>
      <c r="E536" s="2" t="s">
        <v>1898</v>
      </c>
      <c r="F536" s="2"/>
      <c r="G536" s="2" t="s">
        <v>9</v>
      </c>
      <c r="H536" s="7"/>
      <c r="I536" s="2" t="s">
        <v>9</v>
      </c>
      <c r="K536" t="e">
        <v>#N/A</v>
      </c>
      <c r="L536" s="2" t="s">
        <v>8512</v>
      </c>
      <c r="M536" t="s">
        <v>8050</v>
      </c>
      <c r="N536" s="4"/>
    </row>
    <row r="537" spans="1:14" ht="26" x14ac:dyDescent="0.3">
      <c r="A537" s="1" t="str">
        <f>HYPERLINK("https://ipmanager.doe.gov/IPManager//ExternalLink.aspx?6ibkph2k9yi6F%2B0Vz7YoTgZwfmYxrNyKfrKh%2BfefMhg%3D","Link")</f>
        <v>Link</v>
      </c>
      <c r="B537" s="2" t="s">
        <v>1900</v>
      </c>
      <c r="C537" s="2" t="s">
        <v>1896</v>
      </c>
      <c r="D537" s="2" t="s">
        <v>1901</v>
      </c>
      <c r="E537" s="2" t="s">
        <v>1902</v>
      </c>
      <c r="F537" s="2" t="s">
        <v>1903</v>
      </c>
      <c r="G537" s="2" t="s">
        <v>1904</v>
      </c>
      <c r="H537" s="7"/>
      <c r="I537" s="2" t="s">
        <v>9</v>
      </c>
      <c r="K537" t="e">
        <v>#N/A</v>
      </c>
      <c r="L537" s="2" t="s">
        <v>8512</v>
      </c>
      <c r="M537" t="s">
        <v>8050</v>
      </c>
      <c r="N537" s="4"/>
    </row>
    <row r="538" spans="1:14" ht="52" x14ac:dyDescent="0.3">
      <c r="A538" s="1" t="str">
        <f>HYPERLINK("https://ipmanager.doe.gov/IPManager//ExternalLink.aspx?6ibkph2k9yi6F%2B0Vz7YoTr7J5I%2BY4foYoft4LVgfirQ%3D","Link")</f>
        <v>Link</v>
      </c>
      <c r="B538" s="2" t="s">
        <v>1905</v>
      </c>
      <c r="C538" s="2" t="s">
        <v>1906</v>
      </c>
      <c r="D538" s="2" t="s">
        <v>1461</v>
      </c>
      <c r="E538" s="2" t="s">
        <v>1907</v>
      </c>
      <c r="F538" s="2"/>
      <c r="G538" s="2" t="s">
        <v>9</v>
      </c>
      <c r="H538" s="7"/>
      <c r="I538" s="2" t="s">
        <v>9</v>
      </c>
      <c r="K538" t="e">
        <v>#N/A</v>
      </c>
      <c r="L538" s="2" t="s">
        <v>8513</v>
      </c>
      <c r="M538" t="s">
        <v>8051</v>
      </c>
      <c r="N538" s="4"/>
    </row>
    <row r="539" spans="1:14" ht="65" x14ac:dyDescent="0.3">
      <c r="A539" s="1" t="str">
        <f>HYPERLINK("https://ipmanager.doe.gov/IPManager//ExternalLink.aspx?6ibkph2k9yi6F%2B0Vz7YoTipZ798QK%2BbPffIJiRpHCUQ%3D","Link")</f>
        <v>Link</v>
      </c>
      <c r="B539" s="2" t="s">
        <v>1908</v>
      </c>
      <c r="C539" s="2" t="s">
        <v>1906</v>
      </c>
      <c r="D539" s="2" t="s">
        <v>1461</v>
      </c>
      <c r="E539" s="2" t="s">
        <v>1909</v>
      </c>
      <c r="F539" s="2"/>
      <c r="G539" s="2" t="s">
        <v>9</v>
      </c>
      <c r="H539" s="7"/>
      <c r="I539" s="2" t="s">
        <v>9</v>
      </c>
      <c r="K539" t="e">
        <v>#N/A</v>
      </c>
      <c r="L539" s="2" t="s">
        <v>8513</v>
      </c>
      <c r="M539" t="s">
        <v>8051</v>
      </c>
      <c r="N539" s="4"/>
    </row>
    <row r="540" spans="1:14" ht="52" x14ac:dyDescent="0.3">
      <c r="A540" s="1" t="str">
        <f>HYPERLINK("https://ipmanager.doe.gov/IPManager//ExternalLink.aspx?6ibkph2k9yi6F%2B0Vz7YoTipZ798QK%2BbPafZ28NmINsA%3D","Link")</f>
        <v>Link</v>
      </c>
      <c r="B540" s="2" t="s">
        <v>1910</v>
      </c>
      <c r="C540" s="2" t="s">
        <v>1906</v>
      </c>
      <c r="D540" s="2" t="s">
        <v>1461</v>
      </c>
      <c r="E540" s="2" t="s">
        <v>1911</v>
      </c>
      <c r="F540" s="2"/>
      <c r="G540" s="2" t="s">
        <v>9</v>
      </c>
      <c r="H540" s="7"/>
      <c r="I540" s="2" t="s">
        <v>9</v>
      </c>
      <c r="K540" t="e">
        <v>#N/A</v>
      </c>
      <c r="L540" s="2" t="s">
        <v>8513</v>
      </c>
      <c r="M540" t="s">
        <v>8051</v>
      </c>
      <c r="N540" s="4"/>
    </row>
    <row r="541" spans="1:14" ht="52" x14ac:dyDescent="0.3">
      <c r="A541" s="1" t="str">
        <f>HYPERLINK("https://ipmanager.doe.gov/IPManager//ExternalLink.aspx?6ibkph2k9yi6F%2B0Vz7YoTipZ798QK%2BbPdaghmemCx3U%3D","Link")</f>
        <v>Link</v>
      </c>
      <c r="B541" s="2" t="s">
        <v>1912</v>
      </c>
      <c r="C541" s="2" t="s">
        <v>1906</v>
      </c>
      <c r="D541" s="2" t="s">
        <v>1461</v>
      </c>
      <c r="E541" s="2" t="s">
        <v>1913</v>
      </c>
      <c r="F541" s="2"/>
      <c r="G541" s="2" t="s">
        <v>9</v>
      </c>
      <c r="H541" s="7"/>
      <c r="I541" s="2" t="s">
        <v>9</v>
      </c>
      <c r="K541" t="e">
        <v>#N/A</v>
      </c>
      <c r="L541" s="2" t="s">
        <v>8513</v>
      </c>
      <c r="M541" t="s">
        <v>8051</v>
      </c>
      <c r="N541" s="4"/>
    </row>
    <row r="542" spans="1:14" ht="65" x14ac:dyDescent="0.3">
      <c r="A542" s="1" t="str">
        <f>HYPERLINK("https://ipmanager.doe.gov/IPManager//ExternalLink.aspx?6ibkph2k9yi6F%2B0Vz7YoTipZ798QK%2BbPU1X7SVClcoQ%3D","Link")</f>
        <v>Link</v>
      </c>
      <c r="B542" s="2" t="s">
        <v>1914</v>
      </c>
      <c r="C542" s="2" t="s">
        <v>1915</v>
      </c>
      <c r="D542" s="2" t="s">
        <v>1663</v>
      </c>
      <c r="E542" s="2" t="s">
        <v>1916</v>
      </c>
      <c r="F542" s="2"/>
      <c r="G542" s="2" t="s">
        <v>9</v>
      </c>
      <c r="H542" s="7"/>
      <c r="I542" s="2" t="s">
        <v>9</v>
      </c>
      <c r="K542" t="e">
        <v>#N/A</v>
      </c>
      <c r="L542" s="2" t="s">
        <v>8514</v>
      </c>
      <c r="M542" t="s">
        <v>8052</v>
      </c>
      <c r="N542" s="4"/>
    </row>
    <row r="543" spans="1:14" ht="39" x14ac:dyDescent="0.3">
      <c r="A543" s="1" t="str">
        <f>HYPERLINK("https://ipmanager.doe.gov/IPManager//ExternalLink.aspx?6ibkph2k9yi6F%2B0Vz7YoTipZ798QK%2BbP3m0inC%2B%2Fdi8%3D","Link")</f>
        <v>Link</v>
      </c>
      <c r="B543" s="2" t="s">
        <v>1917</v>
      </c>
      <c r="C543" s="2" t="s">
        <v>1915</v>
      </c>
      <c r="D543" s="2" t="s">
        <v>1663</v>
      </c>
      <c r="E543" s="2" t="s">
        <v>1918</v>
      </c>
      <c r="F543" s="2" t="s">
        <v>1919</v>
      </c>
      <c r="G543" s="2" t="s">
        <v>747</v>
      </c>
      <c r="H543" s="8">
        <v>9488392</v>
      </c>
      <c r="I543" s="2" t="s">
        <v>1920</v>
      </c>
      <c r="J543" t="s">
        <v>7498</v>
      </c>
      <c r="K543" t="s">
        <v>7851</v>
      </c>
      <c r="L543" s="2" t="s">
        <v>8514</v>
      </c>
      <c r="M543" t="s">
        <v>8052</v>
      </c>
    </row>
    <row r="544" spans="1:14" ht="26" x14ac:dyDescent="0.3">
      <c r="A544" s="1" t="str">
        <f>HYPERLINK("https://ipmanager.doe.gov/IPManager//ExternalLink.aspx?6ibkph2k9yi6F%2B0Vz7YoTk2BI6w%2FjZ2fJSuFRmXg6LM%3D","Link")</f>
        <v>Link</v>
      </c>
      <c r="B544" s="2" t="s">
        <v>1921</v>
      </c>
      <c r="C544" s="2" t="s">
        <v>1915</v>
      </c>
      <c r="D544" s="2" t="s">
        <v>1663</v>
      </c>
      <c r="E544" s="2" t="s">
        <v>1922</v>
      </c>
      <c r="F544" s="2" t="s">
        <v>1923</v>
      </c>
      <c r="G544" s="2" t="s">
        <v>1924</v>
      </c>
      <c r="H544" s="7"/>
      <c r="I544" s="2" t="s">
        <v>9</v>
      </c>
      <c r="K544" t="e">
        <v>#N/A</v>
      </c>
      <c r="L544" s="2" t="s">
        <v>8514</v>
      </c>
      <c r="M544" t="s">
        <v>8052</v>
      </c>
      <c r="N544" s="4"/>
    </row>
    <row r="545" spans="1:14" ht="26" x14ac:dyDescent="0.3">
      <c r="A545" s="1" t="str">
        <f>HYPERLINK("https://ipmanager.doe.gov/IPManager//ExternalLink.aspx?6ibkph2k9yi6F%2B0Vz7YoTipZ798QK%2BbPJTruaJxAYww%3D","Link")</f>
        <v>Link</v>
      </c>
      <c r="B545" s="2" t="s">
        <v>1925</v>
      </c>
      <c r="C545" s="2" t="s">
        <v>1926</v>
      </c>
      <c r="D545" s="2" t="s">
        <v>100</v>
      </c>
      <c r="E545" s="2" t="s">
        <v>1927</v>
      </c>
      <c r="F545" s="2"/>
      <c r="G545" s="2" t="s">
        <v>9</v>
      </c>
      <c r="H545" s="7"/>
      <c r="I545" s="2" t="s">
        <v>9</v>
      </c>
      <c r="K545" t="e">
        <v>#N/A</v>
      </c>
      <c r="L545" s="2" t="s">
        <v>8515</v>
      </c>
      <c r="M545" t="s">
        <v>8053</v>
      </c>
      <c r="N545" s="4"/>
    </row>
    <row r="546" spans="1:14" ht="39" x14ac:dyDescent="0.3">
      <c r="A546" s="1" t="str">
        <f>HYPERLINK("https://ipmanager.doe.gov/IPManager//ExternalLink.aspx?6ibkph2k9yi6F%2B0Vz7YoTjnDGhmGHGI7uTTssEIPxW8%3D","Link")</f>
        <v>Link</v>
      </c>
      <c r="B546" s="2" t="s">
        <v>1928</v>
      </c>
      <c r="C546" s="2" t="s">
        <v>1926</v>
      </c>
      <c r="D546" s="2" t="s">
        <v>100</v>
      </c>
      <c r="E546" s="2" t="s">
        <v>1929</v>
      </c>
      <c r="F546" s="2" t="s">
        <v>1930</v>
      </c>
      <c r="G546" s="2" t="s">
        <v>9</v>
      </c>
      <c r="H546" s="7">
        <v>9577298</v>
      </c>
      <c r="I546" s="2" t="s">
        <v>9</v>
      </c>
      <c r="J546" t="s">
        <v>7507</v>
      </c>
      <c r="K546" t="s">
        <v>7852</v>
      </c>
      <c r="L546" s="2" t="s">
        <v>8515</v>
      </c>
      <c r="M546" t="s">
        <v>8053</v>
      </c>
    </row>
    <row r="547" spans="1:14" ht="65" x14ac:dyDescent="0.3">
      <c r="A547" s="1" t="str">
        <f>HYPERLINK("https://ipmanager.doe.gov/IPManager//ExternalLink.aspx?6ibkph2k9yi6F%2B0Vz7YoTjnDGhmGHGI7bpjtGWrc%2FpA%3D","Link")</f>
        <v>Link</v>
      </c>
      <c r="B547" s="2" t="s">
        <v>1931</v>
      </c>
      <c r="C547" s="2" t="s">
        <v>1932</v>
      </c>
      <c r="D547" s="2" t="s">
        <v>1933</v>
      </c>
      <c r="E547" s="2" t="s">
        <v>1934</v>
      </c>
      <c r="F547" s="2" t="s">
        <v>1935</v>
      </c>
      <c r="G547" s="2" t="s">
        <v>1936</v>
      </c>
      <c r="H547" s="7"/>
      <c r="I547" s="2" t="s">
        <v>9</v>
      </c>
      <c r="K547" t="e">
        <v>#N/A</v>
      </c>
      <c r="L547" s="2" t="e">
        <v>#N/A</v>
      </c>
      <c r="M547" t="e">
        <v>#N/A</v>
      </c>
      <c r="N547" s="4"/>
    </row>
    <row r="548" spans="1:14" ht="65" x14ac:dyDescent="0.3">
      <c r="A548" s="1" t="str">
        <f>HYPERLINK("https://ipmanager.doe.gov/IPManager//ExternalLink.aspx?6ibkph2k9yi6F%2B0Vz7YoTipZ798QK%2BbPnt9VNLERgJw%3D","Link")</f>
        <v>Link</v>
      </c>
      <c r="B548" s="2" t="s">
        <v>1938</v>
      </c>
      <c r="C548" s="2" t="s">
        <v>1932</v>
      </c>
      <c r="D548" s="2" t="s">
        <v>1933</v>
      </c>
      <c r="E548" s="2" t="s">
        <v>1939</v>
      </c>
      <c r="F548" s="2" t="s">
        <v>1940</v>
      </c>
      <c r="G548" s="2" t="s">
        <v>1941</v>
      </c>
      <c r="H548" s="7"/>
      <c r="I548" s="2" t="s">
        <v>9</v>
      </c>
      <c r="K548" t="e">
        <v>#N/A</v>
      </c>
      <c r="L548" s="2" t="e">
        <v>#N/A</v>
      </c>
      <c r="M548" t="e">
        <v>#N/A</v>
      </c>
      <c r="N548" s="4"/>
    </row>
    <row r="549" spans="1:14" ht="39" x14ac:dyDescent="0.3">
      <c r="A549" s="1" t="str">
        <f>HYPERLINK("https://ipmanager.doe.gov/IPManager//ExternalLink.aspx?6ibkph2k9yi6F%2B0Vz7YoTq6RR9BlGHHi2XGmqLVnl%2F8%3D","Link")</f>
        <v>Link</v>
      </c>
      <c r="B549" s="2" t="s">
        <v>1942</v>
      </c>
      <c r="C549" s="2" t="s">
        <v>1932</v>
      </c>
      <c r="D549" s="2" t="s">
        <v>1933</v>
      </c>
      <c r="E549" s="2" t="s">
        <v>1943</v>
      </c>
      <c r="F549" s="2" t="s">
        <v>1944</v>
      </c>
      <c r="G549" s="2" t="s">
        <v>1945</v>
      </c>
      <c r="H549" s="7"/>
      <c r="I549" s="2" t="s">
        <v>9</v>
      </c>
      <c r="K549" t="e">
        <v>#N/A</v>
      </c>
      <c r="L549" s="2" t="e">
        <v>#N/A</v>
      </c>
      <c r="M549" t="e">
        <v>#N/A</v>
      </c>
      <c r="N549" s="4"/>
    </row>
    <row r="550" spans="1:14" ht="65" x14ac:dyDescent="0.3">
      <c r="A550" s="1" t="str">
        <f>HYPERLINK("https://ipmanager.doe.gov/IPManager//ExternalLink.aspx?6ibkph2k9yi6F%2B0Vz7YoTq6RR9BlGHHi6oQiorcWwxs%3D","Link")</f>
        <v>Link</v>
      </c>
      <c r="B550" s="2" t="s">
        <v>1946</v>
      </c>
      <c r="C550" s="2" t="s">
        <v>1932</v>
      </c>
      <c r="D550" s="2" t="s">
        <v>1933</v>
      </c>
      <c r="E550" s="2" t="s">
        <v>1947</v>
      </c>
      <c r="F550" s="2" t="s">
        <v>1948</v>
      </c>
      <c r="G550" s="2" t="s">
        <v>1949</v>
      </c>
      <c r="H550" s="7"/>
      <c r="I550" s="2" t="s">
        <v>9</v>
      </c>
      <c r="K550" t="e">
        <v>#N/A</v>
      </c>
      <c r="L550" s="2" t="e">
        <v>#N/A</v>
      </c>
      <c r="M550" t="e">
        <v>#N/A</v>
      </c>
      <c r="N550" s="4"/>
    </row>
    <row r="551" spans="1:14" ht="39" x14ac:dyDescent="0.3">
      <c r="A551" s="1" t="str">
        <f>HYPERLINK("https://ipmanager.doe.gov/IPManager//ExternalLink.aspx?6ibkph2k9yi6F%2B0Vz7YoTq6RR9BlGHHi1iwxtIDzEL8%3D","Link")</f>
        <v>Link</v>
      </c>
      <c r="B551" s="2" t="s">
        <v>1950</v>
      </c>
      <c r="C551" s="2" t="s">
        <v>1951</v>
      </c>
      <c r="D551" s="2" t="s">
        <v>1952</v>
      </c>
      <c r="E551" s="2" t="s">
        <v>1953</v>
      </c>
      <c r="F551" s="2"/>
      <c r="G551" s="2" t="s">
        <v>9</v>
      </c>
      <c r="H551" s="7"/>
      <c r="I551" s="2" t="s">
        <v>9</v>
      </c>
      <c r="K551" t="e">
        <v>#N/A</v>
      </c>
      <c r="L551" s="2" t="s">
        <v>8516</v>
      </c>
      <c r="M551" t="s">
        <v>8054</v>
      </c>
      <c r="N551" s="4"/>
    </row>
    <row r="552" spans="1:14" ht="26" x14ac:dyDescent="0.3">
      <c r="A552" s="1" t="str">
        <f>HYPERLINK("https://ipmanager.doe.gov/IPManager//ExternalLink.aspx?6ibkph2k9yi6F%2B0Vz7YoTu0g4zH%2BOsvyHkide4ZhGeU%3D","Link")</f>
        <v>Link</v>
      </c>
      <c r="B552" s="2" t="s">
        <v>1961</v>
      </c>
      <c r="C552" s="2" t="s">
        <v>1951</v>
      </c>
      <c r="D552" s="2" t="s">
        <v>1952</v>
      </c>
      <c r="E552" s="2" t="s">
        <v>1962</v>
      </c>
      <c r="F552" s="2"/>
      <c r="G552" s="2" t="s">
        <v>9</v>
      </c>
      <c r="H552" s="7"/>
      <c r="I552" s="2" t="s">
        <v>9</v>
      </c>
      <c r="K552" t="e">
        <v>#N/A</v>
      </c>
      <c r="L552" s="2" t="s">
        <v>8516</v>
      </c>
      <c r="M552" t="s">
        <v>8054</v>
      </c>
      <c r="N552" s="4"/>
    </row>
    <row r="553" spans="1:14" ht="26" x14ac:dyDescent="0.3">
      <c r="A553" s="1" t="str">
        <f>HYPERLINK("https://ipmanager.doe.gov/IPManager//ExternalLink.aspx?6ibkph2k9yi6F%2B0Vz7YoTipZ798QK%2BbPImnpbLiXd5g%3D","Link")</f>
        <v>Link</v>
      </c>
      <c r="B553" s="2" t="s">
        <v>1976</v>
      </c>
      <c r="C553" s="2" t="s">
        <v>1951</v>
      </c>
      <c r="D553" s="2" t="s">
        <v>1968</v>
      </c>
      <c r="E553" s="2" t="s">
        <v>1977</v>
      </c>
      <c r="F553" s="2"/>
      <c r="G553" s="2" t="s">
        <v>9</v>
      </c>
      <c r="H553" s="7"/>
      <c r="I553" s="2" t="s">
        <v>9</v>
      </c>
      <c r="K553" t="e">
        <v>#N/A</v>
      </c>
      <c r="L553" s="2" t="s">
        <v>8516</v>
      </c>
      <c r="M553" t="s">
        <v>8054</v>
      </c>
      <c r="N553" s="4"/>
    </row>
    <row r="554" spans="1:14" ht="26" x14ac:dyDescent="0.3">
      <c r="A554" s="1" t="str">
        <f>HYPERLINK("https://ipmanager.doe.gov/IPManager//ExternalLink.aspx?6ibkph2k9yi6F%2B0Vz7YoTo7DPLa3%2F%2FGgdqgSLhZRGMg%3D","Link")</f>
        <v>Link</v>
      </c>
      <c r="B554" s="2" t="s">
        <v>1954</v>
      </c>
      <c r="C554" s="2" t="s">
        <v>1951</v>
      </c>
      <c r="D554" s="2" t="s">
        <v>1952</v>
      </c>
      <c r="E554" s="2" t="s">
        <v>1955</v>
      </c>
      <c r="F554" s="2" t="s">
        <v>1956</v>
      </c>
      <c r="G554" s="2" t="s">
        <v>1957</v>
      </c>
      <c r="H554" s="7"/>
      <c r="I554" s="2" t="s">
        <v>9</v>
      </c>
      <c r="K554" t="e">
        <v>#N/A</v>
      </c>
      <c r="L554" s="2" t="s">
        <v>8516</v>
      </c>
      <c r="M554" t="s">
        <v>8054</v>
      </c>
      <c r="N554" s="4"/>
    </row>
    <row r="555" spans="1:14" ht="26" x14ac:dyDescent="0.3">
      <c r="A555" s="1" t="str">
        <f>HYPERLINK("https://ipmanager.doe.gov/IPManager//ExternalLink.aspx?6ibkph2k9yi6F%2B0Vz7YoTp68px7nSN2gZLxOtB%2Bws1k%3D","Link")</f>
        <v>Link</v>
      </c>
      <c r="B555" s="2" t="s">
        <v>1958</v>
      </c>
      <c r="C555" s="2" t="s">
        <v>1951</v>
      </c>
      <c r="D555" s="2" t="s">
        <v>1952</v>
      </c>
      <c r="E555" s="2" t="s">
        <v>1959</v>
      </c>
      <c r="F555" s="2" t="s">
        <v>1960</v>
      </c>
      <c r="G555" s="2" t="s">
        <v>1957</v>
      </c>
      <c r="H555" s="7"/>
      <c r="I555" s="2" t="s">
        <v>9</v>
      </c>
      <c r="K555" t="e">
        <v>#N/A</v>
      </c>
      <c r="L555" s="2" t="s">
        <v>8516</v>
      </c>
      <c r="M555" t="s">
        <v>8054</v>
      </c>
      <c r="N555" s="4"/>
    </row>
    <row r="556" spans="1:14" ht="26" x14ac:dyDescent="0.3">
      <c r="A556" s="1" t="str">
        <f>HYPERLINK("https://ipmanager.doe.gov/IPManager//ExternalLink.aspx?6ibkph2k9yi6F%2B0Vz7YoTgZwfmYxrNyK8HQnvzWGqmM%3D","Link")</f>
        <v>Link</v>
      </c>
      <c r="B556" s="2" t="s">
        <v>1963</v>
      </c>
      <c r="C556" s="2" t="s">
        <v>1951</v>
      </c>
      <c r="D556" s="2" t="s">
        <v>1952</v>
      </c>
      <c r="E556" s="2" t="s">
        <v>1955</v>
      </c>
      <c r="F556" s="2" t="s">
        <v>1964</v>
      </c>
      <c r="G556" s="2" t="s">
        <v>1965</v>
      </c>
      <c r="H556" s="7"/>
      <c r="I556" s="2" t="s">
        <v>9</v>
      </c>
      <c r="J556" t="s">
        <v>1964</v>
      </c>
      <c r="K556" t="s">
        <v>7705</v>
      </c>
      <c r="L556" s="2" t="s">
        <v>8516</v>
      </c>
      <c r="M556" t="s">
        <v>8054</v>
      </c>
      <c r="N556" s="4"/>
    </row>
    <row r="557" spans="1:14" ht="26" x14ac:dyDescent="0.3">
      <c r="A557" s="1" t="str">
        <f>HYPERLINK("https://ipmanager.doe.gov/IPManager//ExternalLink.aspx?6ibkph2k9yi6F%2B0Vz7YoTk2BI6w%2FjZ2fUz5t10TeFz0%3D","Link")</f>
        <v>Link</v>
      </c>
      <c r="B557" s="2" t="s">
        <v>1974</v>
      </c>
      <c r="C557" s="2" t="s">
        <v>1951</v>
      </c>
      <c r="D557" s="2" t="s">
        <v>1952</v>
      </c>
      <c r="E557" s="2" t="s">
        <v>1959</v>
      </c>
      <c r="F557" s="2" t="s">
        <v>1975</v>
      </c>
      <c r="G557" s="2" t="s">
        <v>1965</v>
      </c>
      <c r="H557" s="7"/>
      <c r="I557" s="2" t="s">
        <v>9</v>
      </c>
      <c r="J557" t="s">
        <v>1975</v>
      </c>
      <c r="K557" t="s">
        <v>7706</v>
      </c>
      <c r="L557" s="2" t="s">
        <v>8516</v>
      </c>
      <c r="M557" t="s">
        <v>8054</v>
      </c>
      <c r="N557" s="4"/>
    </row>
    <row r="558" spans="1:14" ht="26" x14ac:dyDescent="0.3">
      <c r="A558" s="1" t="str">
        <f>HYPERLINK("https://ipmanager.doe.gov/IPManager//ExternalLink.aspx?6ibkph2k9yi6F%2B0Vz7YoTipZ798QK%2BbP8IZ11RaTbZ0%3D","Link")</f>
        <v>Link</v>
      </c>
      <c r="B558" s="2" t="s">
        <v>1982</v>
      </c>
      <c r="C558" s="2" t="s">
        <v>1951</v>
      </c>
      <c r="D558" s="2" t="s">
        <v>1952</v>
      </c>
      <c r="E558" s="2" t="s">
        <v>1959</v>
      </c>
      <c r="F558" s="2" t="s">
        <v>1983</v>
      </c>
      <c r="G558" s="2" t="s">
        <v>1984</v>
      </c>
      <c r="H558" s="7"/>
      <c r="I558" s="2" t="s">
        <v>9</v>
      </c>
      <c r="K558" t="e">
        <v>#N/A</v>
      </c>
      <c r="L558" s="2" t="s">
        <v>8516</v>
      </c>
      <c r="M558" t="s">
        <v>8054</v>
      </c>
      <c r="N558" s="4"/>
    </row>
    <row r="559" spans="1:14" ht="65" x14ac:dyDescent="0.3">
      <c r="A559" s="1" t="str">
        <f>HYPERLINK("https://ipmanager.doe.gov/IPManager//ExternalLink.aspx?6ibkph2k9yi6F%2B0Vz7YoTgZwfmYxrNyK9f5f1O6zW7Q%3D","Link")</f>
        <v>Link</v>
      </c>
      <c r="B559" s="2" t="s">
        <v>1967</v>
      </c>
      <c r="C559" s="2" t="s">
        <v>1951</v>
      </c>
      <c r="D559" s="2" t="s">
        <v>1968</v>
      </c>
      <c r="E559" s="2" t="s">
        <v>1969</v>
      </c>
      <c r="F559" s="2" t="s">
        <v>1970</v>
      </c>
      <c r="G559" s="2" t="s">
        <v>728</v>
      </c>
      <c r="H559" s="7"/>
      <c r="I559" s="2" t="s">
        <v>9</v>
      </c>
      <c r="K559" t="e">
        <v>#N/A</v>
      </c>
      <c r="L559" s="2" t="s">
        <v>8516</v>
      </c>
      <c r="M559" t="s">
        <v>8054</v>
      </c>
      <c r="N559" s="4"/>
    </row>
    <row r="560" spans="1:14" ht="26" x14ac:dyDescent="0.3">
      <c r="A560" s="1" t="str">
        <f>HYPERLINK("https://ipmanager.doe.gov/IPManager//ExternalLink.aspx?6ibkph2k9yi6F%2B0Vz7YoTgZwfmYxrNyKmAvDHkOPE2E%3D","Link")</f>
        <v>Link</v>
      </c>
      <c r="B560" s="2" t="s">
        <v>1971</v>
      </c>
      <c r="C560" s="2" t="s">
        <v>1951</v>
      </c>
      <c r="D560" s="2" t="s">
        <v>1968</v>
      </c>
      <c r="E560" s="2" t="s">
        <v>1972</v>
      </c>
      <c r="F560" s="2" t="s">
        <v>1973</v>
      </c>
      <c r="G560" s="2" t="s">
        <v>773</v>
      </c>
      <c r="H560" s="7"/>
      <c r="I560" s="2" t="s">
        <v>9</v>
      </c>
      <c r="K560" t="e">
        <v>#N/A</v>
      </c>
      <c r="L560" s="2" t="s">
        <v>8516</v>
      </c>
      <c r="M560" t="s">
        <v>8054</v>
      </c>
      <c r="N560" s="4"/>
    </row>
    <row r="561" spans="1:14" ht="26" x14ac:dyDescent="0.3">
      <c r="A561" s="1" t="str">
        <f>HYPERLINK("https://ipmanager.doe.gov/IPManager//ExternalLink.aspx?6ibkph2k9yi6F%2B0Vz7YoTipZ798QK%2BbP4%2BT3skx5fvQ%3D","Link")</f>
        <v>Link</v>
      </c>
      <c r="B561" s="2" t="s">
        <v>1978</v>
      </c>
      <c r="C561" s="2" t="s">
        <v>1951</v>
      </c>
      <c r="D561" s="2" t="s">
        <v>1968</v>
      </c>
      <c r="E561" s="2" t="s">
        <v>1979</v>
      </c>
      <c r="F561" s="2" t="s">
        <v>1980</v>
      </c>
      <c r="G561" s="2" t="s">
        <v>1981</v>
      </c>
      <c r="H561" s="7"/>
      <c r="I561" s="2" t="s">
        <v>9</v>
      </c>
      <c r="K561" t="e">
        <v>#N/A</v>
      </c>
      <c r="L561" s="2" t="s">
        <v>8516</v>
      </c>
      <c r="M561" t="s">
        <v>8054</v>
      </c>
      <c r="N561" s="4"/>
    </row>
    <row r="562" spans="1:14" ht="39" x14ac:dyDescent="0.3">
      <c r="A562" s="1" t="str">
        <f>HYPERLINK("https://ipmanager.doe.gov/IPManager//ExternalLink.aspx?6ibkph2k9yi6F%2B0Vz7YoTo7DPLa3%2F%2FGgZZPIkAmPtkI%3D","Link")</f>
        <v>Link</v>
      </c>
      <c r="B562" s="2" t="s">
        <v>1990</v>
      </c>
      <c r="C562" s="2" t="s">
        <v>1986</v>
      </c>
      <c r="D562" s="2" t="s">
        <v>1987</v>
      </c>
      <c r="E562" s="2" t="s">
        <v>1991</v>
      </c>
      <c r="F562" s="2" t="s">
        <v>1992</v>
      </c>
      <c r="G562" s="2" t="s">
        <v>1993</v>
      </c>
      <c r="H562" s="7"/>
      <c r="I562" s="2" t="s">
        <v>9</v>
      </c>
      <c r="K562" t="e">
        <v>#N/A</v>
      </c>
      <c r="L562" s="2" t="s">
        <v>8517</v>
      </c>
      <c r="M562" t="s">
        <v>8055</v>
      </c>
      <c r="N562" s="4"/>
    </row>
    <row r="563" spans="1:14" ht="52" x14ac:dyDescent="0.3">
      <c r="A563" s="1" t="str">
        <f>HYPERLINK("https://ipmanager.doe.gov/IPManager//ExternalLink.aspx?6ibkph2k9yi6F%2B0Vz7YoTlNm8snv%2FZpHMbpXCmh2GV0%3D","Link")</f>
        <v>Link</v>
      </c>
      <c r="B563" s="2" t="s">
        <v>1999</v>
      </c>
      <c r="C563" s="2" t="s">
        <v>1986</v>
      </c>
      <c r="D563" s="2" t="s">
        <v>1987</v>
      </c>
      <c r="E563" s="2" t="s">
        <v>2000</v>
      </c>
      <c r="F563" s="2" t="s">
        <v>2001</v>
      </c>
      <c r="G563" s="2" t="s">
        <v>1993</v>
      </c>
      <c r="H563" s="7"/>
      <c r="I563" s="2" t="s">
        <v>9</v>
      </c>
      <c r="K563" t="e">
        <v>#N/A</v>
      </c>
      <c r="L563" s="2" t="s">
        <v>8517</v>
      </c>
      <c r="M563" t="s">
        <v>8055</v>
      </c>
      <c r="N563" s="4"/>
    </row>
    <row r="564" spans="1:14" ht="39" x14ac:dyDescent="0.3">
      <c r="A564" s="1" t="str">
        <f>HYPERLINK("https://ipmanager.doe.gov/IPManager//ExternalLink.aspx?6ibkph2k9yi6F%2B0Vz7YoTlNm8snv%2FZpHi76bImeJTQI%3D","Link")</f>
        <v>Link</v>
      </c>
      <c r="B564" s="2" t="s">
        <v>2002</v>
      </c>
      <c r="C564" s="2" t="s">
        <v>1986</v>
      </c>
      <c r="D564" s="2" t="s">
        <v>2003</v>
      </c>
      <c r="E564" s="2" t="s">
        <v>2004</v>
      </c>
      <c r="F564" s="2" t="s">
        <v>2005</v>
      </c>
      <c r="G564" s="2" t="s">
        <v>2006</v>
      </c>
      <c r="H564" s="2"/>
      <c r="I564" s="2" t="s">
        <v>9</v>
      </c>
      <c r="K564" t="e">
        <v>#N/A</v>
      </c>
      <c r="L564" s="2" t="s">
        <v>8517</v>
      </c>
      <c r="M564" t="s">
        <v>8055</v>
      </c>
      <c r="N564" s="4"/>
    </row>
    <row r="565" spans="1:14" ht="39" x14ac:dyDescent="0.3">
      <c r="A565" s="1" t="str">
        <f>HYPERLINK("https://ipmanager.doe.gov/IPManager//ExternalLink.aspx?6ibkph2k9yi6F%2B0Vz7YoTo7DPLa3%2F%2FGgVfnHau1wqR4%3D","Link")</f>
        <v>Link</v>
      </c>
      <c r="B565" s="2" t="s">
        <v>1985</v>
      </c>
      <c r="C565" s="2" t="s">
        <v>1986</v>
      </c>
      <c r="D565" s="2" t="s">
        <v>1987</v>
      </c>
      <c r="E565" s="2" t="s">
        <v>1988</v>
      </c>
      <c r="F565" s="2" t="s">
        <v>1989</v>
      </c>
      <c r="G565" s="2" t="s">
        <v>1509</v>
      </c>
      <c r="H565" s="7"/>
      <c r="I565" s="2" t="s">
        <v>9</v>
      </c>
      <c r="J565" t="s">
        <v>7533</v>
      </c>
      <c r="K565" t="s">
        <v>7853</v>
      </c>
      <c r="L565" s="2" t="s">
        <v>8517</v>
      </c>
      <c r="M565" t="s">
        <v>8055</v>
      </c>
      <c r="N565" s="4"/>
    </row>
    <row r="566" spans="1:14" ht="52" x14ac:dyDescent="0.3">
      <c r="A566" s="1" t="str">
        <f>HYPERLINK("https://ipmanager.doe.gov/IPManager//ExternalLink.aspx?6ibkph2k9yi6F%2B0Vz7YoTlNm8snv%2FZpHor%2BRCAhHJPk%3D","Link")</f>
        <v>Link</v>
      </c>
      <c r="B566" s="2" t="s">
        <v>1994</v>
      </c>
      <c r="C566" s="2" t="s">
        <v>1986</v>
      </c>
      <c r="D566" s="2" t="s">
        <v>1995</v>
      </c>
      <c r="E566" s="2" t="s">
        <v>1996</v>
      </c>
      <c r="F566" s="2" t="s">
        <v>1997</v>
      </c>
      <c r="G566" s="2" t="s">
        <v>1998</v>
      </c>
      <c r="H566" s="7"/>
      <c r="I566" s="2" t="s">
        <v>9</v>
      </c>
      <c r="K566" t="e">
        <v>#N/A</v>
      </c>
      <c r="L566" s="2" t="s">
        <v>8517</v>
      </c>
      <c r="M566" t="s">
        <v>8055</v>
      </c>
      <c r="N566" s="4"/>
    </row>
    <row r="567" spans="1:14" ht="52" x14ac:dyDescent="0.3">
      <c r="A567" s="1" t="str">
        <f>HYPERLINK("https://ipmanager.doe.gov/IPManager//ExternalLink.aspx?6ibkph2k9yi6F%2B0Vz7YoTlNm8snv%2FZpHZzGSDDbBEzM%3D","Link")</f>
        <v>Link</v>
      </c>
      <c r="B567" s="2" t="s">
        <v>2007</v>
      </c>
      <c r="C567" s="2" t="s">
        <v>2008</v>
      </c>
      <c r="D567" s="2" t="s">
        <v>2009</v>
      </c>
      <c r="E567" s="2" t="s">
        <v>2010</v>
      </c>
      <c r="F567" s="2"/>
      <c r="G567" s="2" t="s">
        <v>9</v>
      </c>
      <c r="H567" s="7">
        <v>8137831</v>
      </c>
      <c r="I567" s="2" t="s">
        <v>803</v>
      </c>
      <c r="J567" t="s">
        <v>7508</v>
      </c>
      <c r="K567" t="s">
        <v>7854</v>
      </c>
      <c r="L567" s="2" t="s">
        <v>8402</v>
      </c>
      <c r="M567" s="10" t="s">
        <v>8414</v>
      </c>
      <c r="N567" s="4" t="s">
        <v>8438</v>
      </c>
    </row>
    <row r="568" spans="1:14" ht="52" x14ac:dyDescent="0.3">
      <c r="A568" s="1" t="str">
        <f>HYPERLINK("https://ipmanager.doe.gov/IPManager//ExternalLink.aspx?6ibkph2k9yi6F%2B0Vz7YoTlNm8snv%2FZpH13AQyPEzJMw%3D","Link")</f>
        <v>Link</v>
      </c>
      <c r="B568" s="2" t="s">
        <v>2011</v>
      </c>
      <c r="C568" s="2" t="s">
        <v>2008</v>
      </c>
      <c r="D568" s="2" t="s">
        <v>2009</v>
      </c>
      <c r="E568" s="2" t="s">
        <v>2012</v>
      </c>
      <c r="F568" s="2" t="s">
        <v>2013</v>
      </c>
      <c r="G568" s="2" t="s">
        <v>9</v>
      </c>
      <c r="H568" s="7"/>
      <c r="I568" s="2" t="s">
        <v>9</v>
      </c>
      <c r="K568" t="e">
        <v>#N/A</v>
      </c>
      <c r="L568" s="2" t="s">
        <v>8402</v>
      </c>
      <c r="M568" t="s">
        <v>8414</v>
      </c>
      <c r="N568" s="4" t="s">
        <v>8438</v>
      </c>
    </row>
    <row r="569" spans="1:14" ht="26" x14ac:dyDescent="0.3">
      <c r="A569" s="1" t="str">
        <f>HYPERLINK("https://ipmanager.doe.gov/IPManager//ExternalLink.aspx?6ibkph2k9yi6F%2B0Vz7YoTgZwfmYxrNyK4vrQpScImVk%3D","Link")</f>
        <v>Link</v>
      </c>
      <c r="B569" s="2" t="s">
        <v>2014</v>
      </c>
      <c r="C569" s="2" t="s">
        <v>2008</v>
      </c>
      <c r="D569" s="2" t="s">
        <v>2009</v>
      </c>
      <c r="E569" s="2" t="s">
        <v>2015</v>
      </c>
      <c r="F569" s="2" t="s">
        <v>2016</v>
      </c>
      <c r="G569" s="2" t="s">
        <v>9</v>
      </c>
      <c r="H569" s="7"/>
      <c r="I569" s="2" t="s">
        <v>9</v>
      </c>
      <c r="K569" t="e">
        <v>#N/A</v>
      </c>
      <c r="L569" s="2" t="s">
        <v>8402</v>
      </c>
      <c r="M569" t="s">
        <v>8414</v>
      </c>
      <c r="N569" s="4" t="s">
        <v>8438</v>
      </c>
    </row>
    <row r="570" spans="1:14" ht="39" x14ac:dyDescent="0.3">
      <c r="A570" s="1" t="str">
        <f>HYPERLINK("https://ipmanager.doe.gov/IPManager//ExternalLink.aspx?6ibkph2k9yi6F%2B0Vz7YoTgZwfmYxrNyKaAOciZ9Ibw8%3D","Link")</f>
        <v>Link</v>
      </c>
      <c r="B570" s="2" t="s">
        <v>2017</v>
      </c>
      <c r="C570" s="2" t="s">
        <v>2018</v>
      </c>
      <c r="D570" s="2" t="s">
        <v>2019</v>
      </c>
      <c r="E570" s="2" t="s">
        <v>2020</v>
      </c>
      <c r="F570" s="2"/>
      <c r="G570" s="2" t="s">
        <v>9</v>
      </c>
      <c r="H570" s="7"/>
      <c r="I570" s="2" t="s">
        <v>9</v>
      </c>
      <c r="K570" t="e">
        <v>#N/A</v>
      </c>
      <c r="L570" s="2" t="s">
        <v>8518</v>
      </c>
      <c r="M570" t="s">
        <v>8056</v>
      </c>
      <c r="N570" s="4"/>
    </row>
    <row r="571" spans="1:14" ht="39" x14ac:dyDescent="0.3">
      <c r="A571" s="1" t="str">
        <f>HYPERLINK("https://ipmanager.doe.gov/IPManager//ExternalLink.aspx?6ibkph2k9yi6F%2B0Vz7YoTgZwfmYxrNyKLpBBz%2BJeVYw%3D","Link")</f>
        <v>Link</v>
      </c>
      <c r="B571" s="2" t="s">
        <v>2021</v>
      </c>
      <c r="C571" s="2" t="s">
        <v>2018</v>
      </c>
      <c r="D571" s="2" t="s">
        <v>2019</v>
      </c>
      <c r="E571" s="2" t="s">
        <v>2022</v>
      </c>
      <c r="F571" s="2" t="s">
        <v>2023</v>
      </c>
      <c r="G571" s="2" t="s">
        <v>2024</v>
      </c>
      <c r="H571" s="7"/>
      <c r="I571" s="2" t="s">
        <v>9</v>
      </c>
      <c r="K571" t="e">
        <v>#N/A</v>
      </c>
      <c r="L571" s="2" t="s">
        <v>8518</v>
      </c>
      <c r="M571" t="s">
        <v>8056</v>
      </c>
      <c r="N571" s="4"/>
    </row>
    <row r="572" spans="1:14" ht="39" x14ac:dyDescent="0.3">
      <c r="A572" s="1" t="str">
        <f>HYPERLINK("https://ipmanager.doe.gov/IPManager//ExternalLink.aspx?6ibkph2k9yi6F%2B0Vz7YoTlNm8snv%2FZpHUU1Xw57CHu8%3D","Link")</f>
        <v>Link</v>
      </c>
      <c r="B572" s="2" t="s">
        <v>2025</v>
      </c>
      <c r="C572" s="2" t="s">
        <v>2018</v>
      </c>
      <c r="D572" s="2" t="s">
        <v>2019</v>
      </c>
      <c r="E572" s="2" t="s">
        <v>2022</v>
      </c>
      <c r="F572" s="2" t="s">
        <v>2026</v>
      </c>
      <c r="G572" s="2" t="s">
        <v>258</v>
      </c>
      <c r="H572" s="7"/>
      <c r="I572" s="2" t="s">
        <v>9</v>
      </c>
      <c r="K572" t="e">
        <v>#N/A</v>
      </c>
      <c r="L572" s="2" t="s">
        <v>8518</v>
      </c>
      <c r="M572" t="s">
        <v>8056</v>
      </c>
      <c r="N572" s="4"/>
    </row>
    <row r="573" spans="1:14" ht="39" x14ac:dyDescent="0.3">
      <c r="A573" s="1" t="str">
        <f>HYPERLINK("https://ipmanager.doe.gov/IPManager//ExternalLink.aspx?6ibkph2k9yi6F%2B0Vz7YoTq6RR9BlGHHi8295%2BK9%2FUJ0%3D","Link")</f>
        <v>Link</v>
      </c>
      <c r="B573" s="2" t="s">
        <v>2027</v>
      </c>
      <c r="C573" s="2" t="s">
        <v>2018</v>
      </c>
      <c r="D573" s="2" t="s">
        <v>2019</v>
      </c>
      <c r="E573" s="2" t="s">
        <v>2028</v>
      </c>
      <c r="F573" s="2" t="s">
        <v>2029</v>
      </c>
      <c r="G573" s="2" t="s">
        <v>1660</v>
      </c>
      <c r="H573" s="7"/>
      <c r="I573" s="2" t="s">
        <v>9</v>
      </c>
      <c r="K573" t="e">
        <v>#N/A</v>
      </c>
      <c r="L573" s="2" t="s">
        <v>8518</v>
      </c>
      <c r="M573" t="s">
        <v>8056</v>
      </c>
      <c r="N573" s="4"/>
    </row>
    <row r="574" spans="1:14" ht="52" x14ac:dyDescent="0.3">
      <c r="A574" s="1" t="str">
        <f>HYPERLINK("https://ipmanager.doe.gov/IPManager//ExternalLink.aspx?6ibkph2k9yi6F%2B0Vz7YoTo7DPLa3%2F%2FGgm5XLxf2bnL0%3D","Link")</f>
        <v>Link</v>
      </c>
      <c r="B574" s="2" t="s">
        <v>2033</v>
      </c>
      <c r="C574" s="2" t="s">
        <v>2030</v>
      </c>
      <c r="D574" s="2" t="s">
        <v>2019</v>
      </c>
      <c r="E574" s="2" t="s">
        <v>2034</v>
      </c>
      <c r="F574" s="2"/>
      <c r="G574" s="2" t="s">
        <v>9</v>
      </c>
      <c r="H574" s="7"/>
      <c r="I574" s="2" t="s">
        <v>9</v>
      </c>
      <c r="K574" t="e">
        <v>#N/A</v>
      </c>
      <c r="L574" s="2" t="s">
        <v>8519</v>
      </c>
      <c r="M574" t="s">
        <v>8057</v>
      </c>
      <c r="N574" s="4"/>
    </row>
    <row r="575" spans="1:14" ht="39" x14ac:dyDescent="0.3">
      <c r="A575" s="1" t="str">
        <f>HYPERLINK("https://ipmanager.doe.gov/IPManager//ExternalLink.aspx?6ibkph2k9yi6F%2B0Vz7YoTjN2oADz%2F5MxelBgfCMSAqg%3D","Link")</f>
        <v>Link</v>
      </c>
      <c r="B575" s="2" t="s">
        <v>2036</v>
      </c>
      <c r="C575" s="2" t="s">
        <v>2030</v>
      </c>
      <c r="D575" s="2" t="s">
        <v>2019</v>
      </c>
      <c r="E575" s="2" t="s">
        <v>2037</v>
      </c>
      <c r="F575" s="2" t="s">
        <v>2035</v>
      </c>
      <c r="G575" s="2" t="s">
        <v>1993</v>
      </c>
      <c r="H575" s="7">
        <v>9308491</v>
      </c>
      <c r="I575" s="2" t="s">
        <v>1137</v>
      </c>
      <c r="J575" t="s">
        <v>7499</v>
      </c>
      <c r="K575" t="s">
        <v>7855</v>
      </c>
      <c r="L575" s="2" t="s">
        <v>8519</v>
      </c>
      <c r="M575" t="s">
        <v>8057</v>
      </c>
    </row>
    <row r="576" spans="1:14" ht="39" x14ac:dyDescent="0.3">
      <c r="A576" s="1" t="str">
        <f>HYPERLINK("https://ipmanager.doe.gov/IPManager//ExternalLink.aspx?6ibkph2k9yi6F%2B0Vz7YoTlNm8snv%2FZpH4NiNXUc%2B8Hs%3D","Link")</f>
        <v>Link</v>
      </c>
      <c r="B576" s="2" t="s">
        <v>2038</v>
      </c>
      <c r="C576" s="2" t="s">
        <v>2030</v>
      </c>
      <c r="D576" s="2" t="s">
        <v>2019</v>
      </c>
      <c r="E576" s="2" t="s">
        <v>2037</v>
      </c>
      <c r="F576" s="2" t="s">
        <v>2031</v>
      </c>
      <c r="G576" s="2" t="s">
        <v>2032</v>
      </c>
      <c r="H576" s="7">
        <v>9273876</v>
      </c>
      <c r="I576" s="2" t="s">
        <v>31</v>
      </c>
      <c r="J576" t="s">
        <v>7500</v>
      </c>
      <c r="K576" t="s">
        <v>7856</v>
      </c>
      <c r="L576" s="2" t="s">
        <v>8519</v>
      </c>
      <c r="M576" t="s">
        <v>8057</v>
      </c>
    </row>
    <row r="577" spans="1:14" ht="39" x14ac:dyDescent="0.3">
      <c r="A577" s="1" t="str">
        <f>HYPERLINK("https://ipmanager.doe.gov/IPManager//ExternalLink.aspx?6ibkph2k9yi6F%2B0Vz7YoTo7DPLa3%2F%2FGg61tm5BkQsMQ%3D","Link")</f>
        <v>Link</v>
      </c>
      <c r="B577" s="2" t="s">
        <v>2039</v>
      </c>
      <c r="C577" s="2" t="s">
        <v>2030</v>
      </c>
      <c r="D577" s="2" t="s">
        <v>2019</v>
      </c>
      <c r="E577" s="2" t="s">
        <v>2040</v>
      </c>
      <c r="F577" s="2"/>
      <c r="G577" s="2" t="s">
        <v>9</v>
      </c>
      <c r="H577" s="7"/>
      <c r="I577" s="2" t="s">
        <v>9</v>
      </c>
      <c r="K577" t="e">
        <v>#N/A</v>
      </c>
      <c r="L577" s="2" t="s">
        <v>8519</v>
      </c>
      <c r="M577" t="s">
        <v>8057</v>
      </c>
      <c r="N577" s="4"/>
    </row>
    <row r="578" spans="1:14" ht="39" x14ac:dyDescent="0.3">
      <c r="A578" s="1" t="str">
        <f>HYPERLINK("https://ipmanager.doe.gov/IPManager//ExternalLink.aspx?6ibkph2k9yi6F%2B0Vz7YoTq6RR9BlGHHitZmXuEBDmPs%3D","Link")</f>
        <v>Link</v>
      </c>
      <c r="B578" s="2" t="s">
        <v>2041</v>
      </c>
      <c r="C578" s="2" t="s">
        <v>2030</v>
      </c>
      <c r="D578" s="2" t="s">
        <v>2019</v>
      </c>
      <c r="E578" s="2" t="s">
        <v>2042</v>
      </c>
      <c r="F578" s="2"/>
      <c r="G578" s="2" t="s">
        <v>9</v>
      </c>
      <c r="H578" s="7"/>
      <c r="I578" s="2" t="s">
        <v>9</v>
      </c>
      <c r="K578" t="e">
        <v>#N/A</v>
      </c>
      <c r="L578" s="2" t="s">
        <v>8519</v>
      </c>
      <c r="M578" t="s">
        <v>8057</v>
      </c>
      <c r="N578" s="4"/>
    </row>
    <row r="579" spans="1:14" ht="52" x14ac:dyDescent="0.3">
      <c r="A579" s="1" t="str">
        <f>HYPERLINK("https://ipmanager.doe.gov/IPManager//ExternalLink.aspx?6ibkph2k9yi6F%2B0Vz7YoTq6RR9BlGHHiuF8RUR%2BlnmQ%3D","Link")</f>
        <v>Link</v>
      </c>
      <c r="B579" s="2" t="s">
        <v>2043</v>
      </c>
      <c r="C579" s="2" t="s">
        <v>2030</v>
      </c>
      <c r="D579" s="2" t="s">
        <v>2019</v>
      </c>
      <c r="E579" s="2" t="s">
        <v>2044</v>
      </c>
      <c r="F579" s="2"/>
      <c r="G579" s="2" t="s">
        <v>9</v>
      </c>
      <c r="H579" s="7"/>
      <c r="I579" s="2" t="s">
        <v>9</v>
      </c>
      <c r="K579" t="e">
        <v>#N/A</v>
      </c>
      <c r="L579" s="2" t="s">
        <v>8519</v>
      </c>
      <c r="M579" t="s">
        <v>8057</v>
      </c>
      <c r="N579" s="4"/>
    </row>
    <row r="580" spans="1:14" ht="39" x14ac:dyDescent="0.3">
      <c r="A580" s="1" t="str">
        <f>HYPERLINK("https://ipmanager.doe.gov/IPManager//ExternalLink.aspx?6ibkph2k9yi6F%2B0Vz7YoTo7DPLa3%2F%2FGgSkDYyMwGFI8%3D","Link")</f>
        <v>Link</v>
      </c>
      <c r="B580" s="2" t="s">
        <v>2059</v>
      </c>
      <c r="C580" s="2" t="s">
        <v>2046</v>
      </c>
      <c r="D580" s="2" t="s">
        <v>2019</v>
      </c>
      <c r="E580" s="2" t="s">
        <v>2060</v>
      </c>
      <c r="F580" s="2" t="s">
        <v>2061</v>
      </c>
      <c r="G580" s="2" t="s">
        <v>1590</v>
      </c>
      <c r="H580" s="7">
        <v>8668997</v>
      </c>
      <c r="I580" s="2" t="s">
        <v>1083</v>
      </c>
      <c r="J580" t="s">
        <v>7501</v>
      </c>
      <c r="K580" t="s">
        <v>7857</v>
      </c>
      <c r="L580" s="2" t="s">
        <v>8520</v>
      </c>
      <c r="M580" t="s">
        <v>8058</v>
      </c>
    </row>
    <row r="581" spans="1:14" ht="65" x14ac:dyDescent="0.3">
      <c r="A581" s="1" t="str">
        <f>HYPERLINK("https://ipmanager.doe.gov/IPManager//ExternalLink.aspx?6ibkph2k9yi6F%2B0Vz7YoTgZwfmYxrNyKeyMfUoB3ll0%3D","Link")</f>
        <v>Link</v>
      </c>
      <c r="B581" s="2" t="s">
        <v>2063</v>
      </c>
      <c r="C581" s="2" t="s">
        <v>2046</v>
      </c>
      <c r="D581" s="2" t="s">
        <v>2019</v>
      </c>
      <c r="E581" s="2" t="s">
        <v>2056</v>
      </c>
      <c r="F581" s="2" t="s">
        <v>2058</v>
      </c>
      <c r="G581" s="2" t="s">
        <v>35</v>
      </c>
      <c r="H581" s="7"/>
      <c r="I581" s="2" t="s">
        <v>9</v>
      </c>
      <c r="J581" t="s">
        <v>7534</v>
      </c>
      <c r="K581" t="s">
        <v>7858</v>
      </c>
      <c r="L581" s="2" t="s">
        <v>8520</v>
      </c>
      <c r="M581" t="s">
        <v>8058</v>
      </c>
      <c r="N581" s="4"/>
    </row>
    <row r="582" spans="1:14" ht="39" x14ac:dyDescent="0.3">
      <c r="A582" s="1" t="str">
        <f>HYPERLINK("https://ipmanager.doe.gov/IPManager//ExternalLink.aspx?6ibkph2k9yi6F%2B0Vz7YoTgZwfmYxrNyKGcuUMhKX5yE%3D","Link")</f>
        <v>Link</v>
      </c>
      <c r="B582" s="2" t="s">
        <v>2068</v>
      </c>
      <c r="C582" s="2" t="s">
        <v>2046</v>
      </c>
      <c r="D582" s="2" t="s">
        <v>2019</v>
      </c>
      <c r="E582" s="2" t="s">
        <v>2069</v>
      </c>
      <c r="F582" s="2"/>
      <c r="G582" s="2" t="s">
        <v>9</v>
      </c>
      <c r="H582" s="7"/>
      <c r="I582" s="2" t="s">
        <v>9</v>
      </c>
      <c r="K582" t="e">
        <v>#N/A</v>
      </c>
      <c r="L582" s="2" t="s">
        <v>8520</v>
      </c>
      <c r="M582" t="s">
        <v>8058</v>
      </c>
      <c r="N582" s="4"/>
    </row>
    <row r="583" spans="1:14" ht="39" x14ac:dyDescent="0.3">
      <c r="A583" s="1" t="str">
        <f>HYPERLINK("https://ipmanager.doe.gov/IPManager//ExternalLink.aspx?6ibkph2k9yi6F%2B0Vz7YoTgZwfmYxrNyK0dW7OJqJXTs%3D","Link")</f>
        <v>Link</v>
      </c>
      <c r="B583" s="2" t="s">
        <v>2070</v>
      </c>
      <c r="C583" s="2" t="s">
        <v>2046</v>
      </c>
      <c r="D583" s="2" t="s">
        <v>2019</v>
      </c>
      <c r="E583" s="2" t="s">
        <v>2071</v>
      </c>
      <c r="F583" s="2"/>
      <c r="G583" s="2" t="s">
        <v>9</v>
      </c>
      <c r="H583" s="7"/>
      <c r="I583" s="2" t="s">
        <v>9</v>
      </c>
      <c r="K583" t="e">
        <v>#N/A</v>
      </c>
      <c r="L583" s="2" t="s">
        <v>8520</v>
      </c>
      <c r="M583" t="s">
        <v>8058</v>
      </c>
      <c r="N583" s="4"/>
    </row>
    <row r="584" spans="1:14" ht="39" x14ac:dyDescent="0.3">
      <c r="A584" s="1" t="str">
        <f>HYPERLINK("https://ipmanager.doe.gov/IPManager//ExternalLink.aspx?6ibkph2k9yi6F%2B0Vz7YoTgZwfmYxrNyKRrnldf%2FU2d4%3D","Link")</f>
        <v>Link</v>
      </c>
      <c r="B584" s="2" t="s">
        <v>2072</v>
      </c>
      <c r="C584" s="2" t="s">
        <v>2046</v>
      </c>
      <c r="D584" s="2" t="s">
        <v>2019</v>
      </c>
      <c r="E584" s="2" t="s">
        <v>2073</v>
      </c>
      <c r="F584" s="2"/>
      <c r="G584" s="2" t="s">
        <v>9</v>
      </c>
      <c r="H584" s="7"/>
      <c r="I584" s="2" t="s">
        <v>9</v>
      </c>
      <c r="K584" t="e">
        <v>#N/A</v>
      </c>
      <c r="L584" s="2" t="s">
        <v>8520</v>
      </c>
      <c r="M584" t="s">
        <v>8058</v>
      </c>
      <c r="N584" s="4"/>
    </row>
    <row r="585" spans="1:14" ht="39" x14ac:dyDescent="0.3">
      <c r="A585" s="1" t="str">
        <f>HYPERLINK("https://ipmanager.doe.gov/IPManager//ExternalLink.aspx?6ibkph2k9yi6F%2B0Vz7YoTgZwfmYxrNyKBsnZCwxk40w%3D","Link")</f>
        <v>Link</v>
      </c>
      <c r="B585" s="2" t="s">
        <v>2074</v>
      </c>
      <c r="C585" s="2" t="s">
        <v>2046</v>
      </c>
      <c r="D585" s="2" t="s">
        <v>2019</v>
      </c>
      <c r="E585" s="2" t="s">
        <v>2075</v>
      </c>
      <c r="F585" s="2"/>
      <c r="G585" s="2" t="s">
        <v>9</v>
      </c>
      <c r="H585" s="7"/>
      <c r="I585" s="2" t="s">
        <v>9</v>
      </c>
      <c r="K585" t="e">
        <v>#N/A</v>
      </c>
      <c r="L585" s="2" t="s">
        <v>8520</v>
      </c>
      <c r="M585" t="s">
        <v>8058</v>
      </c>
      <c r="N585" s="4"/>
    </row>
    <row r="586" spans="1:14" ht="26" x14ac:dyDescent="0.3">
      <c r="A586" s="1" t="str">
        <f>HYPERLINK("https://ipmanager.doe.gov/IPManager//ExternalLink.aspx?6ibkph2k9yi6F%2B0Vz7YoTgZwfmYxrNyKb%2Bl7xKpG4Bk%3D","Link")</f>
        <v>Link</v>
      </c>
      <c r="B586" s="2" t="s">
        <v>2076</v>
      </c>
      <c r="C586" s="2" t="s">
        <v>2046</v>
      </c>
      <c r="D586" s="2" t="s">
        <v>2077</v>
      </c>
      <c r="E586" s="2" t="s">
        <v>2078</v>
      </c>
      <c r="F586" s="2"/>
      <c r="G586" s="2" t="s">
        <v>9</v>
      </c>
      <c r="H586" s="7"/>
      <c r="I586" s="2" t="s">
        <v>9</v>
      </c>
      <c r="K586" t="e">
        <v>#N/A</v>
      </c>
      <c r="L586" s="2" t="s">
        <v>8520</v>
      </c>
      <c r="M586" t="s">
        <v>8058</v>
      </c>
      <c r="N586" s="4"/>
    </row>
    <row r="587" spans="1:14" ht="52" x14ac:dyDescent="0.3">
      <c r="A587" s="1" t="str">
        <f>HYPERLINK("https://ipmanager.doe.gov/IPManager//ExternalLink.aspx?6ibkph2k9yi6F%2B0Vz7YoTgZwfmYxrNyKbLk4qRFoM14%3D","Link")</f>
        <v>Link</v>
      </c>
      <c r="B587" s="2" t="s">
        <v>2079</v>
      </c>
      <c r="C587" s="2" t="s">
        <v>2046</v>
      </c>
      <c r="D587" s="2" t="s">
        <v>2019</v>
      </c>
      <c r="E587" s="2" t="s">
        <v>2080</v>
      </c>
      <c r="F587" s="2" t="s">
        <v>2081</v>
      </c>
      <c r="G587" s="2" t="s">
        <v>2082</v>
      </c>
      <c r="H587" s="7">
        <v>9083019</v>
      </c>
      <c r="I587" s="2" t="s">
        <v>24</v>
      </c>
      <c r="J587" t="s">
        <v>7502</v>
      </c>
      <c r="K587" t="s">
        <v>7859</v>
      </c>
      <c r="L587" s="2" t="s">
        <v>8520</v>
      </c>
      <c r="M587" t="s">
        <v>8058</v>
      </c>
    </row>
    <row r="588" spans="1:14" ht="65" x14ac:dyDescent="0.3">
      <c r="A588" s="1" t="str">
        <f>HYPERLINK("https://ipmanager.doe.gov/IPManager//ExternalLink.aspx?6ibkph2k9yi6F%2B0Vz7YoTo7DPLa3%2F%2FGgppUFtzv%2BYTo%3D","Link")</f>
        <v>Link</v>
      </c>
      <c r="B588" s="2" t="s">
        <v>2085</v>
      </c>
      <c r="C588" s="2" t="s">
        <v>2046</v>
      </c>
      <c r="D588" s="2" t="s">
        <v>2019</v>
      </c>
      <c r="E588" s="2" t="s">
        <v>2086</v>
      </c>
      <c r="F588" s="2" t="s">
        <v>2061</v>
      </c>
      <c r="G588" s="2" t="s">
        <v>1590</v>
      </c>
      <c r="H588" s="7">
        <v>8668997</v>
      </c>
      <c r="I588" s="2" t="s">
        <v>1083</v>
      </c>
      <c r="J588" t="s">
        <v>7501</v>
      </c>
      <c r="K588" t="s">
        <v>7857</v>
      </c>
      <c r="L588" s="2" t="s">
        <v>8520</v>
      </c>
      <c r="M588" t="s">
        <v>8058</v>
      </c>
    </row>
    <row r="589" spans="1:14" ht="52" x14ac:dyDescent="0.3">
      <c r="A589" s="1" t="str">
        <f>HYPERLINK("https://ipmanager.doe.gov/IPManager//ExternalLink.aspx?6ibkph2k9yi6F%2B0Vz7YoTo7DPLa3%2F%2FGg%2FjAjyw5%2FC58%3D","Link")</f>
        <v>Link</v>
      </c>
      <c r="B589" s="2" t="s">
        <v>2109</v>
      </c>
      <c r="C589" s="2" t="s">
        <v>2046</v>
      </c>
      <c r="D589" s="2" t="s">
        <v>2019</v>
      </c>
      <c r="E589" s="2" t="s">
        <v>2101</v>
      </c>
      <c r="F589" s="2" t="s">
        <v>2110</v>
      </c>
      <c r="G589" s="2" t="s">
        <v>35</v>
      </c>
      <c r="H589" s="7"/>
      <c r="I589" s="2" t="s">
        <v>9</v>
      </c>
      <c r="J589" t="s">
        <v>7534</v>
      </c>
      <c r="K589" t="s">
        <v>7858</v>
      </c>
      <c r="L589" s="2" t="s">
        <v>8520</v>
      </c>
      <c r="M589" t="s">
        <v>8058</v>
      </c>
      <c r="N589" s="4"/>
    </row>
    <row r="590" spans="1:14" ht="65" x14ac:dyDescent="0.3">
      <c r="A590" s="1" t="str">
        <f>HYPERLINK("https://ipmanager.doe.gov/IPManager//ExternalLink.aspx?6ibkph2k9yi6F%2B0Vz7YoTq6RR9BlGHHib53%2BwSEb9bE%3D","Link")</f>
        <v>Link</v>
      </c>
      <c r="B590" s="2" t="s">
        <v>2045</v>
      </c>
      <c r="C590" s="2" t="s">
        <v>2046</v>
      </c>
      <c r="D590" s="2" t="s">
        <v>2019</v>
      </c>
      <c r="E590" s="2" t="s">
        <v>2047</v>
      </c>
      <c r="F590" s="2" t="s">
        <v>2048</v>
      </c>
      <c r="G590" s="2" t="s">
        <v>392</v>
      </c>
      <c r="H590" s="7"/>
      <c r="I590" s="2" t="s">
        <v>9</v>
      </c>
      <c r="K590" t="e">
        <v>#N/A</v>
      </c>
      <c r="L590" s="2" t="s">
        <v>8520</v>
      </c>
      <c r="M590" t="s">
        <v>8058</v>
      </c>
      <c r="N590" s="4"/>
    </row>
    <row r="591" spans="1:14" ht="39" x14ac:dyDescent="0.3">
      <c r="A591" s="1" t="str">
        <f>HYPERLINK("https://ipmanager.doe.gov/IPManager//ExternalLink.aspx?6ibkph2k9yi6F%2B0Vz7YoTq6RR9BlGHHiIeMXhUePcPA%3D","Link")</f>
        <v>Link</v>
      </c>
      <c r="B591" s="2" t="s">
        <v>2050</v>
      </c>
      <c r="C591" s="2" t="s">
        <v>2046</v>
      </c>
      <c r="D591" s="2" t="s">
        <v>2019</v>
      </c>
      <c r="E591" s="2" t="s">
        <v>2051</v>
      </c>
      <c r="F591" s="2" t="s">
        <v>2052</v>
      </c>
      <c r="G591" s="2" t="s">
        <v>2053</v>
      </c>
      <c r="H591" s="7"/>
      <c r="I591" s="2" t="s">
        <v>9</v>
      </c>
      <c r="K591" t="e">
        <v>#N/A</v>
      </c>
      <c r="L591" s="2" t="s">
        <v>8520</v>
      </c>
      <c r="M591" t="s">
        <v>8058</v>
      </c>
      <c r="N591" s="4"/>
    </row>
    <row r="592" spans="1:14" ht="65" x14ac:dyDescent="0.3">
      <c r="A592" s="1" t="str">
        <f>HYPERLINK("https://ipmanager.doe.gov/IPManager//ExternalLink.aspx?6ibkph2k9yi6F%2B0Vz7YoTo7DPLa3%2F%2FGgwem4XBMOLxc%3D","Link")</f>
        <v>Link</v>
      </c>
      <c r="B592" s="2" t="s">
        <v>2055</v>
      </c>
      <c r="C592" s="2" t="s">
        <v>2046</v>
      </c>
      <c r="D592" s="2" t="s">
        <v>2019</v>
      </c>
      <c r="E592" s="2" t="s">
        <v>2056</v>
      </c>
      <c r="F592" s="2" t="s">
        <v>2057</v>
      </c>
      <c r="G592" s="2" t="s">
        <v>35</v>
      </c>
      <c r="H592" s="7"/>
      <c r="I592" s="2" t="s">
        <v>9</v>
      </c>
      <c r="K592" t="e">
        <v>#N/A</v>
      </c>
      <c r="L592" s="2" t="s">
        <v>8520</v>
      </c>
      <c r="M592" t="s">
        <v>8058</v>
      </c>
      <c r="N592" s="4"/>
    </row>
    <row r="593" spans="1:14" ht="65" x14ac:dyDescent="0.3">
      <c r="A593" s="1" t="str">
        <f>HYPERLINK("https://ipmanager.doe.gov/IPManager//ExternalLink.aspx?6ibkph2k9yi6F%2B0Vz7YoTo7DPLa3%2F%2FGgjmYlbsZCUfI%3D","Link")</f>
        <v>Link</v>
      </c>
      <c r="B593" s="2" t="s">
        <v>2062</v>
      </c>
      <c r="C593" s="2" t="s">
        <v>2046</v>
      </c>
      <c r="D593" s="2" t="s">
        <v>2019</v>
      </c>
      <c r="E593" s="2" t="s">
        <v>2047</v>
      </c>
      <c r="F593" s="2" t="s">
        <v>2049</v>
      </c>
      <c r="G593" s="2" t="s">
        <v>392</v>
      </c>
      <c r="H593" s="7"/>
      <c r="I593" s="2" t="s">
        <v>9</v>
      </c>
      <c r="K593" t="e">
        <v>#N/A</v>
      </c>
      <c r="L593" s="2" t="s">
        <v>8520</v>
      </c>
      <c r="M593" t="s">
        <v>8058</v>
      </c>
      <c r="N593" s="4"/>
    </row>
    <row r="594" spans="1:14" ht="39" x14ac:dyDescent="0.3">
      <c r="A594" s="1" t="str">
        <f>HYPERLINK("https://ipmanager.doe.gov/IPManager//ExternalLink.aspx?6ibkph2k9yi6F%2B0Vz7YoTgZwfmYxrNyKWdtor7WZZgo%3D","Link")</f>
        <v>Link</v>
      </c>
      <c r="B594" s="2" t="s">
        <v>2067</v>
      </c>
      <c r="C594" s="2" t="s">
        <v>2046</v>
      </c>
      <c r="D594" s="2" t="s">
        <v>2019</v>
      </c>
      <c r="E594" s="2" t="s">
        <v>2051</v>
      </c>
      <c r="F594" s="2" t="s">
        <v>2054</v>
      </c>
      <c r="G594" s="2" t="s">
        <v>2053</v>
      </c>
      <c r="H594" s="7"/>
      <c r="I594" s="2" t="s">
        <v>9</v>
      </c>
      <c r="K594" t="e">
        <v>#N/A</v>
      </c>
      <c r="L594" s="2" t="s">
        <v>8520</v>
      </c>
      <c r="M594" t="s">
        <v>8058</v>
      </c>
      <c r="N594" s="4"/>
    </row>
    <row r="595" spans="1:14" ht="52" x14ac:dyDescent="0.3">
      <c r="A595" s="1" t="str">
        <f>HYPERLINK("https://ipmanager.doe.gov/IPManager//ExternalLink.aspx?6ibkph2k9yi6F%2B0Vz7YoTipZ798QK%2BbPLS%2BW662iA3w%3D","Link")</f>
        <v>Link</v>
      </c>
      <c r="B595" s="2" t="s">
        <v>2083</v>
      </c>
      <c r="C595" s="2" t="s">
        <v>2046</v>
      </c>
      <c r="D595" s="2" t="s">
        <v>2019</v>
      </c>
      <c r="E595" s="2" t="s">
        <v>2064</v>
      </c>
      <c r="F595" s="2" t="s">
        <v>2084</v>
      </c>
      <c r="G595" s="2" t="s">
        <v>2066</v>
      </c>
      <c r="H595" s="7"/>
      <c r="I595" s="2" t="s">
        <v>9</v>
      </c>
      <c r="K595" t="e">
        <v>#N/A</v>
      </c>
      <c r="L595" s="2" t="s">
        <v>8520</v>
      </c>
      <c r="M595" t="s">
        <v>8058</v>
      </c>
      <c r="N595" s="4"/>
    </row>
    <row r="596" spans="1:14" ht="39" x14ac:dyDescent="0.3">
      <c r="A596" s="1" t="str">
        <f>HYPERLINK("https://ipmanager.doe.gov/IPManager//ExternalLink.aspx?6ibkph2k9yi6F%2B0Vz7YoTo7DPLa3%2F%2FGgDXMkAgKdBfE%3D","Link")</f>
        <v>Link</v>
      </c>
      <c r="B596" s="2" t="s">
        <v>2087</v>
      </c>
      <c r="C596" s="2" t="s">
        <v>2046</v>
      </c>
      <c r="D596" s="2" t="s">
        <v>2019</v>
      </c>
      <c r="E596" s="2" t="s">
        <v>2088</v>
      </c>
      <c r="F596" s="2" t="s">
        <v>2089</v>
      </c>
      <c r="G596" s="2" t="s">
        <v>2090</v>
      </c>
      <c r="H596" s="7"/>
      <c r="I596" s="2" t="s">
        <v>9</v>
      </c>
      <c r="J596" t="s">
        <v>2089</v>
      </c>
      <c r="K596" t="s">
        <v>7745</v>
      </c>
      <c r="L596" s="2" t="s">
        <v>8520</v>
      </c>
      <c r="M596" t="s">
        <v>8058</v>
      </c>
      <c r="N596" s="4"/>
    </row>
    <row r="597" spans="1:14" ht="52" x14ac:dyDescent="0.3">
      <c r="A597" s="1" t="str">
        <f>HYPERLINK("https://ipmanager.doe.gov/IPManager//ExternalLink.aspx?6ibkph2k9yi6F%2B0Vz7YoTo7DPLa3%2F%2FGgHsf5n6OeIhA%3D","Link")</f>
        <v>Link</v>
      </c>
      <c r="B597" s="2" t="s">
        <v>2092</v>
      </c>
      <c r="C597" s="2" t="s">
        <v>2046</v>
      </c>
      <c r="D597" s="2" t="s">
        <v>2019</v>
      </c>
      <c r="E597" s="2" t="s">
        <v>2093</v>
      </c>
      <c r="F597" s="2" t="s">
        <v>2094</v>
      </c>
      <c r="G597" s="2" t="s">
        <v>2095</v>
      </c>
      <c r="H597" s="7"/>
      <c r="I597" s="2" t="s">
        <v>9</v>
      </c>
      <c r="K597" t="e">
        <v>#N/A</v>
      </c>
      <c r="L597" s="2" t="s">
        <v>8520</v>
      </c>
      <c r="M597" t="s">
        <v>8058</v>
      </c>
      <c r="N597" s="4"/>
    </row>
    <row r="598" spans="1:14" ht="78" x14ac:dyDescent="0.3">
      <c r="A598" s="1" t="str">
        <f>HYPERLINK("https://ipmanager.doe.gov/IPManager//ExternalLink.aspx?6ibkph2k9yi6F%2B0Vz7YoTo7DPLa3%2F%2FGghxFCOuendaA%3D","Link")</f>
        <v>Link</v>
      </c>
      <c r="B598" s="2" t="s">
        <v>2097</v>
      </c>
      <c r="C598" s="2" t="s">
        <v>2046</v>
      </c>
      <c r="D598" s="2" t="s">
        <v>2019</v>
      </c>
      <c r="E598" s="2" t="s">
        <v>2098</v>
      </c>
      <c r="F598" s="2" t="s">
        <v>2099</v>
      </c>
      <c r="G598" s="2" t="s">
        <v>276</v>
      </c>
      <c r="H598" s="7"/>
      <c r="I598" s="2" t="s">
        <v>9</v>
      </c>
      <c r="K598" t="e">
        <v>#N/A</v>
      </c>
      <c r="L598" s="2" t="s">
        <v>8520</v>
      </c>
      <c r="M598" t="s">
        <v>8058</v>
      </c>
      <c r="N598" s="4"/>
    </row>
    <row r="599" spans="1:14" ht="52" x14ac:dyDescent="0.3">
      <c r="A599" s="1" t="str">
        <f>HYPERLINK("https://ipmanager.doe.gov/IPManager//ExternalLink.aspx?6ibkph2k9yi6F%2B0Vz7YoTo7DPLa3%2F%2FGgExW5Y39sWnU%3D","Link")</f>
        <v>Link</v>
      </c>
      <c r="B599" s="2" t="s">
        <v>2100</v>
      </c>
      <c r="C599" s="2" t="s">
        <v>2046</v>
      </c>
      <c r="D599" s="2" t="s">
        <v>2019</v>
      </c>
      <c r="E599" s="2" t="s">
        <v>2101</v>
      </c>
      <c r="F599" s="2" t="s">
        <v>2057</v>
      </c>
      <c r="G599" s="2" t="s">
        <v>35</v>
      </c>
      <c r="H599" s="7"/>
      <c r="I599" s="2" t="s">
        <v>9</v>
      </c>
      <c r="K599" t="e">
        <v>#N/A</v>
      </c>
      <c r="L599" s="2" t="s">
        <v>8520</v>
      </c>
      <c r="M599" t="s">
        <v>8058</v>
      </c>
      <c r="N599" s="4"/>
    </row>
    <row r="600" spans="1:14" ht="39" x14ac:dyDescent="0.3">
      <c r="A600" s="1" t="str">
        <f>HYPERLINK("https://ipmanager.doe.gov/IPManager//ExternalLink.aspx?6ibkph2k9yi6F%2B0Vz7YoTo7DPLa3%2F%2FGg6UY2EoABZQQ%3D","Link")</f>
        <v>Link</v>
      </c>
      <c r="B600" s="2" t="s">
        <v>2102</v>
      </c>
      <c r="C600" s="2" t="s">
        <v>2046</v>
      </c>
      <c r="D600" s="2" t="s">
        <v>2019</v>
      </c>
      <c r="E600" s="2" t="s">
        <v>2103</v>
      </c>
      <c r="F600" s="2" t="s">
        <v>2104</v>
      </c>
      <c r="G600" s="2" t="s">
        <v>2105</v>
      </c>
      <c r="H600" s="7"/>
      <c r="I600" s="2" t="s">
        <v>9</v>
      </c>
      <c r="K600" t="e">
        <v>#N/A</v>
      </c>
      <c r="L600" s="2" t="s">
        <v>8520</v>
      </c>
      <c r="M600" t="s">
        <v>8058</v>
      </c>
      <c r="N600" s="4"/>
    </row>
    <row r="601" spans="1:14" ht="39" x14ac:dyDescent="0.3">
      <c r="A601" s="1" t="str">
        <f>HYPERLINK("https://ipmanager.doe.gov/IPManager//ExternalLink.aspx?6ibkph2k9yi6F%2B0Vz7YoTo7DPLa3%2F%2FGgRL3n%2FRUlHVo%3D","Link")</f>
        <v>Link</v>
      </c>
      <c r="B601" s="2" t="s">
        <v>2106</v>
      </c>
      <c r="C601" s="2" t="s">
        <v>2046</v>
      </c>
      <c r="D601" s="2" t="s">
        <v>2019</v>
      </c>
      <c r="E601" s="2" t="s">
        <v>2088</v>
      </c>
      <c r="F601" s="2" t="s">
        <v>2107</v>
      </c>
      <c r="G601" s="2" t="s">
        <v>2091</v>
      </c>
      <c r="H601" s="7"/>
      <c r="I601" s="2" t="s">
        <v>9</v>
      </c>
      <c r="K601" t="e">
        <v>#N/A</v>
      </c>
      <c r="L601" s="2" t="s">
        <v>8520</v>
      </c>
      <c r="M601" t="s">
        <v>8058</v>
      </c>
      <c r="N601" s="4"/>
    </row>
    <row r="602" spans="1:14" ht="78" x14ac:dyDescent="0.3">
      <c r="A602" s="1" t="str">
        <f>HYPERLINK("https://ipmanager.doe.gov/IPManager//ExternalLink.aspx?6ibkph2k9yi6F%2B0Vz7YoTo7DPLa3%2F%2FGg8fmW94mIBpI%3D","Link")</f>
        <v>Link</v>
      </c>
      <c r="B602" s="2" t="s">
        <v>2108</v>
      </c>
      <c r="C602" s="2" t="s">
        <v>2046</v>
      </c>
      <c r="D602" s="2" t="s">
        <v>2019</v>
      </c>
      <c r="E602" s="2" t="s">
        <v>2098</v>
      </c>
      <c r="F602" s="2" t="s">
        <v>2054</v>
      </c>
      <c r="G602" s="2" t="s">
        <v>2053</v>
      </c>
      <c r="H602" s="7"/>
      <c r="I602" s="2" t="s">
        <v>9</v>
      </c>
      <c r="K602" t="e">
        <v>#N/A</v>
      </c>
      <c r="L602" s="2" t="s">
        <v>8520</v>
      </c>
      <c r="M602" t="s">
        <v>8058</v>
      </c>
      <c r="N602" s="4"/>
    </row>
    <row r="603" spans="1:14" ht="52" x14ac:dyDescent="0.3">
      <c r="A603" s="1" t="str">
        <f>HYPERLINK("https://ipmanager.doe.gov/IPManager//ExternalLink.aspx?6ibkph2k9yi6F%2B0Vz7YoTlNm8snv%2FZpH%2BHLFjkuCnvQ%3D","Link")</f>
        <v>Link</v>
      </c>
      <c r="B603" s="2" t="s">
        <v>2111</v>
      </c>
      <c r="C603" s="2" t="s">
        <v>2046</v>
      </c>
      <c r="D603" s="2" t="s">
        <v>2019</v>
      </c>
      <c r="E603" s="2" t="s">
        <v>2093</v>
      </c>
      <c r="F603" s="2" t="s">
        <v>2096</v>
      </c>
      <c r="G603" s="2" t="s">
        <v>2112</v>
      </c>
      <c r="H603" s="7"/>
      <c r="I603" s="2" t="s">
        <v>9</v>
      </c>
      <c r="K603" t="e">
        <v>#N/A</v>
      </c>
      <c r="L603" s="2" t="s">
        <v>8520</v>
      </c>
      <c r="M603" t="s">
        <v>8058</v>
      </c>
      <c r="N603" s="4"/>
    </row>
    <row r="604" spans="1:14" ht="39" x14ac:dyDescent="0.3">
      <c r="A604" s="1" t="str">
        <f>HYPERLINK("https://ipmanager.doe.gov/IPManager//ExternalLink.aspx?6ibkph2k9yi6F%2B0Vz7YoTlNm8snv%2FZpH0AVETihBs0E%3D","Link")</f>
        <v>Link</v>
      </c>
      <c r="B604" s="2" t="s">
        <v>2113</v>
      </c>
      <c r="C604" s="2" t="s">
        <v>2046</v>
      </c>
      <c r="D604" s="2" t="s">
        <v>2019</v>
      </c>
      <c r="E604" s="2" t="s">
        <v>2114</v>
      </c>
      <c r="F604" s="2" t="s">
        <v>2084</v>
      </c>
      <c r="G604" s="2" t="s">
        <v>2066</v>
      </c>
      <c r="H604" s="7"/>
      <c r="I604" s="2" t="s">
        <v>9</v>
      </c>
      <c r="K604" t="e">
        <v>#N/A</v>
      </c>
      <c r="L604" s="2" t="s">
        <v>8520</v>
      </c>
      <c r="M604" t="s">
        <v>8058</v>
      </c>
      <c r="N604" s="4"/>
    </row>
    <row r="605" spans="1:14" ht="39" x14ac:dyDescent="0.3">
      <c r="A605" s="1" t="str">
        <f>HYPERLINK("https://ipmanager.doe.gov/IPManager//ExternalLink.aspx?6ibkph2k9yi6F%2B0Vz7YoTk2BI6w%2FjZ2f04E3HyncPwk%3D","Link")</f>
        <v>Link</v>
      </c>
      <c r="B605" s="2" t="s">
        <v>2116</v>
      </c>
      <c r="C605" s="2" t="s">
        <v>2046</v>
      </c>
      <c r="D605" s="2" t="s">
        <v>2019</v>
      </c>
      <c r="E605" s="2" t="s">
        <v>2114</v>
      </c>
      <c r="F605" s="2" t="s">
        <v>2065</v>
      </c>
      <c r="G605" s="3">
        <v>41266</v>
      </c>
      <c r="H605" s="7"/>
      <c r="I605" s="2" t="s">
        <v>9</v>
      </c>
      <c r="K605" t="e">
        <v>#N/A</v>
      </c>
      <c r="L605" s="2" t="s">
        <v>8520</v>
      </c>
      <c r="M605" t="s">
        <v>8058</v>
      </c>
      <c r="N605" s="4"/>
    </row>
    <row r="606" spans="1:14" ht="39" x14ac:dyDescent="0.3">
      <c r="A606" s="1" t="str">
        <f>HYPERLINK("https://ipmanager.doe.gov/IPManager//ExternalLink.aspx?6ibkph2k9yi6F%2B0Vz7YoTgZwfmYxrNyKMgign8UmGnM%3D","Link")</f>
        <v>Link</v>
      </c>
      <c r="B606" s="2" t="s">
        <v>2127</v>
      </c>
      <c r="C606" s="2" t="s">
        <v>2118</v>
      </c>
      <c r="D606" s="2" t="s">
        <v>2119</v>
      </c>
      <c r="E606" s="2" t="s">
        <v>2128</v>
      </c>
      <c r="F606" s="2" t="s">
        <v>2129</v>
      </c>
      <c r="G606" s="2" t="s">
        <v>921</v>
      </c>
      <c r="H606" s="7">
        <v>9419289</v>
      </c>
      <c r="I606" s="2" t="s">
        <v>2130</v>
      </c>
      <c r="J606" t="s">
        <v>7503</v>
      </c>
      <c r="K606" t="s">
        <v>7860</v>
      </c>
      <c r="L606" s="2" t="s">
        <v>8521</v>
      </c>
      <c r="M606" t="s">
        <v>8059</v>
      </c>
    </row>
    <row r="607" spans="1:14" ht="39" x14ac:dyDescent="0.3">
      <c r="A607" s="1" t="str">
        <f>HYPERLINK("https://ipmanager.doe.gov/IPManager//ExternalLink.aspx?6ibkph2k9yi6F%2B0Vz7YoTq6RR9BlGHHiVZsFXfEvJfY%3D","Link")</f>
        <v>Link</v>
      </c>
      <c r="B607" s="2" t="s">
        <v>2117</v>
      </c>
      <c r="C607" s="2" t="s">
        <v>2118</v>
      </c>
      <c r="D607" s="2" t="s">
        <v>2119</v>
      </c>
      <c r="E607" s="2" t="s">
        <v>2120</v>
      </c>
      <c r="F607" s="2" t="s">
        <v>2121</v>
      </c>
      <c r="G607" s="2" t="s">
        <v>2122</v>
      </c>
      <c r="H607" s="7"/>
      <c r="I607" s="2" t="s">
        <v>9</v>
      </c>
      <c r="K607" t="e">
        <v>#N/A</v>
      </c>
      <c r="L607" s="2" t="s">
        <v>8521</v>
      </c>
      <c r="M607" t="s">
        <v>8059</v>
      </c>
      <c r="N607" s="4"/>
    </row>
    <row r="608" spans="1:14" ht="52" x14ac:dyDescent="0.3">
      <c r="A608" s="1" t="str">
        <f>HYPERLINK("https://ipmanager.doe.gov/IPManager//ExternalLink.aspx?6ibkph2k9yi6F%2B0Vz7YoTq6RR9BlGHHiI%2Bswg4apGpA%3D","Link")</f>
        <v>Link</v>
      </c>
      <c r="B608" s="2" t="s">
        <v>2123</v>
      </c>
      <c r="C608" s="2" t="s">
        <v>2118</v>
      </c>
      <c r="D608" s="2" t="s">
        <v>2119</v>
      </c>
      <c r="E608" s="2" t="s">
        <v>2124</v>
      </c>
      <c r="F608" s="2" t="s">
        <v>2125</v>
      </c>
      <c r="G608" s="2" t="s">
        <v>2126</v>
      </c>
      <c r="H608" s="7"/>
      <c r="I608" s="2" t="s">
        <v>9</v>
      </c>
      <c r="K608" t="e">
        <v>#N/A</v>
      </c>
      <c r="L608" s="2" t="s">
        <v>8521</v>
      </c>
      <c r="M608" t="s">
        <v>8059</v>
      </c>
      <c r="N608" s="4"/>
    </row>
    <row r="609" spans="1:14" ht="78" x14ac:dyDescent="0.3">
      <c r="A609" s="1" t="str">
        <f>HYPERLINK("https://ipmanager.doe.gov/IPManager//ExternalLink.aspx?6ibkph2k9yi6F%2B0Vz7YoTgZwfmYxrNyKxZgpBAlQDZE%3D","Link")</f>
        <v>Link</v>
      </c>
      <c r="B609" s="2" t="s">
        <v>2131</v>
      </c>
      <c r="C609" s="2" t="s">
        <v>2118</v>
      </c>
      <c r="D609" s="2" t="s">
        <v>2119</v>
      </c>
      <c r="E609" s="2" t="s">
        <v>2132</v>
      </c>
      <c r="F609" s="2" t="s">
        <v>2133</v>
      </c>
      <c r="G609" s="2" t="s">
        <v>2134</v>
      </c>
      <c r="H609" s="7"/>
      <c r="I609" s="2" t="s">
        <v>9</v>
      </c>
      <c r="K609" t="e">
        <v>#N/A</v>
      </c>
      <c r="L609" s="2" t="s">
        <v>8521</v>
      </c>
      <c r="M609" t="s">
        <v>8059</v>
      </c>
      <c r="N609" s="4"/>
    </row>
    <row r="610" spans="1:14" ht="78" x14ac:dyDescent="0.3">
      <c r="A610" s="1" t="str">
        <f>HYPERLINK("https://ipmanager.doe.gov/IPManager//ExternalLink.aspx?6ibkph2k9yi6F%2B0Vz7YoTgZwfmYxrNyKg7f3%2FLoThvI%3D","Link")</f>
        <v>Link</v>
      </c>
      <c r="B610" s="2" t="s">
        <v>2135</v>
      </c>
      <c r="C610" s="2" t="s">
        <v>2118</v>
      </c>
      <c r="D610" s="2" t="s">
        <v>2119</v>
      </c>
      <c r="E610" s="2" t="s">
        <v>2136</v>
      </c>
      <c r="F610" s="2" t="s">
        <v>2137</v>
      </c>
      <c r="G610" s="2" t="s">
        <v>2134</v>
      </c>
      <c r="H610" s="7"/>
      <c r="I610" s="2" t="s">
        <v>9</v>
      </c>
      <c r="K610" t="e">
        <v>#N/A</v>
      </c>
      <c r="L610" s="2" t="s">
        <v>8521</v>
      </c>
      <c r="M610" t="s">
        <v>8059</v>
      </c>
      <c r="N610" s="4"/>
    </row>
    <row r="611" spans="1:14" ht="78" x14ac:dyDescent="0.3">
      <c r="A611" s="1" t="str">
        <f>HYPERLINK("https://ipmanager.doe.gov/IPManager//ExternalLink.aspx?6ibkph2k9yi6F%2B0Vz7YoTgZwfmYxrNyK9JPgA0FdGlw%3D","Link")</f>
        <v>Link</v>
      </c>
      <c r="B611" s="2" t="s">
        <v>2138</v>
      </c>
      <c r="C611" s="2" t="s">
        <v>2118</v>
      </c>
      <c r="D611" s="2" t="s">
        <v>2119</v>
      </c>
      <c r="E611" s="2" t="s">
        <v>2139</v>
      </c>
      <c r="F611" s="2" t="s">
        <v>2140</v>
      </c>
      <c r="G611" s="2" t="s">
        <v>2134</v>
      </c>
      <c r="H611" s="7"/>
      <c r="I611" s="2" t="s">
        <v>9</v>
      </c>
      <c r="K611" t="e">
        <v>#N/A</v>
      </c>
      <c r="L611" s="2" t="s">
        <v>8521</v>
      </c>
      <c r="M611" t="s">
        <v>8059</v>
      </c>
      <c r="N611" s="4"/>
    </row>
    <row r="612" spans="1:14" ht="39" x14ac:dyDescent="0.3">
      <c r="A612" s="1" t="str">
        <f>HYPERLINK("https://ipmanager.doe.gov/IPManager//ExternalLink.aspx?6ibkph2k9yi6F%2B0Vz7YoTgZwfmYxrNyKqoO8nr4vnKE%3D","Link")</f>
        <v>Link</v>
      </c>
      <c r="B612" s="2" t="s">
        <v>2141</v>
      </c>
      <c r="C612" s="2" t="s">
        <v>2118</v>
      </c>
      <c r="D612" s="2" t="s">
        <v>2119</v>
      </c>
      <c r="E612" s="2" t="s">
        <v>2142</v>
      </c>
      <c r="F612" s="2" t="s">
        <v>2143</v>
      </c>
      <c r="G612" s="2" t="s">
        <v>2134</v>
      </c>
      <c r="H612" s="7"/>
      <c r="I612" s="2" t="s">
        <v>9</v>
      </c>
      <c r="K612" t="e">
        <v>#N/A</v>
      </c>
      <c r="L612" s="2" t="s">
        <v>8521</v>
      </c>
      <c r="M612" t="s">
        <v>8059</v>
      </c>
      <c r="N612" s="4"/>
    </row>
    <row r="613" spans="1:14" ht="52" x14ac:dyDescent="0.3">
      <c r="A613" s="1" t="str">
        <f>HYPERLINK("https://ipmanager.doe.gov/IPManager//ExternalLink.aspx?6ibkph2k9yi6F%2B0Vz7YoTgZwfmYxrNyKk6wm9MxMHPM%3D","Link")</f>
        <v>Link</v>
      </c>
      <c r="B613" s="2" t="s">
        <v>2144</v>
      </c>
      <c r="C613" s="2" t="s">
        <v>2118</v>
      </c>
      <c r="D613" s="2" t="s">
        <v>2119</v>
      </c>
      <c r="E613" s="2" t="s">
        <v>2145</v>
      </c>
      <c r="F613" s="2" t="s">
        <v>2146</v>
      </c>
      <c r="G613" s="2" t="s">
        <v>2134</v>
      </c>
      <c r="H613" s="7"/>
      <c r="I613" s="2" t="s">
        <v>9</v>
      </c>
      <c r="K613" t="e">
        <v>#N/A</v>
      </c>
      <c r="L613" s="2" t="s">
        <v>8521</v>
      </c>
      <c r="M613" t="s">
        <v>8059</v>
      </c>
      <c r="N613" s="4"/>
    </row>
    <row r="614" spans="1:14" ht="39" x14ac:dyDescent="0.3">
      <c r="A614" s="1" t="str">
        <f>HYPERLINK("https://ipmanager.doe.gov/IPManager//ExternalLink.aspx?6ibkph2k9yi6F%2B0Vz7YoTgZwfmYxrNyKW4RkemQsqEY%3D","Link")</f>
        <v>Link</v>
      </c>
      <c r="B614" s="2" t="s">
        <v>2147</v>
      </c>
      <c r="C614" s="2" t="s">
        <v>2118</v>
      </c>
      <c r="D614" s="2" t="s">
        <v>2119</v>
      </c>
      <c r="E614" s="2" t="s">
        <v>2148</v>
      </c>
      <c r="F614" s="2" t="s">
        <v>2149</v>
      </c>
      <c r="G614" s="2" t="s">
        <v>2134</v>
      </c>
      <c r="H614" s="7"/>
      <c r="I614" s="2" t="s">
        <v>9</v>
      </c>
      <c r="K614" t="e">
        <v>#N/A</v>
      </c>
      <c r="L614" s="2" t="s">
        <v>8521</v>
      </c>
      <c r="M614" t="s">
        <v>8059</v>
      </c>
      <c r="N614" s="4"/>
    </row>
    <row r="615" spans="1:14" ht="65" x14ac:dyDescent="0.3">
      <c r="A615" s="1" t="str">
        <f>HYPERLINK("https://ipmanager.doe.gov/IPManager//ExternalLink.aspx?6ibkph2k9yi6F%2B0Vz7YoTgZwfmYxrNyK7oAZnIKuu3w%3D","Link")</f>
        <v>Link</v>
      </c>
      <c r="B615" s="2" t="s">
        <v>2150</v>
      </c>
      <c r="C615" s="2" t="s">
        <v>2118</v>
      </c>
      <c r="D615" s="2" t="s">
        <v>2119</v>
      </c>
      <c r="E615" s="2" t="s">
        <v>2151</v>
      </c>
      <c r="F615" s="2" t="s">
        <v>2152</v>
      </c>
      <c r="G615" s="2" t="s">
        <v>2134</v>
      </c>
      <c r="H615" s="7"/>
      <c r="I615" s="2" t="s">
        <v>9</v>
      </c>
      <c r="K615" t="e">
        <v>#N/A</v>
      </c>
      <c r="L615" s="2" t="s">
        <v>8521</v>
      </c>
      <c r="M615" t="s">
        <v>8059</v>
      </c>
      <c r="N615" s="4"/>
    </row>
    <row r="616" spans="1:14" ht="39" x14ac:dyDescent="0.3">
      <c r="A616" s="1" t="str">
        <f>HYPERLINK("https://ipmanager.doe.gov/IPManager//ExternalLink.aspx?6ibkph2k9yi6F%2B0Vz7YoTgZwfmYxrNyKvUfFZIJM2uk%3D","Link")</f>
        <v>Link</v>
      </c>
      <c r="B616" s="2" t="s">
        <v>2153</v>
      </c>
      <c r="C616" s="2" t="s">
        <v>2118</v>
      </c>
      <c r="D616" s="2" t="s">
        <v>2119</v>
      </c>
      <c r="E616" s="2" t="s">
        <v>2154</v>
      </c>
      <c r="F616" s="2" t="s">
        <v>2155</v>
      </c>
      <c r="G616" s="2" t="s">
        <v>2134</v>
      </c>
      <c r="H616" s="7"/>
      <c r="I616" s="2" t="s">
        <v>9</v>
      </c>
      <c r="K616" t="e">
        <v>#N/A</v>
      </c>
      <c r="L616" s="2" t="s">
        <v>8521</v>
      </c>
      <c r="M616" t="s">
        <v>8059</v>
      </c>
      <c r="N616" s="4"/>
    </row>
    <row r="617" spans="1:14" ht="91" x14ac:dyDescent="0.3">
      <c r="A617" s="1" t="str">
        <f>HYPERLINK("https://ipmanager.doe.gov/IPManager//ExternalLink.aspx?6ibkph2k9yi6F%2B0Vz7YoTgZwfmYxrNyKpXE5n4s7xe4%3D","Link")</f>
        <v>Link</v>
      </c>
      <c r="B617" s="2" t="s">
        <v>2156</v>
      </c>
      <c r="C617" s="2" t="s">
        <v>2118</v>
      </c>
      <c r="D617" s="2" t="s">
        <v>2119</v>
      </c>
      <c r="E617" s="2" t="s">
        <v>2157</v>
      </c>
      <c r="F617" s="2" t="s">
        <v>2158</v>
      </c>
      <c r="G617" s="2" t="s">
        <v>2134</v>
      </c>
      <c r="H617" s="7"/>
      <c r="I617" s="2" t="s">
        <v>9</v>
      </c>
      <c r="K617" t="e">
        <v>#N/A</v>
      </c>
      <c r="L617" s="2" t="s">
        <v>8521</v>
      </c>
      <c r="M617" t="s">
        <v>8059</v>
      </c>
      <c r="N617" s="4"/>
    </row>
    <row r="618" spans="1:14" ht="65" x14ac:dyDescent="0.3">
      <c r="A618" s="1" t="str">
        <f>HYPERLINK("https://ipmanager.doe.gov/IPManager//ExternalLink.aspx?6ibkph2k9yi6F%2B0Vz7YoTgZwfmYxrNyKWc2ws%2B2xH4Y%3D","Link")</f>
        <v>Link</v>
      </c>
      <c r="B618" s="2" t="s">
        <v>2159</v>
      </c>
      <c r="C618" s="2" t="s">
        <v>2118</v>
      </c>
      <c r="D618" s="2" t="s">
        <v>2119</v>
      </c>
      <c r="E618" s="2" t="s">
        <v>2160</v>
      </c>
      <c r="F618" s="2" t="s">
        <v>2161</v>
      </c>
      <c r="G618" s="2" t="s">
        <v>2134</v>
      </c>
      <c r="H618" s="7"/>
      <c r="I618" s="2" t="s">
        <v>9</v>
      </c>
      <c r="K618" t="e">
        <v>#N/A</v>
      </c>
      <c r="L618" s="2" t="s">
        <v>8521</v>
      </c>
      <c r="M618" t="s">
        <v>8059</v>
      </c>
      <c r="N618" s="4"/>
    </row>
    <row r="619" spans="1:14" ht="39" x14ac:dyDescent="0.3">
      <c r="A619" s="1" t="str">
        <f>HYPERLINK("https://ipmanager.doe.gov/IPManager//ExternalLink.aspx?6ibkph2k9yi6F%2B0Vz7YoTgZwfmYxrNyKN5M5xZ3g4W8%3D","Link")</f>
        <v>Link</v>
      </c>
      <c r="B619" s="2" t="s">
        <v>2162</v>
      </c>
      <c r="C619" s="2" t="s">
        <v>2118</v>
      </c>
      <c r="D619" s="2" t="s">
        <v>2119</v>
      </c>
      <c r="E619" s="2" t="s">
        <v>2163</v>
      </c>
      <c r="F619" s="2" t="s">
        <v>2164</v>
      </c>
      <c r="G619" s="2" t="s">
        <v>2134</v>
      </c>
      <c r="H619" s="7"/>
      <c r="I619" s="2" t="s">
        <v>9</v>
      </c>
      <c r="K619" t="e">
        <v>#N/A</v>
      </c>
      <c r="L619" s="2" t="s">
        <v>8521</v>
      </c>
      <c r="M619" t="s">
        <v>8059</v>
      </c>
      <c r="N619" s="4"/>
    </row>
    <row r="620" spans="1:14" ht="104" x14ac:dyDescent="0.3">
      <c r="A620" s="1" t="str">
        <f>HYPERLINK("https://ipmanager.doe.gov/IPManager//ExternalLink.aspx?6ibkph2k9yi6F%2B0Vz7YoTgZwfmYxrNyKoHr2jVD3JGM%3D","Link")</f>
        <v>Link</v>
      </c>
      <c r="B620" s="2" t="s">
        <v>2165</v>
      </c>
      <c r="C620" s="2" t="s">
        <v>2118</v>
      </c>
      <c r="D620" s="2" t="s">
        <v>2119</v>
      </c>
      <c r="E620" s="2" t="s">
        <v>2166</v>
      </c>
      <c r="F620" s="2" t="s">
        <v>2167</v>
      </c>
      <c r="G620" s="2" t="s">
        <v>2134</v>
      </c>
      <c r="H620" s="7"/>
      <c r="I620" s="2" t="s">
        <v>9</v>
      </c>
      <c r="K620" t="e">
        <v>#N/A</v>
      </c>
      <c r="L620" s="2" t="s">
        <v>8521</v>
      </c>
      <c r="M620" t="s">
        <v>8059</v>
      </c>
      <c r="N620" s="4"/>
    </row>
    <row r="621" spans="1:14" ht="52" x14ac:dyDescent="0.3">
      <c r="A621" s="1" t="str">
        <f>HYPERLINK("https://ipmanager.doe.gov/IPManager//ExternalLink.aspx?6ibkph2k9yi6F%2B0Vz7YoTgZwfmYxrNyKlBUrXy4PomI%3D","Link")</f>
        <v>Link</v>
      </c>
      <c r="B621" s="2" t="s">
        <v>2168</v>
      </c>
      <c r="C621" s="2" t="s">
        <v>2118</v>
      </c>
      <c r="D621" s="2" t="s">
        <v>2119</v>
      </c>
      <c r="E621" s="2" t="s">
        <v>2169</v>
      </c>
      <c r="F621" s="2" t="s">
        <v>2170</v>
      </c>
      <c r="G621" s="2" t="s">
        <v>2134</v>
      </c>
      <c r="H621" s="7"/>
      <c r="I621" s="2" t="s">
        <v>9</v>
      </c>
      <c r="K621" t="e">
        <v>#N/A</v>
      </c>
      <c r="L621" s="2" t="s">
        <v>8521</v>
      </c>
      <c r="M621" t="s">
        <v>8059</v>
      </c>
      <c r="N621" s="4"/>
    </row>
    <row r="622" spans="1:14" ht="52" x14ac:dyDescent="0.3">
      <c r="A622" s="1" t="str">
        <f>HYPERLINK("https://ipmanager.doe.gov/IPManager//ExternalLink.aspx?6ibkph2k9yi6F%2B0Vz7YoTgZwfmYxrNyKfPBJeWcbM5w%3D","Link")</f>
        <v>Link</v>
      </c>
      <c r="B622" s="2" t="s">
        <v>2171</v>
      </c>
      <c r="C622" s="2" t="s">
        <v>2118</v>
      </c>
      <c r="D622" s="2" t="s">
        <v>2119</v>
      </c>
      <c r="E622" s="2" t="s">
        <v>2172</v>
      </c>
      <c r="F622" s="2" t="s">
        <v>2173</v>
      </c>
      <c r="G622" s="2" t="s">
        <v>2134</v>
      </c>
      <c r="H622" s="7"/>
      <c r="I622" s="2" t="s">
        <v>9</v>
      </c>
      <c r="K622" t="e">
        <v>#N/A</v>
      </c>
      <c r="L622" s="2" t="s">
        <v>8521</v>
      </c>
      <c r="M622" t="s">
        <v>8059</v>
      </c>
      <c r="N622" s="4"/>
    </row>
    <row r="623" spans="1:14" ht="65" x14ac:dyDescent="0.3">
      <c r="A623" s="1" t="str">
        <f>HYPERLINK("https://ipmanager.doe.gov/IPManager//ExternalLink.aspx?6ibkph2k9yi6F%2B0Vz7YoTgZwfmYxrNyK%2FAgPK14MpXo%3D","Link")</f>
        <v>Link</v>
      </c>
      <c r="B623" s="2" t="s">
        <v>2174</v>
      </c>
      <c r="C623" s="2" t="s">
        <v>2118</v>
      </c>
      <c r="D623" s="2" t="s">
        <v>2119</v>
      </c>
      <c r="E623" s="2" t="s">
        <v>2151</v>
      </c>
      <c r="F623" s="2" t="s">
        <v>2152</v>
      </c>
      <c r="G623" s="2" t="s">
        <v>2134</v>
      </c>
      <c r="H623" s="7"/>
      <c r="I623" s="2" t="s">
        <v>9</v>
      </c>
      <c r="K623" t="e">
        <v>#N/A</v>
      </c>
      <c r="L623" s="2" t="s">
        <v>8521</v>
      </c>
      <c r="M623" t="s">
        <v>8059</v>
      </c>
      <c r="N623" s="4"/>
    </row>
    <row r="624" spans="1:14" ht="26" x14ac:dyDescent="0.3">
      <c r="A624" s="1" t="str">
        <f>HYPERLINK("https://ipmanager.doe.gov/IPManager//ExternalLink.aspx?6ibkph2k9yi6F%2B0Vz7YoTgZwfmYxrNyK1nQ5ZuGJ0zk%3D","Link")</f>
        <v>Link</v>
      </c>
      <c r="B624" s="2" t="s">
        <v>2175</v>
      </c>
      <c r="C624" s="2" t="s">
        <v>2176</v>
      </c>
      <c r="D624" s="2" t="s">
        <v>2177</v>
      </c>
      <c r="E624" s="2" t="s">
        <v>2178</v>
      </c>
      <c r="F624" s="2" t="s">
        <v>2179</v>
      </c>
      <c r="G624" s="2" t="s">
        <v>230</v>
      </c>
      <c r="H624" s="7">
        <v>8803384</v>
      </c>
      <c r="I624" s="2" t="s">
        <v>1094</v>
      </c>
      <c r="J624" t="s">
        <v>7504</v>
      </c>
      <c r="K624" t="s">
        <v>7861</v>
      </c>
      <c r="L624" s="2" t="s">
        <v>8522</v>
      </c>
      <c r="M624" t="s">
        <v>8060</v>
      </c>
    </row>
    <row r="625" spans="1:14" ht="26" x14ac:dyDescent="0.3">
      <c r="A625" s="1" t="str">
        <f>HYPERLINK("https://ipmanager.doe.gov/IPManager//ExternalLink.aspx?6ibkph2k9yi6F%2B0Vz7YoTgZwfmYxrNyKCV%2BwCM7%2FPSM%3D","Link")</f>
        <v>Link</v>
      </c>
      <c r="B625" s="2" t="s">
        <v>2180</v>
      </c>
      <c r="C625" s="2" t="s">
        <v>2176</v>
      </c>
      <c r="D625" s="2" t="s">
        <v>2177</v>
      </c>
      <c r="E625" s="2" t="s">
        <v>2181</v>
      </c>
      <c r="F625" s="2"/>
      <c r="G625" s="2" t="s">
        <v>9</v>
      </c>
      <c r="H625" s="7"/>
      <c r="I625" s="2" t="s">
        <v>9</v>
      </c>
      <c r="K625" t="e">
        <v>#N/A</v>
      </c>
      <c r="L625" s="2" t="s">
        <v>8522</v>
      </c>
      <c r="M625" t="s">
        <v>8060</v>
      </c>
      <c r="N625" s="4"/>
    </row>
    <row r="626" spans="1:14" ht="26" x14ac:dyDescent="0.3">
      <c r="A626" s="1" t="str">
        <f>HYPERLINK("https://ipmanager.doe.gov/IPManager//ExternalLink.aspx?6ibkph2k9yi6F%2B0Vz7YoTjnDGhmGHGI7KUi9SRxszuQ%3D","Link")</f>
        <v>Link</v>
      </c>
      <c r="B626" s="2" t="s">
        <v>2182</v>
      </c>
      <c r="C626" s="2" t="s">
        <v>2183</v>
      </c>
      <c r="D626" s="2" t="s">
        <v>2184</v>
      </c>
      <c r="E626" s="2" t="s">
        <v>2185</v>
      </c>
      <c r="F626" s="2"/>
      <c r="G626" s="2" t="s">
        <v>9</v>
      </c>
      <c r="H626" s="7"/>
      <c r="I626" s="2" t="s">
        <v>9</v>
      </c>
      <c r="K626" t="e">
        <v>#N/A</v>
      </c>
      <c r="L626" s="2" t="s">
        <v>8523</v>
      </c>
      <c r="M626" t="s">
        <v>8061</v>
      </c>
      <c r="N626" s="4"/>
    </row>
    <row r="627" spans="1:14" ht="65" x14ac:dyDescent="0.3">
      <c r="A627" s="1" t="str">
        <f>HYPERLINK("https://ipmanager.doe.gov/IPManager//ExternalLink.aspx?6ibkph2k9yi6F%2B0Vz7YoTlNm8snv%2FZpHJnOs39Fa4UE%3D","Link")</f>
        <v>Link</v>
      </c>
      <c r="B627" s="2" t="s">
        <v>2187</v>
      </c>
      <c r="C627" s="2" t="s">
        <v>2188</v>
      </c>
      <c r="D627" s="2" t="s">
        <v>1285</v>
      </c>
      <c r="E627" s="2" t="s">
        <v>2189</v>
      </c>
      <c r="F627" s="2" t="s">
        <v>2190</v>
      </c>
      <c r="G627" s="2" t="s">
        <v>2191</v>
      </c>
      <c r="H627" s="7">
        <v>9251938</v>
      </c>
      <c r="I627" s="2" t="s">
        <v>2192</v>
      </c>
      <c r="J627" t="s">
        <v>7505</v>
      </c>
      <c r="K627" t="s">
        <v>7862</v>
      </c>
      <c r="L627" s="2" t="s">
        <v>8524</v>
      </c>
      <c r="M627" t="s">
        <v>8062</v>
      </c>
    </row>
    <row r="628" spans="1:14" ht="52" x14ac:dyDescent="0.3">
      <c r="A628" s="1" t="str">
        <f>HYPERLINK("https://ipmanager.doe.gov/IPManager//ExternalLink.aspx?6ibkph2k9yi6F%2B0Vz7YoTjnDGhmGHGI7Pohg92TidRs%3D","Link")</f>
        <v>Link</v>
      </c>
      <c r="B628" s="2" t="s">
        <v>2193</v>
      </c>
      <c r="C628" s="2" t="s">
        <v>2188</v>
      </c>
      <c r="D628" s="2" t="s">
        <v>1285</v>
      </c>
      <c r="E628" s="2" t="s">
        <v>2194</v>
      </c>
      <c r="F628" s="2" t="s">
        <v>2195</v>
      </c>
      <c r="G628" s="2" t="s">
        <v>2196</v>
      </c>
      <c r="H628" s="7">
        <v>9373433</v>
      </c>
      <c r="I628" s="2" t="s">
        <v>2197</v>
      </c>
      <c r="J628" t="s">
        <v>7506</v>
      </c>
      <c r="K628" t="s">
        <v>7863</v>
      </c>
      <c r="L628" s="2" t="s">
        <v>8524</v>
      </c>
      <c r="M628" t="s">
        <v>8062</v>
      </c>
    </row>
    <row r="629" spans="1:14" ht="52" x14ac:dyDescent="0.3">
      <c r="A629" s="1" t="str">
        <f>HYPERLINK("https://ipmanager.doe.gov/IPManager//ExternalLink.aspx?6ibkph2k9yi6F%2B0Vz7YoTo7DPLa3%2F%2FGgRT0pIwiydQ8%3D","Link")</f>
        <v>Link</v>
      </c>
      <c r="B629" s="2" t="s">
        <v>2198</v>
      </c>
      <c r="C629" s="2" t="s">
        <v>2188</v>
      </c>
      <c r="D629" s="2" t="s">
        <v>1285</v>
      </c>
      <c r="E629" s="2" t="s">
        <v>2199</v>
      </c>
      <c r="F629" s="2" t="s">
        <v>2200</v>
      </c>
      <c r="G629" s="2" t="s">
        <v>2201</v>
      </c>
      <c r="H629" s="7"/>
      <c r="I629" s="2" t="s">
        <v>9</v>
      </c>
      <c r="K629" t="e">
        <v>#N/A</v>
      </c>
      <c r="L629" s="2" t="s">
        <v>8524</v>
      </c>
      <c r="M629" t="s">
        <v>8062</v>
      </c>
      <c r="N629" s="4"/>
    </row>
    <row r="630" spans="1:14" ht="91" x14ac:dyDescent="0.3">
      <c r="A630" s="1" t="str">
        <f>HYPERLINK("https://ipmanager.doe.gov/IPManager//ExternalLink.aspx?6ibkph2k9yi6F%2B0Vz7YoTjN2oADz%2F5Mxe%2FrP8HvmnMQ%3D","Link")</f>
        <v>Link</v>
      </c>
      <c r="B630" s="2" t="s">
        <v>2202</v>
      </c>
      <c r="C630" s="2" t="s">
        <v>2203</v>
      </c>
      <c r="D630" s="2" t="s">
        <v>2204</v>
      </c>
      <c r="E630" s="2" t="s">
        <v>2205</v>
      </c>
      <c r="F630" s="2"/>
      <c r="G630" s="2" t="s">
        <v>9</v>
      </c>
      <c r="H630" s="7"/>
      <c r="I630" s="2" t="s">
        <v>9</v>
      </c>
      <c r="K630" t="e">
        <v>#N/A</v>
      </c>
      <c r="L630" s="2" t="s">
        <v>8409</v>
      </c>
      <c r="M630" t="s">
        <v>8063</v>
      </c>
      <c r="N630" s="4"/>
    </row>
    <row r="631" spans="1:14" ht="39" x14ac:dyDescent="0.3">
      <c r="A631" s="1" t="str">
        <f>HYPERLINK("https://ipmanager.doe.gov/IPManager//ExternalLink.aspx?6ibkph2k9yi6F%2B0Vz7YoTlNm8snv%2FZpHTUoIbX%2BQpTI%3D","Link")</f>
        <v>Link</v>
      </c>
      <c r="B631" s="2" t="s">
        <v>2206</v>
      </c>
      <c r="C631" s="2" t="s">
        <v>2207</v>
      </c>
      <c r="D631" s="2" t="s">
        <v>2208</v>
      </c>
      <c r="E631" s="2" t="s">
        <v>2209</v>
      </c>
      <c r="F631" s="2" t="s">
        <v>7637</v>
      </c>
      <c r="G631" s="2" t="s">
        <v>2210</v>
      </c>
      <c r="H631" s="7"/>
      <c r="I631" s="2" t="s">
        <v>9</v>
      </c>
      <c r="K631" t="e">
        <v>#N/A</v>
      </c>
      <c r="L631" s="2" t="s">
        <v>8525</v>
      </c>
      <c r="M631" t="s">
        <v>8064</v>
      </c>
      <c r="N631" s="4"/>
    </row>
    <row r="632" spans="1:14" ht="52" x14ac:dyDescent="0.3">
      <c r="A632" s="1" t="str">
        <f>HYPERLINK("https://ipmanager.doe.gov/IPManager//ExternalLink.aspx?6ibkph2k9yi6F%2B0Vz7YoTjnDGhmGHGI7EfU%2FrPzecK0%3D","Link")</f>
        <v>Link</v>
      </c>
      <c r="B632" s="2" t="s">
        <v>2212</v>
      </c>
      <c r="C632" s="2" t="s">
        <v>2213</v>
      </c>
      <c r="D632" s="2" t="s">
        <v>2214</v>
      </c>
      <c r="E632" s="2" t="s">
        <v>2215</v>
      </c>
      <c r="F632" s="2" t="s">
        <v>2216</v>
      </c>
      <c r="G632" s="2" t="s">
        <v>2217</v>
      </c>
      <c r="H632" s="7"/>
      <c r="I632" s="2" t="s">
        <v>9</v>
      </c>
      <c r="K632" t="e">
        <v>#N/A</v>
      </c>
      <c r="L632" s="2" t="s">
        <v>7979</v>
      </c>
      <c r="M632" t="s">
        <v>7979</v>
      </c>
      <c r="N632" s="4"/>
    </row>
    <row r="633" spans="1:14" ht="65" x14ac:dyDescent="0.3">
      <c r="A633" s="1" t="str">
        <f>HYPERLINK("https://ipmanager.doe.gov/IPManager//ExternalLink.aspx?6ibkph2k9yi6F%2B0Vz7YoTlNm8snv%2FZpHJU00YlUsrhA%3D","Link")</f>
        <v>Link</v>
      </c>
      <c r="B633" s="2" t="s">
        <v>2218</v>
      </c>
      <c r="C633" s="2" t="s">
        <v>2213</v>
      </c>
      <c r="D633" s="2" t="s">
        <v>2214</v>
      </c>
      <c r="E633" s="2" t="s">
        <v>2219</v>
      </c>
      <c r="F633" s="2" t="s">
        <v>2220</v>
      </c>
      <c r="G633" s="2" t="s">
        <v>2221</v>
      </c>
      <c r="H633" s="7"/>
      <c r="I633" s="2" t="s">
        <v>9</v>
      </c>
      <c r="K633" t="e">
        <v>#N/A</v>
      </c>
      <c r="L633" s="2" t="s">
        <v>7979</v>
      </c>
      <c r="M633" t="s">
        <v>7979</v>
      </c>
      <c r="N633" s="4"/>
    </row>
    <row r="634" spans="1:14" ht="52" x14ac:dyDescent="0.3">
      <c r="A634" s="1" t="str">
        <f>HYPERLINK("https://ipmanager.doe.gov/IPManager//ExternalLink.aspx?6ibkph2k9yi6F%2B0Vz7YoTjnDGhmGHGI7Zdd6kWRyZB8%3D","Link")</f>
        <v>Link</v>
      </c>
      <c r="B634" s="2" t="s">
        <v>2222</v>
      </c>
      <c r="C634" s="2" t="s">
        <v>2213</v>
      </c>
      <c r="D634" s="2" t="s">
        <v>2214</v>
      </c>
      <c r="E634" s="2" t="s">
        <v>2223</v>
      </c>
      <c r="F634" s="2" t="s">
        <v>2224</v>
      </c>
      <c r="G634" s="2" t="s">
        <v>2221</v>
      </c>
      <c r="H634" s="7"/>
      <c r="I634" s="2" t="s">
        <v>9</v>
      </c>
      <c r="K634" t="e">
        <v>#N/A</v>
      </c>
      <c r="L634" s="2" t="s">
        <v>7979</v>
      </c>
      <c r="M634" t="s">
        <v>7979</v>
      </c>
      <c r="N634" s="4"/>
    </row>
    <row r="635" spans="1:14" ht="65" x14ac:dyDescent="0.3">
      <c r="A635" s="1" t="str">
        <f>HYPERLINK("https://ipmanager.doe.gov/IPManager//ExternalLink.aspx?6ibkph2k9yi6F%2B0Vz7YoTjnDGhmGHGI7QZeI%2FRd0%2BeY%3D","Link")</f>
        <v>Link</v>
      </c>
      <c r="B635" s="2" t="s">
        <v>2225</v>
      </c>
      <c r="C635" s="2" t="s">
        <v>2213</v>
      </c>
      <c r="D635" s="2" t="s">
        <v>2214</v>
      </c>
      <c r="E635" s="2" t="s">
        <v>2226</v>
      </c>
      <c r="F635" s="2" t="s">
        <v>7602</v>
      </c>
      <c r="G635" s="2" t="s">
        <v>2227</v>
      </c>
      <c r="H635" s="7"/>
      <c r="I635" s="2" t="s">
        <v>9</v>
      </c>
      <c r="K635" t="e">
        <v>#N/A</v>
      </c>
      <c r="L635" s="2" t="s">
        <v>7979</v>
      </c>
      <c r="M635" t="s">
        <v>7979</v>
      </c>
      <c r="N635" s="4"/>
    </row>
    <row r="636" spans="1:14" ht="39" x14ac:dyDescent="0.3">
      <c r="A636" s="1" t="str">
        <f>HYPERLINK("https://ipmanager.doe.gov/IPManager//ExternalLink.aspx?6ibkph2k9yi6F%2B0Vz7YoTjnDGhmGHGI7o%2F63My%2FJaA4%3D","Link")</f>
        <v>Link</v>
      </c>
      <c r="B636" s="2" t="s">
        <v>2228</v>
      </c>
      <c r="C636" s="2" t="s">
        <v>2229</v>
      </c>
      <c r="D636" s="2" t="s">
        <v>2230</v>
      </c>
      <c r="E636" s="2" t="s">
        <v>2231</v>
      </c>
      <c r="F636" s="2"/>
      <c r="G636" s="2" t="s">
        <v>9</v>
      </c>
      <c r="H636" s="7"/>
      <c r="I636" s="2" t="s">
        <v>9</v>
      </c>
      <c r="K636" t="e">
        <v>#N/A</v>
      </c>
      <c r="L636" s="2" t="s">
        <v>8526</v>
      </c>
      <c r="M636" t="s">
        <v>8065</v>
      </c>
      <c r="N636" s="4"/>
    </row>
    <row r="637" spans="1:14" ht="26" x14ac:dyDescent="0.3">
      <c r="A637" s="1" t="str">
        <f>HYPERLINK("https://ipmanager.doe.gov/IPManager//ExternalLink.aspx?6ibkph2k9yi6F%2B0Vz7YoTjnDGhmGHGI7zr2Z2glC400%3D","Link")</f>
        <v>Link</v>
      </c>
      <c r="B637" s="2" t="s">
        <v>2232</v>
      </c>
      <c r="C637" s="2" t="s">
        <v>2229</v>
      </c>
      <c r="D637" s="2" t="s">
        <v>2233</v>
      </c>
      <c r="E637" s="2" t="s">
        <v>2234</v>
      </c>
      <c r="F637" s="2" t="s">
        <v>2235</v>
      </c>
      <c r="G637" s="2" t="s">
        <v>2236</v>
      </c>
      <c r="H637" s="2"/>
      <c r="I637" s="2" t="s">
        <v>9</v>
      </c>
      <c r="J637" t="s">
        <v>2235</v>
      </c>
      <c r="K637" t="s">
        <v>7761</v>
      </c>
      <c r="L637" s="2" t="s">
        <v>8526</v>
      </c>
      <c r="M637" t="s">
        <v>8065</v>
      </c>
      <c r="N637" s="4"/>
    </row>
    <row r="638" spans="1:14" ht="26" x14ac:dyDescent="0.3">
      <c r="A638" s="1" t="str">
        <f>HYPERLINK("https://ipmanager.doe.gov/IPManager//ExternalLink.aspx?6ibkph2k9yi6F%2B0Vz7YoTipZ798QK%2BbPlKdB%2F8g8BRA%3D","Link")</f>
        <v>Link</v>
      </c>
      <c r="B638" s="2" t="s">
        <v>2238</v>
      </c>
      <c r="C638" s="2" t="s">
        <v>2229</v>
      </c>
      <c r="D638" s="2" t="s">
        <v>2233</v>
      </c>
      <c r="E638" s="2" t="s">
        <v>2234</v>
      </c>
      <c r="F638" s="2" t="s">
        <v>2237</v>
      </c>
      <c r="G638" s="2" t="s">
        <v>2239</v>
      </c>
      <c r="H638" s="2"/>
      <c r="I638" s="2" t="s">
        <v>9</v>
      </c>
      <c r="K638" t="e">
        <v>#N/A</v>
      </c>
      <c r="L638" s="2" t="s">
        <v>8526</v>
      </c>
      <c r="M638" t="s">
        <v>8065</v>
      </c>
      <c r="N638" s="4"/>
    </row>
    <row r="639" spans="1:14" ht="65" x14ac:dyDescent="0.3">
      <c r="A639" s="1" t="str">
        <f>HYPERLINK("https://ipmanager.doe.gov/IPManager//ExternalLink.aspx?6ibkph2k9yi6F%2B0Vz7YoTlNm8snv%2FZpH02%2BPbHjJUmM%3D","Link")</f>
        <v>Link</v>
      </c>
      <c r="B639" s="2" t="s">
        <v>2255</v>
      </c>
      <c r="C639" s="2" t="s">
        <v>2241</v>
      </c>
      <c r="D639" s="2" t="s">
        <v>2242</v>
      </c>
      <c r="E639" s="2" t="s">
        <v>2256</v>
      </c>
      <c r="F639" s="2"/>
      <c r="G639" s="2" t="s">
        <v>9</v>
      </c>
      <c r="H639" s="7"/>
      <c r="I639" s="2" t="s">
        <v>9</v>
      </c>
      <c r="K639" t="e">
        <v>#N/A</v>
      </c>
      <c r="L639" s="2" t="s">
        <v>8527</v>
      </c>
      <c r="M639" t="s">
        <v>8066</v>
      </c>
      <c r="N639" s="4"/>
    </row>
    <row r="640" spans="1:14" ht="26" x14ac:dyDescent="0.3">
      <c r="A640" s="1" t="str">
        <f>HYPERLINK("https://ipmanager.doe.gov/IPManager//ExternalLink.aspx?6ibkph2k9yi6F%2B0Vz7YoTlNm8snv%2FZpHfdBUmXM1CMU%3D","Link")</f>
        <v>Link</v>
      </c>
      <c r="B640" s="2" t="s">
        <v>2257</v>
      </c>
      <c r="C640" s="2" t="s">
        <v>2241</v>
      </c>
      <c r="D640" s="2" t="s">
        <v>2242</v>
      </c>
      <c r="E640" s="2" t="s">
        <v>2258</v>
      </c>
      <c r="F640" s="2"/>
      <c r="G640" s="2" t="s">
        <v>9</v>
      </c>
      <c r="H640" s="7"/>
      <c r="I640" s="2" t="s">
        <v>9</v>
      </c>
      <c r="K640" t="e">
        <v>#N/A</v>
      </c>
      <c r="L640" s="2" t="s">
        <v>8527</v>
      </c>
      <c r="M640" t="s">
        <v>8066</v>
      </c>
      <c r="N640" s="4"/>
    </row>
    <row r="641" spans="1:14" ht="52" x14ac:dyDescent="0.3">
      <c r="A641" s="1" t="str">
        <f>HYPERLINK("https://ipmanager.doe.gov/IPManager//ExternalLink.aspx?6ibkph2k9yi6F%2B0Vz7YoTjnDGhmGHGI7Q7JekO68Cjg%3D","Link")</f>
        <v>Link</v>
      </c>
      <c r="B641" s="2" t="s">
        <v>2259</v>
      </c>
      <c r="C641" s="2" t="s">
        <v>2241</v>
      </c>
      <c r="D641" s="2" t="s">
        <v>2242</v>
      </c>
      <c r="E641" s="2" t="s">
        <v>2260</v>
      </c>
      <c r="F641" s="2"/>
      <c r="G641" s="2" t="s">
        <v>9</v>
      </c>
      <c r="H641" s="7"/>
      <c r="I641" s="2" t="s">
        <v>9</v>
      </c>
      <c r="K641" t="e">
        <v>#N/A</v>
      </c>
      <c r="L641" s="2" t="s">
        <v>8527</v>
      </c>
      <c r="M641" t="s">
        <v>8066</v>
      </c>
      <c r="N641" s="4"/>
    </row>
    <row r="642" spans="1:14" ht="52" x14ac:dyDescent="0.3">
      <c r="A642" s="1" t="str">
        <f>HYPERLINK("https://ipmanager.doe.gov/IPManager//ExternalLink.aspx?6ibkph2k9yi6F%2B0Vz7YoTnXVN2REjGcWnwsGlXlBoPM%3D","Link")</f>
        <v>Link</v>
      </c>
      <c r="B642" s="2" t="s">
        <v>2240</v>
      </c>
      <c r="C642" s="2" t="s">
        <v>2241</v>
      </c>
      <c r="D642" s="2" t="s">
        <v>2242</v>
      </c>
      <c r="E642" s="2" t="s">
        <v>2243</v>
      </c>
      <c r="F642" s="2" t="s">
        <v>2244</v>
      </c>
      <c r="G642" s="2" t="s">
        <v>2245</v>
      </c>
      <c r="H642" s="7"/>
      <c r="I642" s="2" t="s">
        <v>9</v>
      </c>
      <c r="K642" t="e">
        <v>#N/A</v>
      </c>
      <c r="L642" s="2" t="s">
        <v>8527</v>
      </c>
      <c r="M642" t="s">
        <v>8066</v>
      </c>
      <c r="N642" s="4"/>
    </row>
    <row r="643" spans="1:14" ht="52" x14ac:dyDescent="0.3">
      <c r="A643" s="1" t="str">
        <f>HYPERLINK("https://ipmanager.doe.gov/IPManager//ExternalLink.aspx?6ibkph2k9yi6F%2B0Vz7YoTipZ798QK%2BbPlARKwl7q368%3D","Link")</f>
        <v>Link</v>
      </c>
      <c r="B643" s="2" t="s">
        <v>2246</v>
      </c>
      <c r="C643" s="2" t="s">
        <v>2241</v>
      </c>
      <c r="D643" s="2" t="s">
        <v>2242</v>
      </c>
      <c r="E643" s="2" t="s">
        <v>2243</v>
      </c>
      <c r="F643" s="2" t="s">
        <v>2247</v>
      </c>
      <c r="G643" s="2" t="s">
        <v>1469</v>
      </c>
      <c r="H643" s="7"/>
      <c r="I643" s="2" t="s">
        <v>9</v>
      </c>
      <c r="K643" t="e">
        <v>#N/A</v>
      </c>
      <c r="L643" s="2" t="s">
        <v>8527</v>
      </c>
      <c r="M643" t="s">
        <v>8066</v>
      </c>
      <c r="N643" s="4"/>
    </row>
    <row r="644" spans="1:14" ht="52" x14ac:dyDescent="0.3">
      <c r="A644" s="1" t="str">
        <f>HYPERLINK("https://ipmanager.doe.gov/IPManager//ExternalLink.aspx?6ibkph2k9yi6F%2B0Vz7YoTlNm8snv%2FZpHafJNvTsznYs%3D","Link")</f>
        <v>Link</v>
      </c>
      <c r="B644" s="2" t="s">
        <v>2248</v>
      </c>
      <c r="C644" s="2" t="s">
        <v>2241</v>
      </c>
      <c r="D644" s="2" t="s">
        <v>2242</v>
      </c>
      <c r="E644" s="2" t="s">
        <v>2243</v>
      </c>
      <c r="F644" s="2" t="s">
        <v>2249</v>
      </c>
      <c r="G644" s="2" t="s">
        <v>485</v>
      </c>
      <c r="H644" s="7"/>
      <c r="I644" s="2" t="s">
        <v>9</v>
      </c>
      <c r="K644" t="e">
        <v>#N/A</v>
      </c>
      <c r="L644" s="2" t="s">
        <v>8527</v>
      </c>
      <c r="M644" t="s">
        <v>8066</v>
      </c>
      <c r="N644" s="4"/>
    </row>
    <row r="645" spans="1:14" ht="39" x14ac:dyDescent="0.3">
      <c r="A645" s="1" t="str">
        <f>HYPERLINK("https://ipmanager.doe.gov/IPManager//ExternalLink.aspx?6ibkph2k9yi6F%2B0Vz7YoTlNm8snv%2FZpH2IEC4t0f0HU%3D","Link")</f>
        <v>Link</v>
      </c>
      <c r="B645" s="2" t="s">
        <v>2250</v>
      </c>
      <c r="C645" s="2" t="s">
        <v>2241</v>
      </c>
      <c r="D645" s="2" t="s">
        <v>2242</v>
      </c>
      <c r="E645" s="2" t="s">
        <v>2251</v>
      </c>
      <c r="F645" s="2" t="s">
        <v>2252</v>
      </c>
      <c r="G645" s="2" t="s">
        <v>1227</v>
      </c>
      <c r="H645" s="7"/>
      <c r="I645" s="2" t="s">
        <v>9</v>
      </c>
      <c r="K645" t="e">
        <v>#N/A</v>
      </c>
      <c r="L645" s="2" t="s">
        <v>8527</v>
      </c>
      <c r="M645" t="s">
        <v>8066</v>
      </c>
      <c r="N645" s="4"/>
    </row>
    <row r="646" spans="1:14" ht="39" x14ac:dyDescent="0.3">
      <c r="A646" s="1" t="str">
        <f>HYPERLINK("https://ipmanager.doe.gov/IPManager//ExternalLink.aspx?6ibkph2k9yi6F%2B0Vz7YoTlNm8snv%2FZpHGYFY1UMzKKI%3D","Link")</f>
        <v>Link</v>
      </c>
      <c r="B646" s="2" t="s">
        <v>2253</v>
      </c>
      <c r="C646" s="2" t="s">
        <v>2241</v>
      </c>
      <c r="D646" s="2" t="s">
        <v>2242</v>
      </c>
      <c r="E646" s="2" t="s">
        <v>2251</v>
      </c>
      <c r="F646" s="2" t="s">
        <v>2254</v>
      </c>
      <c r="G646" s="2" t="s">
        <v>1227</v>
      </c>
      <c r="H646" s="7"/>
      <c r="I646" s="2" t="s">
        <v>9</v>
      </c>
      <c r="K646" t="e">
        <v>#N/A</v>
      </c>
      <c r="L646" s="2" t="s">
        <v>8527</v>
      </c>
      <c r="M646" t="s">
        <v>8066</v>
      </c>
      <c r="N646" s="4"/>
    </row>
    <row r="647" spans="1:14" ht="39" x14ac:dyDescent="0.3">
      <c r="A647" s="1" t="str">
        <f>HYPERLINK("https://ipmanager.doe.gov/IPManager//ExternalLink.aspx?6ibkph2k9yi6F%2B0Vz7YoTjnDGhmGHGI7dZwhhBzMlEA%3D","Link")</f>
        <v>Link</v>
      </c>
      <c r="B647" s="2" t="s">
        <v>2261</v>
      </c>
      <c r="C647" s="2" t="s">
        <v>2262</v>
      </c>
      <c r="D647" s="2" t="s">
        <v>1860</v>
      </c>
      <c r="E647" s="2" t="s">
        <v>2263</v>
      </c>
      <c r="F647" s="2" t="s">
        <v>2264</v>
      </c>
      <c r="G647" s="2" t="s">
        <v>9</v>
      </c>
      <c r="H647" s="7"/>
      <c r="I647" s="2" t="s">
        <v>9</v>
      </c>
      <c r="K647" t="e">
        <v>#N/A</v>
      </c>
      <c r="L647" s="2" t="s">
        <v>8509</v>
      </c>
      <c r="M647" t="s">
        <v>8047</v>
      </c>
      <c r="N647" s="4"/>
    </row>
    <row r="648" spans="1:14" ht="65" x14ac:dyDescent="0.3">
      <c r="A648" s="1" t="str">
        <f>HYPERLINK("https://ipmanager.doe.gov/IPManager//ExternalLink.aspx?6ibkph2k9yi6F%2B0Vz7YoTjnDGhmGHGI7%2F%2FfmTplbanA%3D","Link")</f>
        <v>Link</v>
      </c>
      <c r="B648" s="2" t="s">
        <v>2265</v>
      </c>
      <c r="C648" s="2" t="s">
        <v>2266</v>
      </c>
      <c r="D648" s="2" t="s">
        <v>2267</v>
      </c>
      <c r="E648" s="2" t="s">
        <v>2268</v>
      </c>
      <c r="F648" s="2"/>
      <c r="G648" s="2" t="s">
        <v>9</v>
      </c>
      <c r="H648" s="7"/>
      <c r="I648" s="2" t="s">
        <v>9</v>
      </c>
      <c r="K648" t="e">
        <v>#N/A</v>
      </c>
      <c r="L648" s="2" t="e">
        <v>#N/A</v>
      </c>
      <c r="M648" t="e">
        <v>#N/A</v>
      </c>
      <c r="N648" s="4"/>
    </row>
    <row r="649" spans="1:14" ht="39" x14ac:dyDescent="0.3">
      <c r="A649" s="1" t="str">
        <f>HYPERLINK("https://ipmanager.doe.gov/IPManager//ExternalLink.aspx?6ibkph2k9yi6F%2B0Vz7YoThEBhkR3uHVr3%2F1fKVx%2F6Kc%3D","Link")</f>
        <v>Link</v>
      </c>
      <c r="B649" s="2" t="s">
        <v>2280</v>
      </c>
      <c r="C649" s="2" t="s">
        <v>2270</v>
      </c>
      <c r="D649" s="2" t="s">
        <v>2271</v>
      </c>
      <c r="E649" s="2" t="s">
        <v>2281</v>
      </c>
      <c r="F649" s="2"/>
      <c r="G649" s="2" t="s">
        <v>9</v>
      </c>
      <c r="H649" s="7"/>
      <c r="I649" s="2" t="s">
        <v>9</v>
      </c>
      <c r="K649" t="e">
        <v>#N/A</v>
      </c>
      <c r="L649" s="2" t="s">
        <v>8528</v>
      </c>
      <c r="M649" t="s">
        <v>8067</v>
      </c>
      <c r="N649" s="4"/>
    </row>
    <row r="650" spans="1:14" ht="52" x14ac:dyDescent="0.3">
      <c r="A650" s="1" t="str">
        <f>HYPERLINK("https://ipmanager.doe.gov/IPManager//ExternalLink.aspx?6ibkph2k9yi6F%2B0Vz7YoTgZwfmYxrNyKxrFFm4xQgog%3D","Link")</f>
        <v>Link</v>
      </c>
      <c r="B650" s="2" t="s">
        <v>2284</v>
      </c>
      <c r="C650" s="2" t="s">
        <v>2270</v>
      </c>
      <c r="D650" s="2" t="s">
        <v>2271</v>
      </c>
      <c r="E650" s="2" t="s">
        <v>2285</v>
      </c>
      <c r="F650" s="2"/>
      <c r="G650" s="2" t="s">
        <v>9</v>
      </c>
      <c r="H650" s="7"/>
      <c r="I650" s="2" t="s">
        <v>9</v>
      </c>
      <c r="K650" t="e">
        <v>#N/A</v>
      </c>
      <c r="L650" s="2" t="s">
        <v>8528</v>
      </c>
      <c r="M650" t="s">
        <v>8067</v>
      </c>
      <c r="N650" s="4"/>
    </row>
    <row r="651" spans="1:14" ht="52" x14ac:dyDescent="0.3">
      <c r="A651" s="1" t="str">
        <f>HYPERLINK("https://ipmanager.doe.gov/IPManager//ExternalLink.aspx?6ibkph2k9yi6F%2B0Vz7YoTjnDGhmGHGI7yKultW3G%2F6M%3D","Link")</f>
        <v>Link</v>
      </c>
      <c r="B651" s="2" t="s">
        <v>2269</v>
      </c>
      <c r="C651" s="2" t="s">
        <v>2270</v>
      </c>
      <c r="D651" s="2" t="s">
        <v>2271</v>
      </c>
      <c r="E651" s="2" t="s">
        <v>2272</v>
      </c>
      <c r="F651" s="2" t="s">
        <v>2273</v>
      </c>
      <c r="G651" s="2" t="s">
        <v>2274</v>
      </c>
      <c r="H651" s="2"/>
      <c r="I651" s="2" t="s">
        <v>9</v>
      </c>
      <c r="K651" t="e">
        <v>#N/A</v>
      </c>
      <c r="L651" s="2" t="s">
        <v>8528</v>
      </c>
      <c r="M651" t="s">
        <v>8067</v>
      </c>
      <c r="N651" s="4"/>
    </row>
    <row r="652" spans="1:14" ht="52" x14ac:dyDescent="0.3">
      <c r="A652" s="1" t="str">
        <f>HYPERLINK("https://ipmanager.doe.gov/IPManager//ExternalLink.aspx?6ibkph2k9yi6F%2B0Vz7YoTipZ798QK%2BbPxbql0QYzXuA%3D","Link")</f>
        <v>Link</v>
      </c>
      <c r="B652" s="2" t="s">
        <v>2277</v>
      </c>
      <c r="C652" s="2" t="s">
        <v>2270</v>
      </c>
      <c r="D652" s="2" t="s">
        <v>2271</v>
      </c>
      <c r="E652" s="2" t="s">
        <v>2272</v>
      </c>
      <c r="F652" s="2" t="s">
        <v>2278</v>
      </c>
      <c r="G652" s="2" t="s">
        <v>2279</v>
      </c>
      <c r="H652" s="2"/>
      <c r="I652" s="2" t="s">
        <v>9</v>
      </c>
      <c r="J652" t="s">
        <v>2278</v>
      </c>
      <c r="K652" t="s">
        <v>7864</v>
      </c>
      <c r="L652" s="2" t="s">
        <v>8528</v>
      </c>
      <c r="M652" t="s">
        <v>8067</v>
      </c>
      <c r="N652" s="4"/>
    </row>
    <row r="653" spans="1:14" ht="39" x14ac:dyDescent="0.3">
      <c r="A653" s="1" t="str">
        <f>HYPERLINK("https://ipmanager.doe.gov/IPManager//ExternalLink.aspx?6ibkph2k9yi6F%2B0Vz7YoThEBhkR3uHVrcr%2BbCSDgGgw%3D","Link")</f>
        <v>Link</v>
      </c>
      <c r="B653" s="2" t="s">
        <v>2282</v>
      </c>
      <c r="C653" s="2" t="s">
        <v>2270</v>
      </c>
      <c r="D653" s="2" t="s">
        <v>2271</v>
      </c>
      <c r="E653" s="2" t="s">
        <v>2283</v>
      </c>
      <c r="F653" s="2" t="s">
        <v>2275</v>
      </c>
      <c r="G653" s="2" t="s">
        <v>2279</v>
      </c>
      <c r="H653" s="2"/>
      <c r="I653" s="2" t="s">
        <v>9</v>
      </c>
      <c r="K653" t="e">
        <v>#N/A</v>
      </c>
      <c r="L653" s="2" t="s">
        <v>8528</v>
      </c>
      <c r="M653" t="s">
        <v>8067</v>
      </c>
      <c r="N653" s="4"/>
    </row>
    <row r="654" spans="1:14" ht="52" x14ac:dyDescent="0.3">
      <c r="A654" s="1" t="str">
        <f>HYPERLINK("https://ipmanager.doe.gov/IPManager//ExternalLink.aspx?6ibkph2k9yi6F%2B0Vz7YoTgZwfmYxrNyKeuqjtcszdQo%3D","Link")</f>
        <v>Link</v>
      </c>
      <c r="B654" s="2" t="s">
        <v>2286</v>
      </c>
      <c r="C654" s="2" t="s">
        <v>2287</v>
      </c>
      <c r="D654" s="2" t="s">
        <v>2267</v>
      </c>
      <c r="E654" s="2" t="s">
        <v>2288</v>
      </c>
      <c r="F654" s="2"/>
      <c r="G654" s="2" t="s">
        <v>9</v>
      </c>
      <c r="H654" s="7"/>
      <c r="I654" s="2" t="s">
        <v>9</v>
      </c>
      <c r="K654" t="e">
        <v>#N/A</v>
      </c>
      <c r="L654" s="2" t="s">
        <v>8529</v>
      </c>
      <c r="M654" t="s">
        <v>8068</v>
      </c>
      <c r="N654" s="4"/>
    </row>
    <row r="655" spans="1:14" ht="52" x14ac:dyDescent="0.3">
      <c r="A655" s="1" t="str">
        <f>HYPERLINK("https://ipmanager.doe.gov/IPManager//ExternalLink.aspx?6ibkph2k9yi6F%2B0Vz7YoTq6RR9BlGHHi49FRmytIt30%3D","Link")</f>
        <v>Link</v>
      </c>
      <c r="B655" s="2" t="s">
        <v>2295</v>
      </c>
      <c r="C655" s="2" t="s">
        <v>2287</v>
      </c>
      <c r="D655" s="2" t="s">
        <v>2267</v>
      </c>
      <c r="E655" s="2" t="s">
        <v>2291</v>
      </c>
      <c r="F655" s="2" t="s">
        <v>2294</v>
      </c>
      <c r="G655" s="2" t="s">
        <v>2296</v>
      </c>
      <c r="H655" s="7">
        <v>9879166</v>
      </c>
      <c r="I655" s="2" t="s">
        <v>867</v>
      </c>
      <c r="J655" t="s">
        <v>7509</v>
      </c>
      <c r="K655" t="s">
        <v>7865</v>
      </c>
      <c r="L655" s="2" t="s">
        <v>8529</v>
      </c>
      <c r="M655" t="s">
        <v>8068</v>
      </c>
    </row>
    <row r="656" spans="1:14" ht="52" x14ac:dyDescent="0.3">
      <c r="A656" s="1" t="str">
        <f>HYPERLINK("https://ipmanager.doe.gov/IPManager//ExternalLink.aspx?6ibkph2k9yi6F%2B0Vz7YoTjnDGhmGHGI74YOEOB9b4v4%3D","Link")</f>
        <v>Link</v>
      </c>
      <c r="B656" s="2" t="s">
        <v>2290</v>
      </c>
      <c r="C656" s="2" t="s">
        <v>2287</v>
      </c>
      <c r="D656" s="2" t="s">
        <v>2267</v>
      </c>
      <c r="E656" s="2" t="s">
        <v>2291</v>
      </c>
      <c r="F656" s="2" t="s">
        <v>2292</v>
      </c>
      <c r="G656" s="2" t="s">
        <v>2293</v>
      </c>
      <c r="H656" s="2"/>
      <c r="I656" s="2" t="s">
        <v>9</v>
      </c>
      <c r="K656" t="e">
        <v>#N/A</v>
      </c>
      <c r="L656" s="2" t="s">
        <v>8529</v>
      </c>
      <c r="M656" t="s">
        <v>8068</v>
      </c>
      <c r="N656" s="4"/>
    </row>
    <row r="657" spans="1:14" ht="39" x14ac:dyDescent="0.3">
      <c r="A657" s="1" t="str">
        <f>HYPERLINK("https://ipmanager.doe.gov/IPManager//ExternalLink.aspx?6ibkph2k9yi6F%2B0Vz7YoTnXVN2REjGcWm6wlRMuL0hk%3D","Link")</f>
        <v>Link</v>
      </c>
      <c r="B657" s="2" t="s">
        <v>2297</v>
      </c>
      <c r="C657" s="2" t="s">
        <v>2298</v>
      </c>
      <c r="D657" s="2" t="s">
        <v>770</v>
      </c>
      <c r="E657" s="2" t="s">
        <v>2299</v>
      </c>
      <c r="F657" s="2"/>
      <c r="G657" s="2" t="s">
        <v>9</v>
      </c>
      <c r="H657" s="7"/>
      <c r="I657" s="2" t="s">
        <v>9</v>
      </c>
      <c r="K657" t="e">
        <v>#N/A</v>
      </c>
      <c r="L657" s="2" t="s">
        <v>8530</v>
      </c>
      <c r="M657" t="s">
        <v>8069</v>
      </c>
      <c r="N657" s="4"/>
    </row>
    <row r="658" spans="1:14" ht="117" x14ac:dyDescent="0.3">
      <c r="A658" s="1" t="str">
        <f>HYPERLINK("https://ipmanager.doe.gov/IPManager//ExternalLink.aspx?6ibkph2k9yi6F%2B0Vz7YoTr7J5I%2BY4foYzHYduUnte9c%3D","Link")</f>
        <v>Link</v>
      </c>
      <c r="B658" s="2" t="s">
        <v>2304</v>
      </c>
      <c r="C658" s="2" t="s">
        <v>2298</v>
      </c>
      <c r="D658" s="2" t="s">
        <v>770</v>
      </c>
      <c r="E658" s="2" t="s">
        <v>2301</v>
      </c>
      <c r="F658" s="2" t="s">
        <v>2305</v>
      </c>
      <c r="G658" s="2" t="s">
        <v>9</v>
      </c>
      <c r="H658" s="7">
        <v>9527741</v>
      </c>
      <c r="I658" s="2" t="s">
        <v>9</v>
      </c>
      <c r="J658" t="s">
        <v>7510</v>
      </c>
      <c r="K658" t="s">
        <v>7866</v>
      </c>
      <c r="L658" s="2" t="s">
        <v>8530</v>
      </c>
      <c r="M658" t="s">
        <v>8069</v>
      </c>
    </row>
    <row r="659" spans="1:14" ht="39" x14ac:dyDescent="0.3">
      <c r="A659" s="1" t="str">
        <f>HYPERLINK("https://ipmanager.doe.gov/IPManager//ExternalLink.aspx?6ibkph2k9yi6F%2B0Vz7YoTjnDGhmGHGI7z0ZkSRyCO4s%3D","Link")</f>
        <v>Link</v>
      </c>
      <c r="B659" s="2" t="s">
        <v>2306</v>
      </c>
      <c r="C659" s="2" t="s">
        <v>2298</v>
      </c>
      <c r="D659" s="2" t="s">
        <v>778</v>
      </c>
      <c r="E659" s="2" t="s">
        <v>2307</v>
      </c>
      <c r="F659" s="2"/>
      <c r="G659" s="2" t="s">
        <v>9</v>
      </c>
      <c r="H659" s="7"/>
      <c r="I659" s="2" t="s">
        <v>9</v>
      </c>
      <c r="K659" t="e">
        <v>#N/A</v>
      </c>
      <c r="L659" s="2" t="s">
        <v>8530</v>
      </c>
      <c r="M659" t="s">
        <v>8069</v>
      </c>
      <c r="N659" s="4"/>
    </row>
    <row r="660" spans="1:14" ht="39" x14ac:dyDescent="0.3">
      <c r="A660" s="1" t="str">
        <f>HYPERLINK("https://ipmanager.doe.gov/IPManager//ExternalLink.aspx?6ibkph2k9yi6F%2B0Vz7YoTjnDGhmGHGI7Ic0MpvCH%2BBM%3D","Link")</f>
        <v>Link</v>
      </c>
      <c r="B660" s="2" t="s">
        <v>2308</v>
      </c>
      <c r="C660" s="2" t="s">
        <v>2298</v>
      </c>
      <c r="D660" s="2" t="s">
        <v>778</v>
      </c>
      <c r="E660" s="2" t="s">
        <v>2309</v>
      </c>
      <c r="F660" s="2"/>
      <c r="G660" s="2" t="s">
        <v>9</v>
      </c>
      <c r="H660" s="7"/>
      <c r="I660" s="2" t="s">
        <v>9</v>
      </c>
      <c r="K660" t="e">
        <v>#N/A</v>
      </c>
      <c r="L660" s="2" t="s">
        <v>8530</v>
      </c>
      <c r="M660" t="s">
        <v>8069</v>
      </c>
      <c r="N660" s="4"/>
    </row>
    <row r="661" spans="1:14" ht="117" x14ac:dyDescent="0.3">
      <c r="A661" s="1" t="str">
        <f>HYPERLINK("https://ipmanager.doe.gov/IPManager//ExternalLink.aspx?6ibkph2k9yi6F%2B0Vz7YoTipZ798QK%2BbPerU6JAAxlwg%3D","Link")</f>
        <v>Link</v>
      </c>
      <c r="B661" s="2" t="s">
        <v>2300</v>
      </c>
      <c r="C661" s="2" t="s">
        <v>2298</v>
      </c>
      <c r="D661" s="2" t="s">
        <v>770</v>
      </c>
      <c r="E661" s="2" t="s">
        <v>2301</v>
      </c>
      <c r="F661" s="2" t="s">
        <v>2302</v>
      </c>
      <c r="G661" s="2" t="s">
        <v>2303</v>
      </c>
      <c r="H661" s="7"/>
      <c r="I661" s="2" t="s">
        <v>9</v>
      </c>
      <c r="J661" t="s">
        <v>2302</v>
      </c>
      <c r="K661" t="s">
        <v>7716</v>
      </c>
      <c r="L661" s="2" t="s">
        <v>8530</v>
      </c>
      <c r="M661" t="s">
        <v>8069</v>
      </c>
      <c r="N661" s="4"/>
    </row>
    <row r="662" spans="1:14" ht="52" x14ac:dyDescent="0.3">
      <c r="A662" s="1" t="str">
        <f>HYPERLINK("https://ipmanager.doe.gov/IPManager//ExternalLink.aspx?6ibkph2k9yi6F%2B0Vz7YoTipZ798QK%2BbPRP1TTXyCm0s%3D","Link")</f>
        <v>Link</v>
      </c>
      <c r="B662" s="2" t="s">
        <v>2310</v>
      </c>
      <c r="C662" s="2" t="s">
        <v>2311</v>
      </c>
      <c r="D662" s="2" t="s">
        <v>770</v>
      </c>
      <c r="E662" s="2" t="s">
        <v>2312</v>
      </c>
      <c r="F662" s="2" t="s">
        <v>2313</v>
      </c>
      <c r="G662" s="2" t="s">
        <v>357</v>
      </c>
      <c r="H662" s="7"/>
      <c r="I662" s="2" t="s">
        <v>9</v>
      </c>
      <c r="K662" t="e">
        <v>#N/A</v>
      </c>
      <c r="L662" s="2" t="s">
        <v>8531</v>
      </c>
      <c r="M662" t="s">
        <v>8070</v>
      </c>
      <c r="N662" s="4"/>
    </row>
    <row r="663" spans="1:14" ht="52" x14ac:dyDescent="0.3">
      <c r="A663" s="1" t="str">
        <f>HYPERLINK("https://ipmanager.doe.gov/IPManager//ExternalLink.aspx?6ibkph2k9yi6F%2B0Vz7YoTipZ798QK%2BbPW3juZPuR9d0%3D","Link")</f>
        <v>Link</v>
      </c>
      <c r="B663" s="2" t="s">
        <v>2314</v>
      </c>
      <c r="C663" s="2" t="s">
        <v>2315</v>
      </c>
      <c r="D663" s="2" t="s">
        <v>2316</v>
      </c>
      <c r="E663" s="2" t="s">
        <v>2317</v>
      </c>
      <c r="F663" s="2"/>
      <c r="G663" s="2" t="s">
        <v>9</v>
      </c>
      <c r="H663" s="7"/>
      <c r="I663" s="2" t="s">
        <v>9</v>
      </c>
      <c r="K663" t="e">
        <v>#N/A</v>
      </c>
      <c r="L663" s="2" t="s">
        <v>8532</v>
      </c>
      <c r="M663" t="s">
        <v>8071</v>
      </c>
      <c r="N663" s="4"/>
    </row>
    <row r="664" spans="1:14" ht="52" x14ac:dyDescent="0.3">
      <c r="A664" s="1" t="str">
        <f>HYPERLINK("https://ipmanager.doe.gov/IPManager//ExternalLink.aspx?6ibkph2k9yi6F%2B0Vz7YoTipZ798QK%2BbPFO8gNKxbQbM%3D","Link")</f>
        <v>Link</v>
      </c>
      <c r="B664" s="2" t="s">
        <v>2321</v>
      </c>
      <c r="C664" s="2" t="s">
        <v>2315</v>
      </c>
      <c r="D664" s="2" t="s">
        <v>2316</v>
      </c>
      <c r="E664" s="2" t="s">
        <v>2322</v>
      </c>
      <c r="F664" s="2"/>
      <c r="G664" s="2" t="s">
        <v>9</v>
      </c>
      <c r="H664" s="7"/>
      <c r="I664" s="2" t="s">
        <v>9</v>
      </c>
      <c r="K664" t="e">
        <v>#N/A</v>
      </c>
      <c r="L664" s="2" t="s">
        <v>8532</v>
      </c>
      <c r="M664" t="s">
        <v>8071</v>
      </c>
      <c r="N664" s="4"/>
    </row>
    <row r="665" spans="1:14" ht="65" x14ac:dyDescent="0.3">
      <c r="A665" s="1" t="str">
        <f>HYPERLINK("https://ipmanager.doe.gov/IPManager//ExternalLink.aspx?6ibkph2k9yi6F%2B0Vz7YoTk2BI6w%2FjZ2f2%2BWpaWZn1XY%3D","Link")</f>
        <v>Link</v>
      </c>
      <c r="B665" s="2" t="s">
        <v>2327</v>
      </c>
      <c r="C665" s="2" t="s">
        <v>2315</v>
      </c>
      <c r="D665" s="2" t="s">
        <v>2316</v>
      </c>
      <c r="E665" s="2" t="s">
        <v>2328</v>
      </c>
      <c r="F665" s="2"/>
      <c r="G665" s="2" t="s">
        <v>9</v>
      </c>
      <c r="H665" s="7"/>
      <c r="I665" s="2" t="s">
        <v>9</v>
      </c>
      <c r="K665" t="e">
        <v>#N/A</v>
      </c>
      <c r="L665" s="2" t="s">
        <v>8532</v>
      </c>
      <c r="M665" t="s">
        <v>8071</v>
      </c>
      <c r="N665" s="4"/>
    </row>
    <row r="666" spans="1:14" ht="52" x14ac:dyDescent="0.3">
      <c r="A666" s="1" t="str">
        <f>HYPERLINK("https://ipmanager.doe.gov/IPManager//ExternalLink.aspx?6ibkph2k9yi6F%2B0Vz7YoTk2BI6w%2FjZ2fOMPAE%2Fo%2BLoc%3D","Link")</f>
        <v>Link</v>
      </c>
      <c r="B666" s="2" t="s">
        <v>2330</v>
      </c>
      <c r="C666" s="2" t="s">
        <v>2315</v>
      </c>
      <c r="D666" s="2" t="s">
        <v>2316</v>
      </c>
      <c r="E666" s="2" t="s">
        <v>2331</v>
      </c>
      <c r="F666" s="2"/>
      <c r="G666" s="2" t="s">
        <v>9</v>
      </c>
      <c r="H666" s="7"/>
      <c r="I666" s="2" t="s">
        <v>9</v>
      </c>
      <c r="K666" t="e">
        <v>#N/A</v>
      </c>
      <c r="L666" s="2" t="s">
        <v>8532</v>
      </c>
      <c r="M666" t="s">
        <v>8071</v>
      </c>
      <c r="N666" s="4"/>
    </row>
    <row r="667" spans="1:14" ht="52" x14ac:dyDescent="0.3">
      <c r="A667" s="1" t="str">
        <f>HYPERLINK("https://ipmanager.doe.gov/IPManager//ExternalLink.aspx?6ibkph2k9yi6F%2B0Vz7YoTgZwfmYxrNyKDYQ1EvrcnMw%3D","Link")</f>
        <v>Link</v>
      </c>
      <c r="B667" s="2" t="s">
        <v>2332</v>
      </c>
      <c r="C667" s="2" t="s">
        <v>2315</v>
      </c>
      <c r="D667" s="2" t="s">
        <v>2316</v>
      </c>
      <c r="E667" s="2" t="s">
        <v>2333</v>
      </c>
      <c r="F667" s="2"/>
      <c r="G667" s="2" t="s">
        <v>9</v>
      </c>
      <c r="H667" s="7"/>
      <c r="I667" s="2" t="s">
        <v>9</v>
      </c>
      <c r="K667" t="e">
        <v>#N/A</v>
      </c>
      <c r="L667" s="2" t="s">
        <v>8532</v>
      </c>
      <c r="M667" t="s">
        <v>8071</v>
      </c>
      <c r="N667" s="4"/>
    </row>
    <row r="668" spans="1:14" ht="26" x14ac:dyDescent="0.3">
      <c r="A668" s="1" t="str">
        <f>HYPERLINK("https://ipmanager.doe.gov/IPManager//ExternalLink.aspx?6ibkph2k9yi6F%2B0Vz7YoTlNm8snv%2FZpHC23vcIyyw24%3D","Link")</f>
        <v>Link</v>
      </c>
      <c r="B668" s="2" t="s">
        <v>2334</v>
      </c>
      <c r="C668" s="2" t="s">
        <v>2315</v>
      </c>
      <c r="D668" s="2" t="s">
        <v>2316</v>
      </c>
      <c r="E668" s="2" t="s">
        <v>2335</v>
      </c>
      <c r="F668" s="2"/>
      <c r="G668" s="2" t="s">
        <v>9</v>
      </c>
      <c r="H668" s="7"/>
      <c r="I668" s="2" t="s">
        <v>9</v>
      </c>
      <c r="K668" t="e">
        <v>#N/A</v>
      </c>
      <c r="L668" s="2" t="s">
        <v>8532</v>
      </c>
      <c r="M668" t="s">
        <v>8071</v>
      </c>
      <c r="N668" s="4"/>
    </row>
    <row r="669" spans="1:14" ht="39" x14ac:dyDescent="0.3">
      <c r="A669" s="1" t="str">
        <f>HYPERLINK("https://ipmanager.doe.gov/IPManager//ExternalLink.aspx?6ibkph2k9yi6F%2B0Vz7YoTk2BI6w%2FjZ2fl6F8Xtpxk3o%3D","Link")</f>
        <v>Link</v>
      </c>
      <c r="B669" s="2" t="s">
        <v>2341</v>
      </c>
      <c r="C669" s="2" t="s">
        <v>2315</v>
      </c>
      <c r="D669" s="2" t="s">
        <v>348</v>
      </c>
      <c r="E669" s="2" t="s">
        <v>2342</v>
      </c>
      <c r="F669" s="2"/>
      <c r="G669" s="2" t="s">
        <v>9</v>
      </c>
      <c r="H669" s="7"/>
      <c r="I669" s="2" t="s">
        <v>9</v>
      </c>
      <c r="K669" t="e">
        <v>#N/A</v>
      </c>
      <c r="L669" s="2" t="s">
        <v>8532</v>
      </c>
      <c r="M669" t="s">
        <v>8071</v>
      </c>
      <c r="N669" s="4"/>
    </row>
    <row r="670" spans="1:14" ht="52" x14ac:dyDescent="0.3">
      <c r="A670" s="1" t="str">
        <f>HYPERLINK("https://ipmanager.doe.gov/IPManager//ExternalLink.aspx?6ibkph2k9yi6F%2B0Vz7YoTipZ798QK%2BbPTWidlN8e%2FP8%3D","Link")</f>
        <v>Link</v>
      </c>
      <c r="B670" s="2" t="s">
        <v>2347</v>
      </c>
      <c r="C670" s="2" t="s">
        <v>2315</v>
      </c>
      <c r="D670" s="2" t="s">
        <v>2316</v>
      </c>
      <c r="E670" s="2" t="s">
        <v>2348</v>
      </c>
      <c r="F670" s="2"/>
      <c r="G670" s="2" t="s">
        <v>9</v>
      </c>
      <c r="H670" s="7"/>
      <c r="I670" s="2" t="s">
        <v>9</v>
      </c>
      <c r="K670" t="e">
        <v>#N/A</v>
      </c>
      <c r="L670" s="2" t="s">
        <v>8532</v>
      </c>
      <c r="M670" t="s">
        <v>8071</v>
      </c>
      <c r="N670" s="4"/>
    </row>
    <row r="671" spans="1:14" ht="52" x14ac:dyDescent="0.3">
      <c r="A671" s="1" t="str">
        <f>HYPERLINK("https://ipmanager.doe.gov/IPManager//ExternalLink.aspx?6ibkph2k9yi6F%2B0Vz7YoTlNm8snv%2FZpHD%2BrCvOeaVpc%3D","Link")</f>
        <v>Link</v>
      </c>
      <c r="B671" s="2" t="s">
        <v>2349</v>
      </c>
      <c r="C671" s="2" t="s">
        <v>2315</v>
      </c>
      <c r="D671" s="2" t="s">
        <v>2316</v>
      </c>
      <c r="E671" s="2" t="s">
        <v>2350</v>
      </c>
      <c r="F671" s="2"/>
      <c r="G671" s="2" t="s">
        <v>9</v>
      </c>
      <c r="H671" s="7"/>
      <c r="I671" s="2" t="s">
        <v>9</v>
      </c>
      <c r="K671" t="e">
        <v>#N/A</v>
      </c>
      <c r="L671" s="2" t="s">
        <v>8532</v>
      </c>
      <c r="M671" t="s">
        <v>8071</v>
      </c>
      <c r="N671" s="4"/>
    </row>
    <row r="672" spans="1:14" ht="65" x14ac:dyDescent="0.3">
      <c r="A672" s="1" t="str">
        <f>HYPERLINK("https://ipmanager.doe.gov/IPManager//ExternalLink.aspx?6ibkph2k9yi6F%2B0Vz7YoTlNm8snv%2FZpHV55%2FxeHyU6w%3D","Link")</f>
        <v>Link</v>
      </c>
      <c r="B672" s="2" t="s">
        <v>2351</v>
      </c>
      <c r="C672" s="2" t="s">
        <v>2315</v>
      </c>
      <c r="D672" s="2" t="s">
        <v>2316</v>
      </c>
      <c r="E672" s="2" t="s">
        <v>2352</v>
      </c>
      <c r="F672" s="2"/>
      <c r="G672" s="2" t="s">
        <v>9</v>
      </c>
      <c r="H672" s="7"/>
      <c r="I672" s="2" t="s">
        <v>9</v>
      </c>
      <c r="K672" t="e">
        <v>#N/A</v>
      </c>
      <c r="L672" s="2" t="s">
        <v>8532</v>
      </c>
      <c r="M672" t="s">
        <v>8071</v>
      </c>
      <c r="N672" s="4"/>
    </row>
    <row r="673" spans="1:14" ht="26" x14ac:dyDescent="0.3">
      <c r="A673" s="1" t="str">
        <f>HYPERLINK("https://ipmanager.doe.gov/IPManager//ExternalLink.aspx?6ibkph2k9yi6F%2B0Vz7YoTipZ798QK%2BbPLNgwwJwkOkA%3D","Link")</f>
        <v>Link</v>
      </c>
      <c r="B673" s="2" t="s">
        <v>2318</v>
      </c>
      <c r="C673" s="2" t="s">
        <v>2315</v>
      </c>
      <c r="D673" s="2" t="s">
        <v>2316</v>
      </c>
      <c r="E673" s="2" t="s">
        <v>2319</v>
      </c>
      <c r="F673" s="2" t="s">
        <v>2320</v>
      </c>
      <c r="G673" s="2" t="s">
        <v>1031</v>
      </c>
      <c r="H673" s="2"/>
      <c r="I673" s="2" t="s">
        <v>9</v>
      </c>
      <c r="K673" t="e">
        <v>#N/A</v>
      </c>
      <c r="L673" s="2" t="s">
        <v>8532</v>
      </c>
      <c r="M673" t="s">
        <v>8071</v>
      </c>
      <c r="N673" s="4"/>
    </row>
    <row r="674" spans="1:14" ht="26" x14ac:dyDescent="0.3">
      <c r="A674" s="1" t="str">
        <f>HYPERLINK("https://ipmanager.doe.gov/IPManager//ExternalLink.aspx?6ibkph2k9yi6F%2B0Vz7YoTk2BI6w%2FjZ2fjO6mPaBFMoU%3D","Link")</f>
        <v>Link</v>
      </c>
      <c r="B674" s="2" t="s">
        <v>2323</v>
      </c>
      <c r="C674" s="2" t="s">
        <v>2315</v>
      </c>
      <c r="D674" s="2" t="s">
        <v>2316</v>
      </c>
      <c r="E674" s="2" t="s">
        <v>2324</v>
      </c>
      <c r="F674" s="2" t="s">
        <v>2325</v>
      </c>
      <c r="G674" s="2" t="s">
        <v>2326</v>
      </c>
      <c r="H674" s="2"/>
      <c r="I674" s="2" t="s">
        <v>9</v>
      </c>
      <c r="K674" t="e">
        <v>#N/A</v>
      </c>
      <c r="L674" s="2" t="s">
        <v>8532</v>
      </c>
      <c r="M674" t="s">
        <v>8071</v>
      </c>
      <c r="N674" s="4"/>
    </row>
    <row r="675" spans="1:14" ht="26" x14ac:dyDescent="0.3">
      <c r="A675" s="1" t="str">
        <f>HYPERLINK("https://ipmanager.doe.gov/IPManager//ExternalLink.aspx?6ibkph2k9yi6F%2B0Vz7YoTk2BI6w%2FjZ2fQD81c2brC%2FI%3D","Link")</f>
        <v>Link</v>
      </c>
      <c r="B675" s="2" t="s">
        <v>2336</v>
      </c>
      <c r="C675" s="2" t="s">
        <v>2315</v>
      </c>
      <c r="D675" s="2" t="s">
        <v>2316</v>
      </c>
      <c r="E675" s="2" t="s">
        <v>2337</v>
      </c>
      <c r="F675" s="2" t="s">
        <v>2338</v>
      </c>
      <c r="G675" s="2" t="s">
        <v>759</v>
      </c>
      <c r="H675" s="2"/>
      <c r="I675" s="2" t="s">
        <v>9</v>
      </c>
      <c r="J675" t="s">
        <v>2338</v>
      </c>
      <c r="K675" t="s">
        <v>7756</v>
      </c>
      <c r="L675" s="2" t="s">
        <v>8532</v>
      </c>
      <c r="M675" t="s">
        <v>8071</v>
      </c>
      <c r="N675" s="4"/>
    </row>
    <row r="676" spans="1:14" ht="39" x14ac:dyDescent="0.3">
      <c r="A676" s="1" t="str">
        <f>HYPERLINK("https://ipmanager.doe.gov/IPManager//ExternalLink.aspx?6ibkph2k9yi6F%2B0Vz7YoTk2BI6w%2FjZ2fwB%2Bud6Cj0pM%3D","Link")</f>
        <v>Link</v>
      </c>
      <c r="B676" s="2" t="s">
        <v>2339</v>
      </c>
      <c r="C676" s="2" t="s">
        <v>2315</v>
      </c>
      <c r="D676" s="2" t="s">
        <v>2316</v>
      </c>
      <c r="E676" s="2" t="s">
        <v>2340</v>
      </c>
      <c r="F676" s="2" t="s">
        <v>2626</v>
      </c>
      <c r="G676" s="2" t="s">
        <v>759</v>
      </c>
      <c r="H676" s="2"/>
      <c r="I676" s="2" t="s">
        <v>9</v>
      </c>
      <c r="K676" t="e">
        <v>#N/A</v>
      </c>
      <c r="L676" s="2" t="s">
        <v>8532</v>
      </c>
      <c r="M676" t="s">
        <v>8071</v>
      </c>
      <c r="N676" s="4"/>
    </row>
    <row r="677" spans="1:14" ht="52" x14ac:dyDescent="0.3">
      <c r="A677" s="1" t="str">
        <f>HYPERLINK("https://ipmanager.doe.gov/IPManager//ExternalLink.aspx?6ibkph2k9yi6F%2B0Vz7YoTk2BI6w%2FjZ2fn14J614TAIo%3D","Link")</f>
        <v>Link</v>
      </c>
      <c r="B677" s="2" t="s">
        <v>2343</v>
      </c>
      <c r="C677" s="2" t="s">
        <v>2315</v>
      </c>
      <c r="D677" s="2" t="s">
        <v>2316</v>
      </c>
      <c r="E677" s="2" t="s">
        <v>2344</v>
      </c>
      <c r="F677" s="2" t="s">
        <v>2345</v>
      </c>
      <c r="G677" s="2" t="s">
        <v>2346</v>
      </c>
      <c r="H677" s="2"/>
      <c r="I677" s="2" t="s">
        <v>9</v>
      </c>
      <c r="K677" t="e">
        <v>#N/A</v>
      </c>
      <c r="L677" s="2" t="s">
        <v>8532</v>
      </c>
      <c r="M677" t="s">
        <v>8071</v>
      </c>
      <c r="N677" s="4"/>
    </row>
    <row r="678" spans="1:14" ht="39" x14ac:dyDescent="0.3">
      <c r="A678" s="1" t="str">
        <f>HYPERLINK("https://ipmanager.doe.gov/IPManager//ExternalLink.aspx?6ibkph2k9yi6F%2B0Vz7YoTlNm8snv%2FZpHfbniSmNfKYA%3D","Link")</f>
        <v>Link</v>
      </c>
      <c r="B678" s="2" t="s">
        <v>2353</v>
      </c>
      <c r="C678" s="2" t="s">
        <v>2354</v>
      </c>
      <c r="D678" s="2" t="s">
        <v>2019</v>
      </c>
      <c r="E678" s="2" t="s">
        <v>2355</v>
      </c>
      <c r="F678" s="2"/>
      <c r="G678" s="2" t="s">
        <v>9</v>
      </c>
      <c r="H678" s="7"/>
      <c r="I678" s="2" t="s">
        <v>9</v>
      </c>
      <c r="K678" t="e">
        <v>#N/A</v>
      </c>
      <c r="L678" s="2" t="s">
        <v>8533</v>
      </c>
      <c r="M678" t="s">
        <v>8072</v>
      </c>
      <c r="N678" s="4"/>
    </row>
    <row r="679" spans="1:14" ht="39" x14ac:dyDescent="0.3">
      <c r="A679" s="1" t="str">
        <f>HYPERLINK("https://ipmanager.doe.gov/IPManager//ExternalLink.aspx?6ibkph2k9yi6F%2B0Vz7YoTlNm8snv%2FZpHv9kSY2Fu6kM%3D","Link")</f>
        <v>Link</v>
      </c>
      <c r="B679" s="2" t="s">
        <v>2356</v>
      </c>
      <c r="C679" s="2" t="s">
        <v>2354</v>
      </c>
      <c r="D679" s="2" t="s">
        <v>2019</v>
      </c>
      <c r="E679" s="2" t="s">
        <v>2357</v>
      </c>
      <c r="F679" s="2"/>
      <c r="G679" s="2" t="s">
        <v>9</v>
      </c>
      <c r="H679" s="7"/>
      <c r="I679" s="2" t="s">
        <v>9</v>
      </c>
      <c r="K679" t="e">
        <v>#N/A</v>
      </c>
      <c r="L679" s="2" t="s">
        <v>8533</v>
      </c>
      <c r="M679" t="s">
        <v>8072</v>
      </c>
      <c r="N679" s="4"/>
    </row>
    <row r="680" spans="1:14" ht="39" x14ac:dyDescent="0.3">
      <c r="A680" s="1" t="str">
        <f>HYPERLINK("https://ipmanager.doe.gov/IPManager//ExternalLink.aspx?6ibkph2k9yi6F%2B0Vz7YoTk2BI6w%2FjZ2fq9EmDit5VvM%3D","Link")</f>
        <v>Link</v>
      </c>
      <c r="B680" s="2" t="s">
        <v>2358</v>
      </c>
      <c r="C680" s="2" t="s">
        <v>2354</v>
      </c>
      <c r="D680" s="2" t="s">
        <v>2019</v>
      </c>
      <c r="E680" s="2" t="s">
        <v>2359</v>
      </c>
      <c r="F680" s="2"/>
      <c r="G680" s="2" t="s">
        <v>9</v>
      </c>
      <c r="H680" s="7"/>
      <c r="I680" s="2" t="s">
        <v>9</v>
      </c>
      <c r="K680" t="e">
        <v>#N/A</v>
      </c>
      <c r="L680" s="2" t="s">
        <v>8533</v>
      </c>
      <c r="M680" t="s">
        <v>8072</v>
      </c>
      <c r="N680" s="4"/>
    </row>
    <row r="681" spans="1:14" ht="39" x14ac:dyDescent="0.3">
      <c r="A681" s="1" t="str">
        <f>HYPERLINK("https://ipmanager.doe.gov/IPManager//ExternalLink.aspx?6ibkph2k9yi6F%2B0Vz7YoTlNm8snv%2FZpHR%2FHhAC1fdHc%3D","Link")</f>
        <v>Link</v>
      </c>
      <c r="B681" s="2" t="s">
        <v>2360</v>
      </c>
      <c r="C681" s="2" t="s">
        <v>2354</v>
      </c>
      <c r="D681" s="2" t="s">
        <v>2019</v>
      </c>
      <c r="E681" s="2" t="s">
        <v>2361</v>
      </c>
      <c r="F681" s="2"/>
      <c r="G681" s="2" t="s">
        <v>9</v>
      </c>
      <c r="H681" s="7"/>
      <c r="I681" s="2" t="s">
        <v>9</v>
      </c>
      <c r="K681" t="e">
        <v>#N/A</v>
      </c>
      <c r="L681" s="2" t="s">
        <v>8533</v>
      </c>
      <c r="M681" t="s">
        <v>8072</v>
      </c>
      <c r="N681" s="4"/>
    </row>
    <row r="682" spans="1:14" ht="52" x14ac:dyDescent="0.3">
      <c r="A682" s="1" t="str">
        <f>HYPERLINK("https://ipmanager.doe.gov/IPManager//ExternalLink.aspx?6ibkph2k9yi6F%2B0Vz7YoTlNm8snv%2FZpHc5T9yI0aOZA%3D","Link")</f>
        <v>Link</v>
      </c>
      <c r="B682" s="2" t="s">
        <v>2362</v>
      </c>
      <c r="C682" s="2" t="s">
        <v>2354</v>
      </c>
      <c r="D682" s="2" t="s">
        <v>2019</v>
      </c>
      <c r="E682" s="2" t="s">
        <v>2363</v>
      </c>
      <c r="F682" s="2"/>
      <c r="G682" s="2" t="s">
        <v>9</v>
      </c>
      <c r="H682" s="7"/>
      <c r="I682" s="2" t="s">
        <v>9</v>
      </c>
      <c r="K682" t="e">
        <v>#N/A</v>
      </c>
      <c r="L682" s="2" t="s">
        <v>8533</v>
      </c>
      <c r="M682" t="s">
        <v>8072</v>
      </c>
      <c r="N682" s="4"/>
    </row>
    <row r="683" spans="1:14" ht="52" x14ac:dyDescent="0.3">
      <c r="A683" s="1" t="str">
        <f>HYPERLINK("https://ipmanager.doe.gov/IPManager//ExternalLink.aspx?6ibkph2k9yi6F%2B0Vz7YoTk2BI6w%2FjZ2fuKpU3BYODdQ%3D","Link")</f>
        <v>Link</v>
      </c>
      <c r="B683" s="2" t="s">
        <v>2364</v>
      </c>
      <c r="C683" s="2" t="s">
        <v>2354</v>
      </c>
      <c r="D683" s="2" t="s">
        <v>2019</v>
      </c>
      <c r="E683" s="2" t="s">
        <v>2365</v>
      </c>
      <c r="F683" s="2"/>
      <c r="G683" s="2" t="s">
        <v>9</v>
      </c>
      <c r="H683" s="7"/>
      <c r="I683" s="2" t="s">
        <v>9</v>
      </c>
      <c r="K683" t="e">
        <v>#N/A</v>
      </c>
      <c r="L683" s="2" t="s">
        <v>8533</v>
      </c>
      <c r="M683" t="s">
        <v>8072</v>
      </c>
      <c r="N683" s="4"/>
    </row>
    <row r="684" spans="1:14" ht="52" x14ac:dyDescent="0.3">
      <c r="A684" s="1" t="str">
        <f>HYPERLINK("https://ipmanager.doe.gov/IPManager//ExternalLink.aspx?6ibkph2k9yi6F%2B0Vz7YoTipZ798QK%2BbPczVcIVYo8EA%3D","Link")</f>
        <v>Link</v>
      </c>
      <c r="B684" s="2" t="s">
        <v>2366</v>
      </c>
      <c r="C684" s="2" t="s">
        <v>2354</v>
      </c>
      <c r="D684" s="2" t="s">
        <v>2019</v>
      </c>
      <c r="E684" s="2" t="s">
        <v>2367</v>
      </c>
      <c r="F684" s="2"/>
      <c r="G684" s="2" t="s">
        <v>9</v>
      </c>
      <c r="H684" s="7"/>
      <c r="I684" s="2" t="s">
        <v>9</v>
      </c>
      <c r="K684" t="e">
        <v>#N/A</v>
      </c>
      <c r="L684" s="2" t="s">
        <v>8533</v>
      </c>
      <c r="M684" t="s">
        <v>8072</v>
      </c>
      <c r="N684" s="4"/>
    </row>
    <row r="685" spans="1:14" ht="39" x14ac:dyDescent="0.3">
      <c r="A685" s="1" t="str">
        <f>HYPERLINK("https://ipmanager.doe.gov/IPManager//ExternalLink.aspx?6ibkph2k9yi6F%2B0Vz7YoTipZ798QK%2BbPoX5IER%2FAk7s%3D","Link")</f>
        <v>Link</v>
      </c>
      <c r="B685" s="2" t="s">
        <v>2368</v>
      </c>
      <c r="C685" s="2" t="s">
        <v>2354</v>
      </c>
      <c r="D685" s="2" t="s">
        <v>2019</v>
      </c>
      <c r="E685" s="2" t="s">
        <v>2369</v>
      </c>
      <c r="F685" s="2"/>
      <c r="G685" s="2" t="s">
        <v>9</v>
      </c>
      <c r="H685" s="7"/>
      <c r="I685" s="2" t="s">
        <v>9</v>
      </c>
      <c r="K685" t="e">
        <v>#N/A</v>
      </c>
      <c r="L685" s="2" t="s">
        <v>8533</v>
      </c>
      <c r="M685" t="s">
        <v>8072</v>
      </c>
      <c r="N685" s="4"/>
    </row>
    <row r="686" spans="1:14" ht="39" x14ac:dyDescent="0.3">
      <c r="A686" s="1" t="str">
        <f>HYPERLINK("https://ipmanager.doe.gov/IPManager//ExternalLink.aspx?6ibkph2k9yi6F%2B0Vz7YoTipZ798QK%2BbP5zM71GkX6fE%3D","Link")</f>
        <v>Link</v>
      </c>
      <c r="B686" s="2" t="s">
        <v>2370</v>
      </c>
      <c r="C686" s="2" t="s">
        <v>2354</v>
      </c>
      <c r="D686" s="2" t="s">
        <v>2019</v>
      </c>
      <c r="E686" s="2" t="s">
        <v>2371</v>
      </c>
      <c r="F686" s="2"/>
      <c r="G686" s="2" t="s">
        <v>9</v>
      </c>
      <c r="H686" s="7"/>
      <c r="I686" s="2" t="s">
        <v>9</v>
      </c>
      <c r="K686" t="e">
        <v>#N/A</v>
      </c>
      <c r="L686" s="2" t="s">
        <v>8533</v>
      </c>
      <c r="M686" t="s">
        <v>8072</v>
      </c>
      <c r="N686" s="4"/>
    </row>
    <row r="687" spans="1:14" ht="39" x14ac:dyDescent="0.3">
      <c r="A687" s="1" t="str">
        <f>HYPERLINK("https://ipmanager.doe.gov/IPManager//ExternalLink.aspx?6ibkph2k9yi6F%2B0Vz7YoTipZ798QK%2BbPmfs7qo1Jlyc%3D","Link")</f>
        <v>Link</v>
      </c>
      <c r="B687" s="2" t="s">
        <v>2372</v>
      </c>
      <c r="C687" s="2" t="s">
        <v>2354</v>
      </c>
      <c r="D687" s="2" t="s">
        <v>2019</v>
      </c>
      <c r="E687" s="2" t="s">
        <v>2373</v>
      </c>
      <c r="F687" s="2"/>
      <c r="G687" s="2" t="s">
        <v>9</v>
      </c>
      <c r="H687" s="7"/>
      <c r="I687" s="2" t="s">
        <v>9</v>
      </c>
      <c r="K687" t="e">
        <v>#N/A</v>
      </c>
      <c r="L687" s="2" t="s">
        <v>8533</v>
      </c>
      <c r="M687" t="s">
        <v>8072</v>
      </c>
      <c r="N687" s="4"/>
    </row>
    <row r="688" spans="1:14" ht="52" x14ac:dyDescent="0.3">
      <c r="A688" s="1" t="str">
        <f>HYPERLINK("https://ipmanager.doe.gov/IPManager//ExternalLink.aspx?6ibkph2k9yi6F%2B0Vz7YoTipZ798QK%2BbPk8uBVav4g4w%3D","Link")</f>
        <v>Link</v>
      </c>
      <c r="B688" s="2" t="s">
        <v>2375</v>
      </c>
      <c r="C688" s="2" t="s">
        <v>2354</v>
      </c>
      <c r="D688" s="2" t="s">
        <v>2019</v>
      </c>
      <c r="E688" s="2" t="s">
        <v>2376</v>
      </c>
      <c r="F688" s="2"/>
      <c r="G688" s="2" t="s">
        <v>9</v>
      </c>
      <c r="H688" s="7"/>
      <c r="I688" s="2" t="s">
        <v>9</v>
      </c>
      <c r="K688" t="e">
        <v>#N/A</v>
      </c>
      <c r="L688" s="2" t="s">
        <v>8533</v>
      </c>
      <c r="M688" t="s">
        <v>8072</v>
      </c>
      <c r="N688" s="4"/>
    </row>
    <row r="689" spans="1:14" ht="39" x14ac:dyDescent="0.3">
      <c r="A689" s="1" t="str">
        <f>HYPERLINK("https://ipmanager.doe.gov/IPManager//ExternalLink.aspx?6ibkph2k9yi6F%2B0Vz7YoTipZ798QK%2BbPqmMffQFkc8s%3D","Link")</f>
        <v>Link</v>
      </c>
      <c r="B689" s="2" t="s">
        <v>2377</v>
      </c>
      <c r="C689" s="2" t="s">
        <v>2354</v>
      </c>
      <c r="D689" s="2" t="s">
        <v>2019</v>
      </c>
      <c r="E689" s="2" t="s">
        <v>2378</v>
      </c>
      <c r="F689" s="2"/>
      <c r="G689" s="2" t="s">
        <v>9</v>
      </c>
      <c r="H689" s="7"/>
      <c r="I689" s="2" t="s">
        <v>9</v>
      </c>
      <c r="K689" t="e">
        <v>#N/A</v>
      </c>
      <c r="L689" s="2" t="s">
        <v>8533</v>
      </c>
      <c r="M689" t="s">
        <v>8072</v>
      </c>
      <c r="N689" s="4"/>
    </row>
    <row r="690" spans="1:14" ht="52" x14ac:dyDescent="0.3">
      <c r="A690" s="1" t="str">
        <f>HYPERLINK("https://ipmanager.doe.gov/IPManager//ExternalLink.aspx?6ibkph2k9yi6F%2B0Vz7YoTjnDGhmGHGI7IXVW4WGQBk8%3D","Link")</f>
        <v>Link</v>
      </c>
      <c r="B690" s="2" t="s">
        <v>2379</v>
      </c>
      <c r="C690" s="2" t="s">
        <v>2354</v>
      </c>
      <c r="D690" s="2" t="s">
        <v>2019</v>
      </c>
      <c r="E690" s="2" t="s">
        <v>2380</v>
      </c>
      <c r="F690" s="2"/>
      <c r="G690" s="2" t="s">
        <v>9</v>
      </c>
      <c r="H690" s="7"/>
      <c r="I690" s="2" t="s">
        <v>9</v>
      </c>
      <c r="K690" t="e">
        <v>#N/A</v>
      </c>
      <c r="L690" s="2" t="s">
        <v>8533</v>
      </c>
      <c r="M690" t="s">
        <v>8072</v>
      </c>
      <c r="N690" s="4"/>
    </row>
    <row r="691" spans="1:14" ht="52" x14ac:dyDescent="0.3">
      <c r="A691" s="1" t="str">
        <f>HYPERLINK("https://ipmanager.doe.gov/IPManager//ExternalLink.aspx?6ibkph2k9yi6F%2B0Vz7YoTjnDGhmGHGI7qmBWLPC90Xc%3D","Link")</f>
        <v>Link</v>
      </c>
      <c r="B691" s="2" t="s">
        <v>2381</v>
      </c>
      <c r="C691" s="2" t="s">
        <v>2354</v>
      </c>
      <c r="D691" s="2" t="s">
        <v>2019</v>
      </c>
      <c r="E691" s="2" t="s">
        <v>2382</v>
      </c>
      <c r="F691" s="2"/>
      <c r="G691" s="2" t="s">
        <v>9</v>
      </c>
      <c r="H691" s="7"/>
      <c r="I691" s="2" t="s">
        <v>9</v>
      </c>
      <c r="K691" t="e">
        <v>#N/A</v>
      </c>
      <c r="L691" s="2" t="s">
        <v>8533</v>
      </c>
      <c r="M691" t="s">
        <v>8072</v>
      </c>
      <c r="N691" s="4"/>
    </row>
    <row r="692" spans="1:14" ht="39" x14ac:dyDescent="0.3">
      <c r="A692" s="1" t="str">
        <f>HYPERLINK("https://ipmanager.doe.gov/IPManager//ExternalLink.aspx?6ibkph2k9yi6F%2B0Vz7YoTlNm8snv%2FZpHFB3iclywzKw%3D","Link")</f>
        <v>Link</v>
      </c>
      <c r="B692" s="2" t="s">
        <v>2383</v>
      </c>
      <c r="C692" s="2" t="s">
        <v>2354</v>
      </c>
      <c r="D692" s="2" t="s">
        <v>2019</v>
      </c>
      <c r="E692" s="2" t="s">
        <v>2384</v>
      </c>
      <c r="F692" s="2"/>
      <c r="G692" s="2" t="s">
        <v>9</v>
      </c>
      <c r="H692" s="7"/>
      <c r="I692" s="2" t="s">
        <v>9</v>
      </c>
      <c r="K692" t="e">
        <v>#N/A</v>
      </c>
      <c r="L692" s="2" t="s">
        <v>8533</v>
      </c>
      <c r="M692" t="s">
        <v>8072</v>
      </c>
      <c r="N692" s="4"/>
    </row>
    <row r="693" spans="1:14" ht="52" x14ac:dyDescent="0.3">
      <c r="A693" s="1" t="str">
        <f>HYPERLINK("https://ipmanager.doe.gov/IPManager//ExternalLink.aspx?6ibkph2k9yi6F%2B0Vz7YoTlNm8snv%2FZpHfU%2Fnfe%2Fbgig%3D","Link")</f>
        <v>Link</v>
      </c>
      <c r="B693" s="2" t="s">
        <v>2385</v>
      </c>
      <c r="C693" s="2" t="s">
        <v>2354</v>
      </c>
      <c r="D693" s="2" t="s">
        <v>2019</v>
      </c>
      <c r="E693" s="2" t="s">
        <v>2386</v>
      </c>
      <c r="F693" s="2"/>
      <c r="G693" s="2" t="s">
        <v>9</v>
      </c>
      <c r="H693" s="7"/>
      <c r="I693" s="2" t="s">
        <v>9</v>
      </c>
      <c r="K693" t="e">
        <v>#N/A</v>
      </c>
      <c r="L693" s="2" t="s">
        <v>8533</v>
      </c>
      <c r="M693" t="s">
        <v>8072</v>
      </c>
      <c r="N693" s="4"/>
    </row>
    <row r="694" spans="1:14" ht="39" x14ac:dyDescent="0.3">
      <c r="A694" s="1" t="str">
        <f>HYPERLINK("https://ipmanager.doe.gov/IPManager//ExternalLink.aspx?6ibkph2k9yi6F%2B0Vz7YoTlNm8snv%2FZpHxobBoJJSLIw%3D","Link")</f>
        <v>Link</v>
      </c>
      <c r="B694" s="2" t="s">
        <v>2387</v>
      </c>
      <c r="C694" s="2" t="s">
        <v>2354</v>
      </c>
      <c r="D694" s="2" t="s">
        <v>2019</v>
      </c>
      <c r="E694" s="2" t="s">
        <v>2388</v>
      </c>
      <c r="F694" s="2" t="s">
        <v>2389</v>
      </c>
      <c r="G694" s="2" t="s">
        <v>2390</v>
      </c>
      <c r="H694" s="7"/>
      <c r="I694" s="2" t="s">
        <v>9</v>
      </c>
      <c r="K694" t="e">
        <v>#N/A</v>
      </c>
      <c r="L694" s="2" t="s">
        <v>8533</v>
      </c>
      <c r="M694" t="s">
        <v>8072</v>
      </c>
      <c r="N694" s="4"/>
    </row>
    <row r="695" spans="1:14" ht="26" x14ac:dyDescent="0.3">
      <c r="A695" s="1" t="str">
        <f>HYPERLINK("https://ipmanager.doe.gov/IPManager//ExternalLink.aspx?6ibkph2k9yi6F%2B0Vz7YoTvPUg%2FVZPl3inknHVNCBGwI%3D","Link")</f>
        <v>Link</v>
      </c>
      <c r="B695" s="2" t="s">
        <v>2406</v>
      </c>
      <c r="C695" s="2" t="s">
        <v>2392</v>
      </c>
      <c r="D695" s="2" t="s">
        <v>1663</v>
      </c>
      <c r="E695" s="2" t="s">
        <v>2410</v>
      </c>
      <c r="F695" s="2"/>
      <c r="G695" s="2" t="s">
        <v>9</v>
      </c>
      <c r="H695" s="7"/>
      <c r="I695" s="2" t="s">
        <v>9</v>
      </c>
      <c r="K695" t="e">
        <v>#N/A</v>
      </c>
      <c r="L695" s="2" t="s">
        <v>8534</v>
      </c>
      <c r="M695" t="s">
        <v>8073</v>
      </c>
      <c r="N695" s="4"/>
    </row>
    <row r="696" spans="1:14" ht="65" x14ac:dyDescent="0.3">
      <c r="A696" s="1" t="str">
        <f>HYPERLINK("https://ipmanager.doe.gov/IPManager//ExternalLink.aspx?6ibkph2k9yi6F%2B0Vz7YoTvPUg%2FVZPl3ilvzoUSyOxOY%3D","Link")</f>
        <v>Link</v>
      </c>
      <c r="B696" s="2" t="s">
        <v>2412</v>
      </c>
      <c r="C696" s="2" t="s">
        <v>2392</v>
      </c>
      <c r="D696" s="2" t="s">
        <v>1663</v>
      </c>
      <c r="E696" s="2" t="s">
        <v>2413</v>
      </c>
      <c r="F696" s="2" t="s">
        <v>2401</v>
      </c>
      <c r="G696" s="2" t="s">
        <v>2414</v>
      </c>
      <c r="H696" s="8">
        <v>9669379</v>
      </c>
      <c r="I696" s="2" t="s">
        <v>2415</v>
      </c>
      <c r="J696" t="s">
        <v>7511</v>
      </c>
      <c r="K696" t="s">
        <v>7867</v>
      </c>
      <c r="L696" s="2" t="s">
        <v>8534</v>
      </c>
      <c r="M696" t="s">
        <v>8073</v>
      </c>
    </row>
    <row r="697" spans="1:14" ht="78" x14ac:dyDescent="0.3">
      <c r="A697" s="1" t="str">
        <f>HYPERLINK("https://ipmanager.doe.gov/IPManager//ExternalLink.aspx?6ibkph2k9yi6F%2B0Vz7YoTvPUg%2FVZPl3iHMoc04d5RNE%3D","Link")</f>
        <v>Link</v>
      </c>
      <c r="B697" s="2" t="s">
        <v>2416</v>
      </c>
      <c r="C697" s="2" t="s">
        <v>2392</v>
      </c>
      <c r="D697" s="2" t="s">
        <v>1663</v>
      </c>
      <c r="E697" s="2" t="s">
        <v>2417</v>
      </c>
      <c r="F697" s="2" t="s">
        <v>2411</v>
      </c>
      <c r="G697" s="2" t="s">
        <v>2418</v>
      </c>
      <c r="H697" s="8">
        <v>9776154</v>
      </c>
      <c r="I697" s="2" t="s">
        <v>2419</v>
      </c>
      <c r="J697" t="s">
        <v>7512</v>
      </c>
      <c r="K697" t="s">
        <v>7868</v>
      </c>
      <c r="L697" s="2" t="s">
        <v>8534</v>
      </c>
      <c r="M697" t="s">
        <v>8073</v>
      </c>
    </row>
    <row r="698" spans="1:14" ht="52" x14ac:dyDescent="0.3">
      <c r="A698" s="1" t="str">
        <f>HYPERLINK("https://ipmanager.doe.gov/IPManager//ExternalLink.aspx?6ibkph2k9yi6F%2B0Vz7YoTo7DPLa3%2F%2FGgBG%2FhLn7M1RY%3D","Link")</f>
        <v>Link</v>
      </c>
      <c r="B698" s="2" t="s">
        <v>2420</v>
      </c>
      <c r="C698" s="2" t="s">
        <v>2392</v>
      </c>
      <c r="D698" s="2" t="s">
        <v>1663</v>
      </c>
      <c r="E698" s="2" t="s">
        <v>2421</v>
      </c>
      <c r="F698" s="2"/>
      <c r="G698" s="2" t="s">
        <v>9</v>
      </c>
      <c r="H698" s="7"/>
      <c r="I698" s="2" t="s">
        <v>9</v>
      </c>
      <c r="K698" t="e">
        <v>#N/A</v>
      </c>
      <c r="L698" s="2" t="s">
        <v>8534</v>
      </c>
      <c r="M698" t="s">
        <v>8073</v>
      </c>
      <c r="N698" s="4"/>
    </row>
    <row r="699" spans="1:14" ht="39" x14ac:dyDescent="0.3">
      <c r="A699" s="1" t="str">
        <f>HYPERLINK("https://ipmanager.doe.gov/IPManager//ExternalLink.aspx?6ibkph2k9yi6F%2B0Vz7YoTipZ798QK%2BbPjpo3vgXiabU%3D","Link")</f>
        <v>Link</v>
      </c>
      <c r="B699" s="2" t="s">
        <v>2422</v>
      </c>
      <c r="C699" s="2" t="s">
        <v>2392</v>
      </c>
      <c r="D699" s="2" t="s">
        <v>1663</v>
      </c>
      <c r="E699" s="2" t="s">
        <v>2423</v>
      </c>
      <c r="F699" s="2"/>
      <c r="G699" s="2" t="s">
        <v>9</v>
      </c>
      <c r="H699" s="7"/>
      <c r="I699" s="2" t="s">
        <v>9</v>
      </c>
      <c r="K699" t="e">
        <v>#N/A</v>
      </c>
      <c r="L699" s="2" t="s">
        <v>8534</v>
      </c>
      <c r="M699" t="s">
        <v>8073</v>
      </c>
      <c r="N699" s="4"/>
    </row>
    <row r="700" spans="1:14" ht="52" x14ac:dyDescent="0.3">
      <c r="A700" s="1" t="str">
        <f>HYPERLINK("https://ipmanager.doe.gov/IPManager//ExternalLink.aspx?6ibkph2k9yi6F%2B0Vz7YoTlNm8snv%2FZpHV7d6BKZjJ0A%3D","Link")</f>
        <v>Link</v>
      </c>
      <c r="B700" s="2" t="s">
        <v>2391</v>
      </c>
      <c r="C700" s="2" t="s">
        <v>2392</v>
      </c>
      <c r="D700" s="2" t="s">
        <v>1663</v>
      </c>
      <c r="E700" s="2" t="s">
        <v>2393</v>
      </c>
      <c r="F700" s="2" t="s">
        <v>2394</v>
      </c>
      <c r="G700" s="2" t="s">
        <v>2395</v>
      </c>
      <c r="H700" s="7"/>
      <c r="I700" s="2" t="s">
        <v>9</v>
      </c>
      <c r="K700" t="e">
        <v>#N/A</v>
      </c>
      <c r="L700" s="2" t="s">
        <v>8534</v>
      </c>
      <c r="M700" t="s">
        <v>8073</v>
      </c>
      <c r="N700" s="4"/>
    </row>
    <row r="701" spans="1:14" ht="65" x14ac:dyDescent="0.3">
      <c r="A701" s="1" t="str">
        <f>HYPERLINK("https://ipmanager.doe.gov/IPManager//ExternalLink.aspx?6ibkph2k9yi6F%2B0Vz7YoTipZ798QK%2BbPLQ1tR9dykBM%3D","Link")</f>
        <v>Link</v>
      </c>
      <c r="B701" s="2" t="s">
        <v>2397</v>
      </c>
      <c r="C701" s="2" t="s">
        <v>2392</v>
      </c>
      <c r="D701" s="2" t="s">
        <v>1663</v>
      </c>
      <c r="E701" s="2" t="s">
        <v>2398</v>
      </c>
      <c r="F701" s="2" t="s">
        <v>2399</v>
      </c>
      <c r="G701" s="2" t="s">
        <v>2400</v>
      </c>
      <c r="H701" s="7"/>
      <c r="I701" s="2" t="s">
        <v>9</v>
      </c>
      <c r="K701" t="e">
        <v>#N/A</v>
      </c>
      <c r="L701" s="2" t="s">
        <v>8534</v>
      </c>
      <c r="M701" t="s">
        <v>8073</v>
      </c>
      <c r="N701" s="4"/>
    </row>
    <row r="702" spans="1:14" ht="65" x14ac:dyDescent="0.3">
      <c r="A702" s="1" t="str">
        <f>HYPERLINK("https://ipmanager.doe.gov/IPManager//ExternalLink.aspx?6ibkph2k9yi6F%2B0Vz7YoTipZ798QK%2BbPzIo1EuuI%2FFo%3D","Link")</f>
        <v>Link</v>
      </c>
      <c r="B702" s="2" t="s">
        <v>2402</v>
      </c>
      <c r="C702" s="2" t="s">
        <v>2392</v>
      </c>
      <c r="D702" s="2" t="s">
        <v>1663</v>
      </c>
      <c r="E702" s="2" t="s">
        <v>2403</v>
      </c>
      <c r="F702" s="2" t="s">
        <v>2404</v>
      </c>
      <c r="G702" s="2" t="s">
        <v>2405</v>
      </c>
      <c r="H702" s="7"/>
      <c r="I702" s="2" t="s">
        <v>9</v>
      </c>
      <c r="K702" t="e">
        <v>#N/A</v>
      </c>
      <c r="L702" s="2" t="s">
        <v>8534</v>
      </c>
      <c r="M702" t="s">
        <v>8073</v>
      </c>
      <c r="N702" s="4"/>
    </row>
    <row r="703" spans="1:14" ht="65" x14ac:dyDescent="0.3">
      <c r="A703" s="1" t="str">
        <f>HYPERLINK("https://ipmanager.doe.gov/IPManager//ExternalLink.aspx?6ibkph2k9yi6F%2B0Vz7YoTo7DPLa3%2F%2FGgUI4xKgusdow%3D","Link")</f>
        <v>Link</v>
      </c>
      <c r="B703" s="2" t="s">
        <v>2406</v>
      </c>
      <c r="C703" s="2" t="s">
        <v>2392</v>
      </c>
      <c r="D703" s="2" t="s">
        <v>1663</v>
      </c>
      <c r="E703" s="2" t="s">
        <v>2407</v>
      </c>
      <c r="F703" s="2" t="s">
        <v>2408</v>
      </c>
      <c r="G703" s="2" t="s">
        <v>2405</v>
      </c>
      <c r="H703" s="7"/>
      <c r="I703" s="2" t="s">
        <v>9</v>
      </c>
      <c r="K703" t="e">
        <v>#N/A</v>
      </c>
      <c r="L703" s="2" t="s">
        <v>8534</v>
      </c>
      <c r="M703" t="s">
        <v>8073</v>
      </c>
      <c r="N703" s="4"/>
    </row>
    <row r="704" spans="1:14" ht="78" x14ac:dyDescent="0.3">
      <c r="A704" s="1" t="str">
        <f>HYPERLINK("https://ipmanager.doe.gov/IPManager//ExternalLink.aspx?6ibkph2k9yi6F%2B0Vz7YoTjnDGhmGHGI7PyLmnzletGk%3D","Link")</f>
        <v>Link</v>
      </c>
      <c r="B704" s="2" t="s">
        <v>2459</v>
      </c>
      <c r="C704" s="2" t="s">
        <v>2425</v>
      </c>
      <c r="D704" s="2" t="s">
        <v>1415</v>
      </c>
      <c r="E704" s="2" t="s">
        <v>2460</v>
      </c>
      <c r="F704" s="2" t="s">
        <v>2461</v>
      </c>
      <c r="G704" s="2" t="s">
        <v>2462</v>
      </c>
      <c r="H704" s="2"/>
      <c r="I704" s="2" t="s">
        <v>9</v>
      </c>
      <c r="J704" t="s">
        <v>4597</v>
      </c>
      <c r="K704" t="s">
        <v>7869</v>
      </c>
      <c r="L704" s="2" t="s">
        <v>8535</v>
      </c>
      <c r="M704" t="s">
        <v>8074</v>
      </c>
      <c r="N704" s="4"/>
    </row>
    <row r="705" spans="1:14" ht="39" x14ac:dyDescent="0.3">
      <c r="A705" s="1" t="str">
        <f>HYPERLINK("https://ipmanager.doe.gov/IPManager//ExternalLink.aspx?6ibkph2k9yi6F%2B0Vz7YoTsTAnuFk5EoA7uXH3z74Tzo%3D","Link")</f>
        <v>Link</v>
      </c>
      <c r="B705" s="2" t="s">
        <v>2443</v>
      </c>
      <c r="C705" s="2" t="s">
        <v>2425</v>
      </c>
      <c r="D705" s="2" t="s">
        <v>770</v>
      </c>
      <c r="E705" s="2" t="s">
        <v>2444</v>
      </c>
      <c r="F705" s="2" t="s">
        <v>2445</v>
      </c>
      <c r="G705" s="2" t="s">
        <v>327</v>
      </c>
      <c r="H705" s="7"/>
      <c r="I705" s="2" t="s">
        <v>9</v>
      </c>
      <c r="J705" t="s">
        <v>7535</v>
      </c>
      <c r="K705" t="s">
        <v>7870</v>
      </c>
      <c r="L705" s="2" t="s">
        <v>8535</v>
      </c>
      <c r="M705" t="s">
        <v>8074</v>
      </c>
      <c r="N705" s="4"/>
    </row>
    <row r="706" spans="1:14" ht="39" x14ac:dyDescent="0.3">
      <c r="A706" s="1" t="str">
        <f>HYPERLINK("https://ipmanager.doe.gov/IPManager//ExternalLink.aspx?6ibkph2k9yi6F%2B0Vz7YoTipZ798QK%2BbPfZVHtmBzGvA%3D","Link")</f>
        <v>Link</v>
      </c>
      <c r="B706" s="2" t="s">
        <v>2450</v>
      </c>
      <c r="C706" s="2" t="s">
        <v>2425</v>
      </c>
      <c r="D706" s="2" t="s">
        <v>770</v>
      </c>
      <c r="E706" s="2" t="s">
        <v>2451</v>
      </c>
      <c r="F706" s="2" t="s">
        <v>2452</v>
      </c>
      <c r="G706" s="2" t="s">
        <v>2453</v>
      </c>
      <c r="H706" s="7"/>
      <c r="I706" s="2" t="s">
        <v>9</v>
      </c>
      <c r="J706" t="s">
        <v>7536</v>
      </c>
      <c r="K706" t="s">
        <v>7871</v>
      </c>
      <c r="L706" s="2" t="s">
        <v>8535</v>
      </c>
      <c r="M706" t="s">
        <v>8074</v>
      </c>
      <c r="N706" s="4"/>
    </row>
    <row r="707" spans="1:14" ht="39" x14ac:dyDescent="0.3">
      <c r="A707" s="1" t="str">
        <f>HYPERLINK("https://ipmanager.doe.gov/IPManager//ExternalLink.aspx?6ibkph2k9yi6F%2B0Vz7YoTipZ798QK%2BbPvq3chIhM%2FzY%3D","Link")</f>
        <v>Link</v>
      </c>
      <c r="B707" s="2" t="s">
        <v>2450</v>
      </c>
      <c r="C707" s="2" t="s">
        <v>2425</v>
      </c>
      <c r="D707" s="2" t="s">
        <v>770</v>
      </c>
      <c r="E707" s="2" t="s">
        <v>2451</v>
      </c>
      <c r="F707" s="2" t="s">
        <v>2456</v>
      </c>
      <c r="G707" s="3">
        <v>41614</v>
      </c>
      <c r="H707" s="7"/>
      <c r="I707" s="2" t="s">
        <v>9</v>
      </c>
      <c r="J707" t="s">
        <v>7536</v>
      </c>
      <c r="K707" t="s">
        <v>7871</v>
      </c>
      <c r="L707" s="2" t="s">
        <v>8535</v>
      </c>
      <c r="M707" t="s">
        <v>8074</v>
      </c>
      <c r="N707" s="5" t="s">
        <v>7526</v>
      </c>
    </row>
    <row r="708" spans="1:14" ht="65" x14ac:dyDescent="0.3">
      <c r="A708" s="1" t="str">
        <f>HYPERLINK("https://ipmanager.doe.gov/IPManager//ExternalLink.aspx?6ibkph2k9yi6F%2B0Vz7YoTkqAgjuWMa9QqyfHPa%2FhGOE%3D","Link")</f>
        <v>Link</v>
      </c>
      <c r="B708" s="2" t="s">
        <v>2424</v>
      </c>
      <c r="C708" s="2" t="s">
        <v>2425</v>
      </c>
      <c r="D708" s="2" t="s">
        <v>770</v>
      </c>
      <c r="E708" s="2" t="s">
        <v>2426</v>
      </c>
      <c r="F708" s="2" t="s">
        <v>2427</v>
      </c>
      <c r="G708" s="2" t="s">
        <v>2428</v>
      </c>
      <c r="H708" s="7"/>
      <c r="I708" s="2" t="s">
        <v>9</v>
      </c>
      <c r="J708" t="s">
        <v>2427</v>
      </c>
      <c r="K708" t="s">
        <v>7872</v>
      </c>
      <c r="L708" s="2" t="s">
        <v>8535</v>
      </c>
      <c r="M708" t="s">
        <v>8074</v>
      </c>
      <c r="N708" s="4"/>
    </row>
    <row r="709" spans="1:14" ht="52" x14ac:dyDescent="0.3">
      <c r="A709" s="1" t="str">
        <f>HYPERLINK("https://ipmanager.doe.gov/IPManager//ExternalLink.aspx?6ibkph2k9yi6F%2B0Vz7YoTk2BI6w%2FjZ2fMANRGOg2cgU%3D","Link")</f>
        <v>Link</v>
      </c>
      <c r="B709" s="2" t="s">
        <v>2430</v>
      </c>
      <c r="C709" s="2" t="s">
        <v>2425</v>
      </c>
      <c r="D709" s="2" t="s">
        <v>770</v>
      </c>
      <c r="E709" s="2" t="s">
        <v>2431</v>
      </c>
      <c r="F709" s="2" t="s">
        <v>2432</v>
      </c>
      <c r="G709" s="2" t="s">
        <v>2433</v>
      </c>
      <c r="H709" s="7"/>
      <c r="I709" s="2" t="s">
        <v>9</v>
      </c>
      <c r="K709" t="e">
        <v>#N/A</v>
      </c>
      <c r="L709" s="2" t="s">
        <v>8535</v>
      </c>
      <c r="M709" t="s">
        <v>8074</v>
      </c>
      <c r="N709" s="4"/>
    </row>
    <row r="710" spans="1:14" ht="39" x14ac:dyDescent="0.3">
      <c r="A710" s="1" t="str">
        <f>HYPERLINK("https://ipmanager.doe.gov/IPManager//ExternalLink.aspx?6ibkph2k9yi6F%2B0Vz7YoTjnDGhmGHGI7Qog0dMxGoGY%3D","Link")</f>
        <v>Link</v>
      </c>
      <c r="B710" s="2" t="s">
        <v>2434</v>
      </c>
      <c r="C710" s="2" t="s">
        <v>2425</v>
      </c>
      <c r="D710" s="2" t="s">
        <v>770</v>
      </c>
      <c r="E710" s="2" t="s">
        <v>2435</v>
      </c>
      <c r="F710" s="2" t="s">
        <v>2436</v>
      </c>
      <c r="G710" s="2" t="s">
        <v>2437</v>
      </c>
      <c r="H710" s="7"/>
      <c r="I710" s="2" t="s">
        <v>9</v>
      </c>
      <c r="K710" t="e">
        <v>#N/A</v>
      </c>
      <c r="L710" s="2" t="s">
        <v>8535</v>
      </c>
      <c r="M710" t="s">
        <v>8074</v>
      </c>
      <c r="N710" s="4"/>
    </row>
    <row r="711" spans="1:14" ht="65" x14ac:dyDescent="0.3">
      <c r="A711" s="1" t="str">
        <f>HYPERLINK("https://ipmanager.doe.gov/IPManager//ExternalLink.aspx?6ibkph2k9yi6F%2B0Vz7YoTq6RR9BlGHHi0B%2FAc8CveRs%3D","Link")</f>
        <v>Link</v>
      </c>
      <c r="B711" s="2" t="s">
        <v>2438</v>
      </c>
      <c r="C711" s="2" t="s">
        <v>2425</v>
      </c>
      <c r="D711" s="2" t="s">
        <v>770</v>
      </c>
      <c r="E711" s="2" t="s">
        <v>2439</v>
      </c>
      <c r="F711" s="2" t="s">
        <v>2440</v>
      </c>
      <c r="G711" s="2" t="s">
        <v>2441</v>
      </c>
      <c r="H711" s="7"/>
      <c r="I711" s="2" t="s">
        <v>9</v>
      </c>
      <c r="K711" t="e">
        <v>#N/A</v>
      </c>
      <c r="L711" s="2" t="s">
        <v>8535</v>
      </c>
      <c r="M711" t="s">
        <v>8074</v>
      </c>
      <c r="N711" s="4"/>
    </row>
    <row r="712" spans="1:14" ht="52" x14ac:dyDescent="0.3">
      <c r="A712" s="1" t="str">
        <f>HYPERLINK("https://ipmanager.doe.gov/IPManager//ExternalLink.aspx?6ibkph2k9yi6F%2B0Vz7YoTo7DPLa3%2F%2FGgdMmxzaJ18VI%3D","Link")</f>
        <v>Link</v>
      </c>
      <c r="B712" s="2" t="s">
        <v>2446</v>
      </c>
      <c r="C712" s="2" t="s">
        <v>2425</v>
      </c>
      <c r="D712" s="2" t="s">
        <v>770</v>
      </c>
      <c r="E712" s="2" t="s">
        <v>2447</v>
      </c>
      <c r="F712" s="2" t="s">
        <v>2448</v>
      </c>
      <c r="G712" s="2" t="s">
        <v>2449</v>
      </c>
      <c r="H712" s="7"/>
      <c r="I712" s="2" t="s">
        <v>9</v>
      </c>
      <c r="K712" t="e">
        <v>#N/A</v>
      </c>
      <c r="L712" s="2" t="s">
        <v>8535</v>
      </c>
      <c r="M712" t="s">
        <v>8074</v>
      </c>
      <c r="N712" s="4"/>
    </row>
    <row r="713" spans="1:14" ht="65" x14ac:dyDescent="0.3">
      <c r="A713" s="1" t="str">
        <f>HYPERLINK("https://ipmanager.doe.gov/IPManager//ExternalLink.aspx?6ibkph2k9yi6F%2B0Vz7YoTipZ798QK%2BbPfZJZm%2FfXFvw%3D","Link")</f>
        <v>Link</v>
      </c>
      <c r="B713" s="2" t="s">
        <v>2424</v>
      </c>
      <c r="C713" s="2" t="s">
        <v>2425</v>
      </c>
      <c r="D713" s="2" t="s">
        <v>770</v>
      </c>
      <c r="E713" s="2" t="s">
        <v>2426</v>
      </c>
      <c r="F713" s="2" t="s">
        <v>2429</v>
      </c>
      <c r="G713" s="2" t="s">
        <v>2428</v>
      </c>
      <c r="H713" s="7"/>
      <c r="I713" s="2" t="s">
        <v>9</v>
      </c>
      <c r="K713" t="e">
        <v>#N/A</v>
      </c>
      <c r="L713" s="2" t="s">
        <v>8535</v>
      </c>
      <c r="M713" t="s">
        <v>8074</v>
      </c>
      <c r="N713" s="4"/>
    </row>
    <row r="714" spans="1:14" ht="39" x14ac:dyDescent="0.3">
      <c r="A714" s="1" t="str">
        <f>HYPERLINK("https://ipmanager.doe.gov/IPManager//ExternalLink.aspx?6ibkph2k9yi6F%2B0Vz7YoTipZ798QK%2BbPacVkArhoxvc%3D","Link")</f>
        <v>Link</v>
      </c>
      <c r="B714" s="2" t="s">
        <v>2457</v>
      </c>
      <c r="C714" s="2" t="s">
        <v>2425</v>
      </c>
      <c r="D714" s="2" t="s">
        <v>770</v>
      </c>
      <c r="E714" s="2" t="s">
        <v>2444</v>
      </c>
      <c r="F714" s="2" t="s">
        <v>2458</v>
      </c>
      <c r="G714" s="2" t="s">
        <v>327</v>
      </c>
      <c r="H714" s="7"/>
      <c r="I714" s="2" t="s">
        <v>9</v>
      </c>
      <c r="J714" t="s">
        <v>2458</v>
      </c>
      <c r="K714" t="s">
        <v>7672</v>
      </c>
      <c r="L714" s="2" t="s">
        <v>8535</v>
      </c>
      <c r="M714" t="s">
        <v>8074</v>
      </c>
      <c r="N714" s="4"/>
    </row>
    <row r="715" spans="1:14" ht="39" x14ac:dyDescent="0.3">
      <c r="A715" s="1" t="str">
        <f>HYPERLINK("https://ipmanager.doe.gov/IPManager//ExternalLink.aspx?6ibkph2k9yi6F%2B0Vz7YoTjnDGhmGHGI7Ylps5bFRtk4%3D","Link")</f>
        <v>Link</v>
      </c>
      <c r="B715" s="2" t="s">
        <v>2454</v>
      </c>
      <c r="C715" s="2" t="s">
        <v>2425</v>
      </c>
      <c r="D715" s="2" t="s">
        <v>770</v>
      </c>
      <c r="E715" s="2" t="s">
        <v>2455</v>
      </c>
      <c r="F715" s="2" t="s">
        <v>2456</v>
      </c>
      <c r="G715" s="2" t="s">
        <v>1396</v>
      </c>
      <c r="H715" s="7"/>
      <c r="I715" s="2" t="s">
        <v>9</v>
      </c>
      <c r="J715" t="s">
        <v>2456</v>
      </c>
      <c r="K715" t="s">
        <v>7873</v>
      </c>
      <c r="L715" s="2" t="s">
        <v>8535</v>
      </c>
      <c r="M715" t="s">
        <v>8074</v>
      </c>
      <c r="N715" s="4"/>
    </row>
    <row r="716" spans="1:14" ht="91" x14ac:dyDescent="0.3">
      <c r="A716" s="1" t="str">
        <f>HYPERLINK("https://ipmanager.doe.gov/IPManager//ExternalLink.aspx?6ibkph2k9yi6F%2B0Vz7YoTjnDGhmGHGI7adVlIToP0Ws%3D","Link")</f>
        <v>Link</v>
      </c>
      <c r="B716" s="2" t="s">
        <v>2463</v>
      </c>
      <c r="C716" s="2" t="s">
        <v>2425</v>
      </c>
      <c r="D716" s="2" t="s">
        <v>770</v>
      </c>
      <c r="E716" s="2" t="s">
        <v>2464</v>
      </c>
      <c r="F716" s="2" t="s">
        <v>2465</v>
      </c>
      <c r="G716" s="2" t="s">
        <v>2466</v>
      </c>
      <c r="H716" s="7"/>
      <c r="I716" s="2" t="s">
        <v>9</v>
      </c>
      <c r="J716" t="s">
        <v>2465</v>
      </c>
      <c r="K716" t="s">
        <v>7717</v>
      </c>
      <c r="L716" s="2" t="s">
        <v>8535</v>
      </c>
      <c r="M716" t="s">
        <v>8074</v>
      </c>
      <c r="N716" s="4"/>
    </row>
    <row r="717" spans="1:14" ht="26" x14ac:dyDescent="0.3">
      <c r="A717" s="1" t="str">
        <f>HYPERLINK("https://ipmanager.doe.gov/IPManager//ExternalLink.aspx?6ibkph2k9yi6F%2B0Vz7YoTr7J5I%2BY4foYNx0d2Ri0iyI%3D","Link")</f>
        <v>Link</v>
      </c>
      <c r="B717" s="2" t="s">
        <v>2467</v>
      </c>
      <c r="C717" s="2" t="s">
        <v>2468</v>
      </c>
      <c r="D717" s="2" t="s">
        <v>2469</v>
      </c>
      <c r="E717" s="2" t="s">
        <v>2470</v>
      </c>
      <c r="F717" s="2" t="s">
        <v>2471</v>
      </c>
      <c r="G717" s="2" t="s">
        <v>947</v>
      </c>
      <c r="H717" s="7">
        <v>9142350</v>
      </c>
      <c r="I717" s="2" t="s">
        <v>372</v>
      </c>
      <c r="J717" t="s">
        <v>7513</v>
      </c>
      <c r="K717" t="s">
        <v>7874</v>
      </c>
      <c r="L717" s="2" t="s">
        <v>8536</v>
      </c>
      <c r="M717" t="s">
        <v>8075</v>
      </c>
    </row>
    <row r="718" spans="1:14" ht="39" x14ac:dyDescent="0.3">
      <c r="A718" s="1" t="str">
        <f>HYPERLINK("https://ipmanager.doe.gov/IPManager//ExternalLink.aspx?6ibkph2k9yi6F%2B0Vz7YoTr7J5I%2BY4foYgsHwD%2B9zlsI%3D","Link")</f>
        <v>Link</v>
      </c>
      <c r="B718" s="2" t="s">
        <v>2472</v>
      </c>
      <c r="C718" s="2" t="s">
        <v>2468</v>
      </c>
      <c r="D718" s="2" t="s">
        <v>778</v>
      </c>
      <c r="E718" s="2" t="s">
        <v>2473</v>
      </c>
      <c r="F718" s="2"/>
      <c r="G718" s="2" t="s">
        <v>9</v>
      </c>
      <c r="H718" s="7"/>
      <c r="I718" s="2" t="s">
        <v>9</v>
      </c>
      <c r="K718" t="e">
        <v>#N/A</v>
      </c>
      <c r="L718" s="2" t="s">
        <v>8536</v>
      </c>
      <c r="M718" t="s">
        <v>8075</v>
      </c>
      <c r="N718" s="4"/>
    </row>
    <row r="719" spans="1:14" ht="52" x14ac:dyDescent="0.3">
      <c r="A719" s="1" t="str">
        <f>HYPERLINK("https://ipmanager.doe.gov/IPManager//ExternalLink.aspx?6ibkph2k9yi6F%2B0Vz7YoTk2BI6w%2FjZ2f9BBdHnqCrZs%3D","Link")</f>
        <v>Link</v>
      </c>
      <c r="B719" s="2" t="s">
        <v>2474</v>
      </c>
      <c r="C719" s="2" t="s">
        <v>2475</v>
      </c>
      <c r="D719" s="2" t="s">
        <v>1838</v>
      </c>
      <c r="E719" s="2" t="s">
        <v>2476</v>
      </c>
      <c r="F719" s="2" t="s">
        <v>2477</v>
      </c>
      <c r="G719" s="2" t="s">
        <v>2478</v>
      </c>
      <c r="H719" s="7"/>
      <c r="I719" s="2" t="s">
        <v>9</v>
      </c>
      <c r="K719" t="e">
        <v>#N/A</v>
      </c>
      <c r="L719" s="2" t="s">
        <v>8537</v>
      </c>
      <c r="M719" t="s">
        <v>8076</v>
      </c>
      <c r="N719" s="4"/>
    </row>
    <row r="720" spans="1:14" ht="52" x14ac:dyDescent="0.3">
      <c r="A720" s="1" t="str">
        <f>HYPERLINK("https://ipmanager.doe.gov/IPManager//ExternalLink.aspx?6ibkph2k9yi6F%2B0Vz7YoTipZ798QK%2BbPsv4bZAthDWQ%3D","Link")</f>
        <v>Link</v>
      </c>
      <c r="B720" s="2" t="s">
        <v>2479</v>
      </c>
      <c r="C720" s="2" t="s">
        <v>2475</v>
      </c>
      <c r="D720" s="2" t="s">
        <v>1838</v>
      </c>
      <c r="E720" s="2" t="s">
        <v>2476</v>
      </c>
      <c r="F720" s="2" t="s">
        <v>2480</v>
      </c>
      <c r="G720" s="2" t="s">
        <v>1590</v>
      </c>
      <c r="H720" s="7"/>
      <c r="I720" s="2" t="s">
        <v>9</v>
      </c>
      <c r="K720" t="e">
        <v>#N/A</v>
      </c>
      <c r="L720" s="2" t="s">
        <v>8537</v>
      </c>
      <c r="M720" t="s">
        <v>8076</v>
      </c>
      <c r="N720" s="4"/>
    </row>
    <row r="721" spans="1:14" ht="26" x14ac:dyDescent="0.3">
      <c r="A721" s="1" t="str">
        <f>HYPERLINK("https://ipmanager.doe.gov/IPManager//ExternalLink.aspx?6ibkph2k9yi6F%2B0Vz7YoTjnDGhmGHGI7BZc6Jqyr41I%3D","Link")</f>
        <v>Link</v>
      </c>
      <c r="B721" s="2" t="s">
        <v>2481</v>
      </c>
      <c r="C721" s="2" t="s">
        <v>2482</v>
      </c>
      <c r="D721" s="2" t="s">
        <v>2483</v>
      </c>
      <c r="E721" s="2" t="s">
        <v>2484</v>
      </c>
      <c r="F721" s="2"/>
      <c r="G721" s="2" t="s">
        <v>9</v>
      </c>
      <c r="H721" s="7"/>
      <c r="I721" s="2" t="s">
        <v>9</v>
      </c>
      <c r="K721" t="e">
        <v>#N/A</v>
      </c>
      <c r="L721" s="2" t="s">
        <v>8538</v>
      </c>
      <c r="M721" t="s">
        <v>8077</v>
      </c>
      <c r="N721" s="4"/>
    </row>
    <row r="722" spans="1:14" ht="65" x14ac:dyDescent="0.3">
      <c r="A722" s="1" t="str">
        <f>HYPERLINK("https://ipmanager.doe.gov/IPManager//ExternalLink.aspx?6ibkph2k9yi6F%2B0Vz7YoTjnDGhmGHGI7vYoR9rJUDDI%3D","Link")</f>
        <v>Link</v>
      </c>
      <c r="B722" s="2" t="s">
        <v>2485</v>
      </c>
      <c r="C722" s="2" t="s">
        <v>2482</v>
      </c>
      <c r="D722" s="2" t="s">
        <v>2486</v>
      </c>
      <c r="E722" s="2" t="s">
        <v>2487</v>
      </c>
      <c r="F722" s="2"/>
      <c r="G722" s="2" t="s">
        <v>9</v>
      </c>
      <c r="H722" s="7"/>
      <c r="I722" s="2" t="s">
        <v>9</v>
      </c>
      <c r="K722" t="e">
        <v>#N/A</v>
      </c>
      <c r="L722" s="2" t="s">
        <v>8538</v>
      </c>
      <c r="M722" t="s">
        <v>8077</v>
      </c>
      <c r="N722" s="4"/>
    </row>
    <row r="723" spans="1:14" ht="65" x14ac:dyDescent="0.3">
      <c r="A723" s="1" t="str">
        <f>HYPERLINK("https://ipmanager.doe.gov/IPManager//ExternalLink.aspx?6ibkph2k9yi6F%2B0Vz7YoTipZ798QK%2BbP9BGCrRyUC%2B4%3D","Link")</f>
        <v>Link</v>
      </c>
      <c r="B723" s="2" t="s">
        <v>2488</v>
      </c>
      <c r="C723" s="2" t="s">
        <v>2482</v>
      </c>
      <c r="D723" s="2" t="s">
        <v>2486</v>
      </c>
      <c r="E723" s="2" t="s">
        <v>2489</v>
      </c>
      <c r="F723" s="2"/>
      <c r="G723" s="2" t="s">
        <v>9</v>
      </c>
      <c r="H723" s="7"/>
      <c r="I723" s="2" t="s">
        <v>9</v>
      </c>
      <c r="K723" t="e">
        <v>#N/A</v>
      </c>
      <c r="L723" s="2" t="s">
        <v>8538</v>
      </c>
      <c r="M723" t="s">
        <v>8077</v>
      </c>
      <c r="N723" s="4"/>
    </row>
    <row r="724" spans="1:14" ht="52" x14ac:dyDescent="0.3">
      <c r="A724" s="1" t="str">
        <f>HYPERLINK("https://ipmanager.doe.gov/IPManager//ExternalLink.aspx?6ibkph2k9yi6F%2B0Vz7YoTr7J5I%2BY4foYJZVxpnJl5C4%3D","Link")</f>
        <v>Link</v>
      </c>
      <c r="B724" s="2" t="s">
        <v>2490</v>
      </c>
      <c r="C724" s="2" t="s">
        <v>2491</v>
      </c>
      <c r="D724" s="2" t="s">
        <v>2492</v>
      </c>
      <c r="E724" s="2" t="s">
        <v>2493</v>
      </c>
      <c r="F724" s="2" t="s">
        <v>2494</v>
      </c>
      <c r="G724" s="2" t="s">
        <v>2495</v>
      </c>
      <c r="H724" s="2"/>
      <c r="I724" s="2" t="s">
        <v>9</v>
      </c>
      <c r="J724" t="s">
        <v>5187</v>
      </c>
      <c r="K724" t="s">
        <v>7875</v>
      </c>
      <c r="L724" s="2" t="e">
        <v>#N/A</v>
      </c>
      <c r="M724" t="e">
        <v>#N/A</v>
      </c>
      <c r="N724" s="4"/>
    </row>
    <row r="725" spans="1:14" ht="52" x14ac:dyDescent="0.3">
      <c r="A725" s="1" t="str">
        <f>HYPERLINK("https://ipmanager.doe.gov/IPManager//ExternalLink.aspx?6ibkph2k9yi6F%2B0Vz7YoTr7J5I%2BY4foYqYkbc3z3s0o%3D","Link")</f>
        <v>Link</v>
      </c>
      <c r="B725" s="2" t="s">
        <v>2496</v>
      </c>
      <c r="C725" s="2" t="s">
        <v>2491</v>
      </c>
      <c r="D725" s="2" t="s">
        <v>2492</v>
      </c>
      <c r="E725" s="2" t="s">
        <v>2497</v>
      </c>
      <c r="F725" s="2" t="s">
        <v>2498</v>
      </c>
      <c r="G725" s="2" t="s">
        <v>2495</v>
      </c>
      <c r="H725" s="2"/>
      <c r="I725" s="2" t="s">
        <v>9</v>
      </c>
      <c r="J725" t="s">
        <v>3211</v>
      </c>
      <c r="K725" t="s">
        <v>7876</v>
      </c>
      <c r="L725" s="2" t="e">
        <v>#N/A</v>
      </c>
      <c r="M725" t="e">
        <v>#N/A</v>
      </c>
      <c r="N725" s="4"/>
    </row>
    <row r="726" spans="1:14" ht="130" x14ac:dyDescent="0.3">
      <c r="A726" s="1" t="str">
        <f>HYPERLINK("https://ipmanager.doe.gov/IPManager//ExternalLink.aspx?6ibkph2k9yi6F%2B0Vz7YoTo7DPLa3%2F%2FGg2rZFT5STcec%3D","Link")</f>
        <v>Link</v>
      </c>
      <c r="B726" s="2" t="s">
        <v>2499</v>
      </c>
      <c r="C726" s="2" t="s">
        <v>2491</v>
      </c>
      <c r="D726" s="2" t="s">
        <v>2492</v>
      </c>
      <c r="E726" s="2" t="s">
        <v>2500</v>
      </c>
      <c r="F726" s="2" t="s">
        <v>2501</v>
      </c>
      <c r="G726" s="2" t="s">
        <v>2495</v>
      </c>
      <c r="H726" s="2"/>
      <c r="I726" s="2" t="s">
        <v>9</v>
      </c>
      <c r="J726" t="s">
        <v>5805</v>
      </c>
      <c r="K726" t="s">
        <v>7665</v>
      </c>
      <c r="L726" s="2" t="e">
        <v>#N/A</v>
      </c>
      <c r="M726" t="e">
        <v>#N/A</v>
      </c>
      <c r="N726" s="4"/>
    </row>
    <row r="727" spans="1:14" ht="52" x14ac:dyDescent="0.3">
      <c r="A727" s="1" t="str">
        <f>HYPERLINK("https://ipmanager.doe.gov/IPManager//ExternalLink.aspx?6ibkph2k9yi6F%2B0Vz7YoTo7DPLa3%2F%2FGgKWmpSa2mWMo%3D","Link")</f>
        <v>Link</v>
      </c>
      <c r="B727" s="2" t="s">
        <v>2502</v>
      </c>
      <c r="C727" s="2" t="s">
        <v>2503</v>
      </c>
      <c r="D727" s="2" t="s">
        <v>2504</v>
      </c>
      <c r="E727" s="2" t="s">
        <v>2505</v>
      </c>
      <c r="F727" s="2" t="s">
        <v>2506</v>
      </c>
      <c r="G727" s="2" t="s">
        <v>45</v>
      </c>
      <c r="H727" s="7">
        <v>9419479</v>
      </c>
      <c r="I727" s="2" t="s">
        <v>2130</v>
      </c>
      <c r="J727" t="s">
        <v>7514</v>
      </c>
      <c r="K727" t="s">
        <v>7877</v>
      </c>
      <c r="L727" s="2" t="s">
        <v>8417</v>
      </c>
      <c r="M727" t="s">
        <v>8416</v>
      </c>
    </row>
    <row r="728" spans="1:14" ht="26" x14ac:dyDescent="0.3">
      <c r="A728" s="1" t="str">
        <f>HYPERLINK("https://ipmanager.doe.gov/IPManager//ExternalLink.aspx?6ibkph2k9yi6F%2B0Vz7YoTjnDGhmGHGI7hOOyOq10ABM%3D","Link")</f>
        <v>Link</v>
      </c>
      <c r="B728" s="2" t="s">
        <v>2507</v>
      </c>
      <c r="C728" s="2" t="s">
        <v>2503</v>
      </c>
      <c r="D728" s="2" t="s">
        <v>2504</v>
      </c>
      <c r="E728" s="2" t="s">
        <v>2508</v>
      </c>
      <c r="F728" s="2" t="s">
        <v>2509</v>
      </c>
      <c r="G728" s="2" t="s">
        <v>733</v>
      </c>
      <c r="H728" s="7">
        <v>9461523</v>
      </c>
      <c r="I728" s="2" t="s">
        <v>2510</v>
      </c>
      <c r="J728" t="s">
        <v>7515</v>
      </c>
      <c r="K728" t="s">
        <v>7878</v>
      </c>
      <c r="L728" s="2" t="s">
        <v>8417</v>
      </c>
      <c r="M728" t="s">
        <v>8416</v>
      </c>
    </row>
    <row r="729" spans="1:14" ht="26" x14ac:dyDescent="0.3">
      <c r="A729" s="1" t="str">
        <f>HYPERLINK("https://ipmanager.doe.gov/IPManager//ExternalLink.aspx?6ibkph2k9yi6F%2B0Vz7YoTlNm8snv%2FZpHFcgJX5CZDXE%3D","Link")</f>
        <v>Link</v>
      </c>
      <c r="B729" s="2" t="s">
        <v>2511</v>
      </c>
      <c r="C729" s="2" t="s">
        <v>2503</v>
      </c>
      <c r="D729" s="2" t="s">
        <v>1987</v>
      </c>
      <c r="E729" s="2" t="s">
        <v>2512</v>
      </c>
      <c r="F729" s="2"/>
      <c r="G729" s="2" t="s">
        <v>9</v>
      </c>
      <c r="H729" s="7"/>
      <c r="I729" s="2" t="s">
        <v>9</v>
      </c>
      <c r="K729" t="e">
        <v>#N/A</v>
      </c>
      <c r="L729" s="2" t="s">
        <v>8417</v>
      </c>
      <c r="M729" t="s">
        <v>8416</v>
      </c>
      <c r="N729" s="4"/>
    </row>
    <row r="730" spans="1:14" ht="52" x14ac:dyDescent="0.3">
      <c r="A730" s="1" t="str">
        <f>HYPERLINK("https://ipmanager.doe.gov/IPManager//ExternalLink.aspx?6ibkph2k9yi6F%2B0Vz7YoTk2BI6w%2FjZ2fhImEDdup5%2Fc%3D","Link")</f>
        <v>Link</v>
      </c>
      <c r="B730" s="2" t="s">
        <v>2514</v>
      </c>
      <c r="C730" s="2" t="s">
        <v>2503</v>
      </c>
      <c r="D730" s="2" t="s">
        <v>2504</v>
      </c>
      <c r="E730" s="2" t="s">
        <v>2515</v>
      </c>
      <c r="F730" s="2" t="s">
        <v>2516</v>
      </c>
      <c r="G730" s="2" t="s">
        <v>897</v>
      </c>
      <c r="H730" s="7">
        <v>9362788</v>
      </c>
      <c r="I730" s="2" t="s">
        <v>597</v>
      </c>
      <c r="J730" t="s">
        <v>7516</v>
      </c>
      <c r="K730" t="s">
        <v>7879</v>
      </c>
      <c r="L730" s="2" t="s">
        <v>8417</v>
      </c>
      <c r="M730" t="s">
        <v>8416</v>
      </c>
    </row>
    <row r="731" spans="1:14" ht="26" x14ac:dyDescent="0.3">
      <c r="A731" s="1" t="str">
        <f>HYPERLINK("https://ipmanager.doe.gov/IPManager//ExternalLink.aspx?6ibkph2k9yi6F%2B0Vz7YoTr7J5I%2BY4foYxPqjBjXD%2F%2BQ%3D","Link")</f>
        <v>Link</v>
      </c>
      <c r="B731" s="2" t="s">
        <v>2526</v>
      </c>
      <c r="C731" s="2" t="s">
        <v>2518</v>
      </c>
      <c r="D731" s="2" t="s">
        <v>2519</v>
      </c>
      <c r="E731" s="2" t="s">
        <v>2527</v>
      </c>
      <c r="F731" s="2" t="s">
        <v>2528</v>
      </c>
      <c r="G731" s="2" t="s">
        <v>1552</v>
      </c>
      <c r="H731" s="7"/>
      <c r="I731" s="2" t="s">
        <v>9</v>
      </c>
      <c r="J731" t="s">
        <v>7537</v>
      </c>
      <c r="K731" t="e">
        <v>#N/A</v>
      </c>
      <c r="L731" s="2" t="s">
        <v>8539</v>
      </c>
      <c r="M731" t="s">
        <v>8078</v>
      </c>
      <c r="N731" s="4"/>
    </row>
    <row r="732" spans="1:14" ht="26" x14ac:dyDescent="0.3">
      <c r="A732" s="1" t="str">
        <f>HYPERLINK("https://ipmanager.doe.gov/IPManager//ExternalLink.aspx?6ibkph2k9yi6F%2B0Vz7YoTo7DPLa3%2F%2FGgba2vpIcIxag%3D","Link")</f>
        <v>Link</v>
      </c>
      <c r="B732" s="2" t="s">
        <v>2535</v>
      </c>
      <c r="C732" s="2" t="s">
        <v>2518</v>
      </c>
      <c r="D732" s="2" t="s">
        <v>2519</v>
      </c>
      <c r="E732" s="2" t="s">
        <v>2536</v>
      </c>
      <c r="F732" s="2" t="s">
        <v>2528</v>
      </c>
      <c r="G732" s="2" t="s">
        <v>2531</v>
      </c>
      <c r="H732" s="7"/>
      <c r="I732" s="2" t="s">
        <v>9</v>
      </c>
      <c r="J732" t="s">
        <v>7537</v>
      </c>
      <c r="K732" t="e">
        <v>#N/A</v>
      </c>
      <c r="L732" s="2" t="s">
        <v>8539</v>
      </c>
      <c r="M732" t="s">
        <v>8078</v>
      </c>
      <c r="N732" s="4"/>
    </row>
    <row r="733" spans="1:14" ht="39" x14ac:dyDescent="0.3">
      <c r="A733" s="1" t="str">
        <f>HYPERLINK("https://ipmanager.doe.gov/IPManager//ExternalLink.aspx?6ibkph2k9yi6F%2B0Vz7YoTr7J5I%2BY4foYyqFk9x4ED7Y%3D","Link")</f>
        <v>Link</v>
      </c>
      <c r="B733" s="2" t="s">
        <v>2543</v>
      </c>
      <c r="C733" s="2" t="s">
        <v>2518</v>
      </c>
      <c r="D733" s="2" t="s">
        <v>2542</v>
      </c>
      <c r="E733" s="2" t="s">
        <v>2544</v>
      </c>
      <c r="F733" s="2"/>
      <c r="G733" s="2" t="s">
        <v>9</v>
      </c>
      <c r="H733" s="7"/>
      <c r="I733" s="2" t="s">
        <v>9</v>
      </c>
      <c r="K733" t="e">
        <v>#N/A</v>
      </c>
      <c r="L733" s="2" t="s">
        <v>8539</v>
      </c>
      <c r="M733" t="s">
        <v>8078</v>
      </c>
      <c r="N733" s="4"/>
    </row>
    <row r="734" spans="1:14" ht="39" x14ac:dyDescent="0.3">
      <c r="A734" s="1" t="str">
        <f>HYPERLINK("https://ipmanager.doe.gov/IPManager//ExternalLink.aspx?6ibkph2k9yi6F%2B0Vz7YoTipZ798QK%2BbPW0zIlbmW6F4%3D","Link")</f>
        <v>Link</v>
      </c>
      <c r="B734" s="2" t="s">
        <v>2545</v>
      </c>
      <c r="C734" s="2" t="s">
        <v>2518</v>
      </c>
      <c r="D734" s="2" t="s">
        <v>2542</v>
      </c>
      <c r="E734" s="2" t="s">
        <v>2523</v>
      </c>
      <c r="F734" s="2"/>
      <c r="G734" s="2" t="s">
        <v>9</v>
      </c>
      <c r="H734" s="7"/>
      <c r="I734" s="2" t="s">
        <v>9</v>
      </c>
      <c r="K734" t="e">
        <v>#N/A</v>
      </c>
      <c r="L734" s="2" t="s">
        <v>8539</v>
      </c>
      <c r="M734" t="s">
        <v>8078</v>
      </c>
      <c r="N734" s="4"/>
    </row>
    <row r="735" spans="1:14" ht="26" x14ac:dyDescent="0.3">
      <c r="A735" s="1" t="str">
        <f>HYPERLINK("https://ipmanager.doe.gov/IPManager//ExternalLink.aspx?6ibkph2k9yi6F%2B0Vz7YoTlNm8snv%2FZpHy1IIMMr8rT0%3D","Link")</f>
        <v>Link</v>
      </c>
      <c r="B735" s="2" t="s">
        <v>2517</v>
      </c>
      <c r="C735" s="2" t="s">
        <v>2518</v>
      </c>
      <c r="D735" s="2" t="s">
        <v>2519</v>
      </c>
      <c r="E735" s="2" t="s">
        <v>2520</v>
      </c>
      <c r="F735" s="2" t="s">
        <v>2521</v>
      </c>
      <c r="G735" s="2" t="s">
        <v>2449</v>
      </c>
      <c r="H735" s="2"/>
      <c r="I735" s="2" t="s">
        <v>9</v>
      </c>
      <c r="K735" t="e">
        <v>#N/A</v>
      </c>
      <c r="L735" s="2" t="s">
        <v>8539</v>
      </c>
      <c r="M735" t="s">
        <v>8078</v>
      </c>
      <c r="N735" s="4"/>
    </row>
    <row r="736" spans="1:14" ht="39" x14ac:dyDescent="0.3">
      <c r="A736" s="1" t="str">
        <f>HYPERLINK("https://ipmanager.doe.gov/IPManager//ExternalLink.aspx?6ibkph2k9yi6F%2B0Vz7YoTk2BI6w%2FjZ2f8PvVf1RxOZE%3D","Link")</f>
        <v>Link</v>
      </c>
      <c r="B736" s="2" t="s">
        <v>2522</v>
      </c>
      <c r="C736" s="2" t="s">
        <v>2518</v>
      </c>
      <c r="D736" s="2" t="s">
        <v>2519</v>
      </c>
      <c r="E736" s="2" t="s">
        <v>2523</v>
      </c>
      <c r="F736" s="2" t="s">
        <v>2524</v>
      </c>
      <c r="G736" s="2" t="s">
        <v>688</v>
      </c>
      <c r="H736" s="2"/>
      <c r="I736" s="2" t="s">
        <v>9</v>
      </c>
      <c r="K736" t="e">
        <v>#N/A</v>
      </c>
      <c r="L736" s="2" t="s">
        <v>8539</v>
      </c>
      <c r="M736" t="s">
        <v>8078</v>
      </c>
      <c r="N736" s="4"/>
    </row>
    <row r="737" spans="1:14" ht="26" x14ac:dyDescent="0.3">
      <c r="A737" s="1" t="str">
        <f>HYPERLINK("https://ipmanager.doe.gov/IPManager//ExternalLink.aspx?6ibkph2k9yi6F%2B0Vz7YoTr7J5I%2BY4foY1TVwhdbjvxs%3D","Link")</f>
        <v>Link</v>
      </c>
      <c r="B737" s="2" t="s">
        <v>2529</v>
      </c>
      <c r="C737" s="2" t="s">
        <v>2518</v>
      </c>
      <c r="D737" s="2" t="s">
        <v>2519</v>
      </c>
      <c r="E737" s="2" t="s">
        <v>2527</v>
      </c>
      <c r="F737" s="2" t="s">
        <v>2530</v>
      </c>
      <c r="G737" s="2" t="s">
        <v>2531</v>
      </c>
      <c r="H737" s="2"/>
      <c r="I737" s="2" t="s">
        <v>9</v>
      </c>
      <c r="J737" t="s">
        <v>2530</v>
      </c>
      <c r="K737" t="s">
        <v>7762</v>
      </c>
      <c r="L737" s="2" t="s">
        <v>8539</v>
      </c>
      <c r="M737" t="s">
        <v>8078</v>
      </c>
      <c r="N737" s="4"/>
    </row>
    <row r="738" spans="1:14" ht="39" x14ac:dyDescent="0.3">
      <c r="A738" s="1" t="str">
        <f>HYPERLINK("https://ipmanager.doe.gov/IPManager//ExternalLink.aspx?6ibkph2k9yi6F%2B0Vz7YoTo7DPLa3%2F%2FGgK60kh3PcpNA%3D","Link")</f>
        <v>Link</v>
      </c>
      <c r="B738" s="2" t="s">
        <v>2532</v>
      </c>
      <c r="C738" s="2" t="s">
        <v>2518</v>
      </c>
      <c r="D738" s="2" t="s">
        <v>2519</v>
      </c>
      <c r="E738" s="2" t="s">
        <v>2533</v>
      </c>
      <c r="F738" s="2" t="s">
        <v>2534</v>
      </c>
      <c r="G738" s="2" t="s">
        <v>113</v>
      </c>
      <c r="H738" s="2"/>
      <c r="I738" s="2" t="s">
        <v>9</v>
      </c>
      <c r="K738" t="e">
        <v>#N/A</v>
      </c>
      <c r="L738" s="2" t="s">
        <v>8539</v>
      </c>
      <c r="M738" t="s">
        <v>8078</v>
      </c>
      <c r="N738" s="4"/>
    </row>
    <row r="739" spans="1:14" ht="26" x14ac:dyDescent="0.3">
      <c r="A739" s="1" t="str">
        <f>HYPERLINK("https://ipmanager.doe.gov/IPManager//ExternalLink.aspx?6ibkph2k9yi6F%2B0Vz7YoTr7J5I%2BY4foYVw%2Bq%2Fvm91LQ%3D","Link")</f>
        <v>Link</v>
      </c>
      <c r="B739" s="2" t="s">
        <v>2537</v>
      </c>
      <c r="C739" s="2" t="s">
        <v>2518</v>
      </c>
      <c r="D739" s="2" t="s">
        <v>2519</v>
      </c>
      <c r="E739" s="2" t="s">
        <v>2538</v>
      </c>
      <c r="F739" s="2" t="s">
        <v>2539</v>
      </c>
      <c r="G739" s="2" t="s">
        <v>2540</v>
      </c>
      <c r="H739" s="2"/>
      <c r="I739" s="2" t="s">
        <v>9</v>
      </c>
      <c r="K739" t="e">
        <v>#N/A</v>
      </c>
      <c r="L739" s="2" t="s">
        <v>8539</v>
      </c>
      <c r="M739" t="s">
        <v>8078</v>
      </c>
      <c r="N739" s="4"/>
    </row>
    <row r="740" spans="1:14" ht="39" x14ac:dyDescent="0.3">
      <c r="A740" s="1" t="str">
        <f>HYPERLINK("https://ipmanager.doe.gov/IPManager//ExternalLink.aspx?6ibkph2k9yi6F%2B0Vz7YoTr7J5I%2BY4foY60jOhGKP2GY%3D","Link")</f>
        <v>Link</v>
      </c>
      <c r="B740" s="2" t="s">
        <v>2541</v>
      </c>
      <c r="C740" s="2" t="s">
        <v>2518</v>
      </c>
      <c r="D740" s="2" t="s">
        <v>2542</v>
      </c>
      <c r="E740" s="2" t="s">
        <v>2536</v>
      </c>
      <c r="F740" s="2" t="s">
        <v>2524</v>
      </c>
      <c r="G740" s="2" t="s">
        <v>2513</v>
      </c>
      <c r="H740" s="2"/>
      <c r="I740" s="2" t="s">
        <v>9</v>
      </c>
      <c r="K740" t="e">
        <v>#N/A</v>
      </c>
      <c r="L740" s="2" t="s">
        <v>8539</v>
      </c>
      <c r="M740" t="s">
        <v>8078</v>
      </c>
      <c r="N740" s="4"/>
    </row>
    <row r="741" spans="1:14" ht="39" x14ac:dyDescent="0.3">
      <c r="A741" s="1" t="str">
        <f>HYPERLINK("https://ipmanager.doe.gov/IPManager//ExternalLink.aspx?6ibkph2k9yi6F%2B0Vz7YoTipZ798QK%2BbP8LTnG1fIJ0o%3D","Link")</f>
        <v>Link</v>
      </c>
      <c r="B741" s="2" t="s">
        <v>2551</v>
      </c>
      <c r="C741" s="2" t="s">
        <v>2546</v>
      </c>
      <c r="D741" s="2" t="s">
        <v>2547</v>
      </c>
      <c r="E741" s="2" t="s">
        <v>2548</v>
      </c>
      <c r="F741" s="2" t="s">
        <v>2552</v>
      </c>
      <c r="G741" s="2" t="s">
        <v>258</v>
      </c>
      <c r="H741" s="7"/>
      <c r="I741" s="2" t="s">
        <v>9</v>
      </c>
      <c r="J741" t="s">
        <v>2552</v>
      </c>
      <c r="K741" t="s">
        <v>7811</v>
      </c>
      <c r="L741" s="2" t="s">
        <v>8540</v>
      </c>
      <c r="M741" t="s">
        <v>8079</v>
      </c>
      <c r="N741" s="4"/>
    </row>
    <row r="742" spans="1:14" ht="39" x14ac:dyDescent="0.3">
      <c r="A742" s="1" t="str">
        <f>HYPERLINK("https://ipmanager.doe.gov/IPManager//ExternalLink.aspx?6ibkph2k9yi6F%2B0Vz7YoTipZ798QK%2BbPsOmkQ4THdfI%3D","Link")</f>
        <v>Link</v>
      </c>
      <c r="B742" s="2" t="s">
        <v>2553</v>
      </c>
      <c r="C742" s="2" t="s">
        <v>2546</v>
      </c>
      <c r="D742" s="2" t="s">
        <v>2547</v>
      </c>
      <c r="E742" s="2" t="s">
        <v>2548</v>
      </c>
      <c r="F742" s="2" t="s">
        <v>2554</v>
      </c>
      <c r="G742" s="2" t="s">
        <v>2555</v>
      </c>
      <c r="H742" s="7"/>
      <c r="I742" s="2" t="s">
        <v>9</v>
      </c>
      <c r="K742" t="e">
        <v>#N/A</v>
      </c>
      <c r="L742" s="2" t="s">
        <v>8540</v>
      </c>
      <c r="M742" t="s">
        <v>8079</v>
      </c>
      <c r="N742" s="4"/>
    </row>
    <row r="743" spans="1:14" ht="39" x14ac:dyDescent="0.3">
      <c r="A743" s="1" t="str">
        <f>HYPERLINK("https://ipmanager.doe.gov/IPManager//ExternalLink.aspx?6ibkph2k9yi6F%2B0Vz7YoTu0g4zH%2BOsvybLR4UN6CNyE%3D","Link")</f>
        <v>Link</v>
      </c>
      <c r="B743" s="2" t="s">
        <v>2556</v>
      </c>
      <c r="C743" s="2" t="s">
        <v>2546</v>
      </c>
      <c r="D743" s="2" t="s">
        <v>2547</v>
      </c>
      <c r="E743" s="2" t="s">
        <v>2548</v>
      </c>
      <c r="F743" s="2" t="s">
        <v>2549</v>
      </c>
      <c r="G743" s="2" t="s">
        <v>2550</v>
      </c>
      <c r="H743" s="7">
        <v>9997285</v>
      </c>
      <c r="I743" s="2" t="s">
        <v>851</v>
      </c>
      <c r="J743" t="s">
        <v>7517</v>
      </c>
      <c r="K743" t="s">
        <v>7880</v>
      </c>
      <c r="L743" s="2" t="s">
        <v>8540</v>
      </c>
      <c r="M743" t="s">
        <v>8079</v>
      </c>
    </row>
    <row r="744" spans="1:14" ht="52" x14ac:dyDescent="0.3">
      <c r="A744" s="1" t="str">
        <f>HYPERLINK("https://ipmanager.doe.gov/IPManager//ExternalLink.aspx?6ibkph2k9yi6F%2B0Vz7YoTu0g4zH%2BOsvyKMSiS637OOw%3D","Link")</f>
        <v>Link</v>
      </c>
      <c r="B744" s="2" t="s">
        <v>2557</v>
      </c>
      <c r="C744" s="2" t="s">
        <v>2558</v>
      </c>
      <c r="D744" s="2" t="s">
        <v>524</v>
      </c>
      <c r="E744" s="2" t="s">
        <v>2559</v>
      </c>
      <c r="F744" s="2" t="s">
        <v>2560</v>
      </c>
      <c r="G744" s="2" t="s">
        <v>470</v>
      </c>
      <c r="H744" s="7"/>
      <c r="I744" s="2" t="s">
        <v>9</v>
      </c>
      <c r="J744" t="s">
        <v>7538</v>
      </c>
      <c r="K744" t="s">
        <v>7881</v>
      </c>
      <c r="L744" s="2" t="s">
        <v>8418</v>
      </c>
      <c r="M744" t="s">
        <v>8419</v>
      </c>
      <c r="N744" s="4"/>
    </row>
    <row r="745" spans="1:14" ht="26" x14ac:dyDescent="0.3">
      <c r="A745" s="1" t="str">
        <f>HYPERLINK("https://ipmanager.doe.gov/IPManager//ExternalLink.aspx?6ibkph2k9yi6F%2B0Vz7YoTipZ798QK%2BbPykWxe1PjEyE%3D","Link")</f>
        <v>Link</v>
      </c>
      <c r="B745" s="2" t="s">
        <v>2561</v>
      </c>
      <c r="C745" s="2" t="s">
        <v>2558</v>
      </c>
      <c r="D745" s="2" t="s">
        <v>524</v>
      </c>
      <c r="E745" s="2" t="s">
        <v>2562</v>
      </c>
      <c r="F745" s="2" t="s">
        <v>2563</v>
      </c>
      <c r="G745" s="2" t="s">
        <v>2564</v>
      </c>
      <c r="H745" s="7">
        <v>9548150</v>
      </c>
      <c r="I745" s="2" t="s">
        <v>9</v>
      </c>
      <c r="J745" t="s">
        <v>7518</v>
      </c>
      <c r="K745" t="s">
        <v>7882</v>
      </c>
      <c r="L745" s="2" t="s">
        <v>8418</v>
      </c>
      <c r="M745" t="s">
        <v>8419</v>
      </c>
    </row>
    <row r="746" spans="1:14" ht="52" x14ac:dyDescent="0.3">
      <c r="A746" s="1" t="str">
        <f>HYPERLINK("https://ipmanager.doe.gov/IPManager//ExternalLink.aspx?6ibkph2k9yi6F%2B0Vz7YoTo7DPLa3%2F%2FGg1d8CVipRc%2FU%3D","Link")</f>
        <v>Link</v>
      </c>
      <c r="B746" s="2" t="s">
        <v>2565</v>
      </c>
      <c r="C746" s="2" t="s">
        <v>2566</v>
      </c>
      <c r="D746" s="2" t="s">
        <v>2567</v>
      </c>
      <c r="E746" s="2" t="s">
        <v>2568</v>
      </c>
      <c r="F746" s="2"/>
      <c r="G746" s="2" t="s">
        <v>9</v>
      </c>
      <c r="H746" s="7"/>
      <c r="I746" s="2" t="s">
        <v>9</v>
      </c>
      <c r="K746" t="e">
        <v>#N/A</v>
      </c>
      <c r="L746" s="2" t="e">
        <v>#N/A</v>
      </c>
      <c r="M746" t="e">
        <v>#N/A</v>
      </c>
      <c r="N746" s="4"/>
    </row>
    <row r="747" spans="1:14" ht="52" x14ac:dyDescent="0.3">
      <c r="A747" s="1" t="str">
        <f>HYPERLINK("https://ipmanager.doe.gov/IPManager//ExternalLink.aspx?6ibkph2k9yi6F%2B0Vz7YoTo7DPLa3%2F%2FGgc5o9s%2FWGiG0%3D","Link")</f>
        <v>Link</v>
      </c>
      <c r="B747" s="2" t="s">
        <v>2569</v>
      </c>
      <c r="C747" s="2" t="s">
        <v>2566</v>
      </c>
      <c r="D747" s="2" t="s">
        <v>2570</v>
      </c>
      <c r="E747" s="2" t="s">
        <v>2571</v>
      </c>
      <c r="F747" s="2"/>
      <c r="G747" s="2" t="s">
        <v>9</v>
      </c>
      <c r="H747" s="7"/>
      <c r="I747" s="2" t="s">
        <v>9</v>
      </c>
      <c r="K747" t="e">
        <v>#N/A</v>
      </c>
      <c r="L747" s="2" t="e">
        <v>#N/A</v>
      </c>
      <c r="M747" t="e">
        <v>#N/A</v>
      </c>
      <c r="N747" s="4"/>
    </row>
    <row r="748" spans="1:14" ht="52" x14ac:dyDescent="0.3">
      <c r="A748" s="1" t="str">
        <f>HYPERLINK("https://ipmanager.doe.gov/IPManager//ExternalLink.aspx?6ibkph2k9yi6F%2B0Vz7YoTr7J5I%2BY4foYTPUTFSjgQKA%3D","Link")</f>
        <v>Link</v>
      </c>
      <c r="B748" s="2" t="s">
        <v>2576</v>
      </c>
      <c r="C748" s="2" t="s">
        <v>2573</v>
      </c>
      <c r="D748" s="2" t="s">
        <v>2316</v>
      </c>
      <c r="E748" s="2" t="s">
        <v>2577</v>
      </c>
      <c r="F748" s="2" t="s">
        <v>2578</v>
      </c>
      <c r="G748" s="2" t="s">
        <v>2579</v>
      </c>
      <c r="H748" s="7"/>
      <c r="I748" s="2" t="s">
        <v>9</v>
      </c>
      <c r="J748" t="s">
        <v>7539</v>
      </c>
      <c r="K748" t="s">
        <v>7883</v>
      </c>
      <c r="L748" s="2" t="s">
        <v>8541</v>
      </c>
      <c r="M748" t="s">
        <v>8080</v>
      </c>
      <c r="N748" s="4"/>
    </row>
    <row r="749" spans="1:14" ht="26" x14ac:dyDescent="0.3">
      <c r="A749" s="1" t="str">
        <f>HYPERLINK("https://ipmanager.doe.gov/IPManager//ExternalLink.aspx?6ibkph2k9yi6F%2B0Vz7YoTipZ798QK%2BbPU5srWj5S2Qo%3D","Link")</f>
        <v>Link</v>
      </c>
      <c r="B749" s="2" t="s">
        <v>2584</v>
      </c>
      <c r="C749" s="2" t="s">
        <v>2573</v>
      </c>
      <c r="D749" s="2" t="s">
        <v>2316</v>
      </c>
      <c r="E749" s="2" t="s">
        <v>2585</v>
      </c>
      <c r="F749" s="2"/>
      <c r="G749" s="2" t="s">
        <v>9</v>
      </c>
      <c r="H749" s="7"/>
      <c r="I749" s="2" t="s">
        <v>9</v>
      </c>
      <c r="K749" t="e">
        <v>#N/A</v>
      </c>
      <c r="L749" s="2" t="s">
        <v>8541</v>
      </c>
      <c r="M749" t="s">
        <v>8080</v>
      </c>
      <c r="N749" s="4"/>
    </row>
    <row r="750" spans="1:14" ht="78" x14ac:dyDescent="0.3">
      <c r="A750" s="1" t="str">
        <f>HYPERLINK("https://ipmanager.doe.gov/IPManager//ExternalLink.aspx?6ibkph2k9yi6F%2B0Vz7YoTr7J5I%2BY4foY2pvNrKwVFTM%3D","Link")</f>
        <v>Link</v>
      </c>
      <c r="B750" s="2" t="s">
        <v>2590</v>
      </c>
      <c r="C750" s="2" t="s">
        <v>2573</v>
      </c>
      <c r="D750" s="2" t="s">
        <v>2316</v>
      </c>
      <c r="E750" s="2" t="s">
        <v>2574</v>
      </c>
      <c r="F750" s="2"/>
      <c r="G750" s="2" t="s">
        <v>9</v>
      </c>
      <c r="H750" s="7"/>
      <c r="I750" s="2" t="s">
        <v>9</v>
      </c>
      <c r="K750" t="e">
        <v>#N/A</v>
      </c>
      <c r="L750" s="2" t="s">
        <v>8541</v>
      </c>
      <c r="M750" t="s">
        <v>8080</v>
      </c>
      <c r="N750" s="4"/>
    </row>
    <row r="751" spans="1:14" ht="39" x14ac:dyDescent="0.3">
      <c r="A751" s="1" t="str">
        <f>HYPERLINK("https://ipmanager.doe.gov/IPManager//ExternalLink.aspx?6ibkph2k9yi6F%2B0Vz7YoTr7J5I%2BY4foYNeiNKWpEoJM%3D","Link")</f>
        <v>Link</v>
      </c>
      <c r="B751" s="2" t="s">
        <v>2591</v>
      </c>
      <c r="C751" s="2" t="s">
        <v>2573</v>
      </c>
      <c r="D751" s="2" t="s">
        <v>2316</v>
      </c>
      <c r="E751" s="2" t="s">
        <v>2592</v>
      </c>
      <c r="F751" s="2"/>
      <c r="G751" s="2" t="s">
        <v>9</v>
      </c>
      <c r="H751" s="7"/>
      <c r="I751" s="2" t="s">
        <v>9</v>
      </c>
      <c r="K751" t="e">
        <v>#N/A</v>
      </c>
      <c r="L751" s="2" t="s">
        <v>8541</v>
      </c>
      <c r="M751" t="s">
        <v>8080</v>
      </c>
      <c r="N751" s="4"/>
    </row>
    <row r="752" spans="1:14" ht="26" x14ac:dyDescent="0.3">
      <c r="A752" s="1" t="str">
        <f>HYPERLINK("https://ipmanager.doe.gov/IPManager//ExternalLink.aspx?6ibkph2k9yi6F%2B0Vz7YoThEBhkR3uHVr1h2RgXQAks8%3D","Link")</f>
        <v>Link</v>
      </c>
      <c r="B752" s="2" t="s">
        <v>2600</v>
      </c>
      <c r="C752" s="2" t="s">
        <v>2573</v>
      </c>
      <c r="D752" s="2" t="s">
        <v>2316</v>
      </c>
      <c r="E752" s="2" t="s">
        <v>2601</v>
      </c>
      <c r="F752" s="2"/>
      <c r="G752" s="2" t="s">
        <v>9</v>
      </c>
      <c r="H752" s="7"/>
      <c r="I752" s="2" t="s">
        <v>9</v>
      </c>
      <c r="K752" t="e">
        <v>#N/A</v>
      </c>
      <c r="L752" s="2" t="s">
        <v>8541</v>
      </c>
      <c r="M752" t="s">
        <v>8080</v>
      </c>
      <c r="N752" s="4"/>
    </row>
    <row r="753" spans="1:14" ht="39" x14ac:dyDescent="0.3">
      <c r="A753" s="1" t="str">
        <f>HYPERLINK("https://ipmanager.doe.gov/IPManager//ExternalLink.aspx?6ibkph2k9yi6F%2B0Vz7YoTp68px7nSN2gA8m%2FvNLHafs%3D","Link")</f>
        <v>Link</v>
      </c>
      <c r="B753" s="2" t="s">
        <v>2606</v>
      </c>
      <c r="C753" s="2" t="s">
        <v>2573</v>
      </c>
      <c r="D753" s="2" t="s">
        <v>2316</v>
      </c>
      <c r="E753" s="2" t="s">
        <v>2607</v>
      </c>
      <c r="F753" s="2"/>
      <c r="G753" s="2" t="s">
        <v>9</v>
      </c>
      <c r="H753" s="7"/>
      <c r="I753" s="2" t="s">
        <v>9</v>
      </c>
      <c r="K753" t="e">
        <v>#N/A</v>
      </c>
      <c r="L753" s="2" t="s">
        <v>8541</v>
      </c>
      <c r="M753" t="s">
        <v>8080</v>
      </c>
      <c r="N753" s="4"/>
    </row>
    <row r="754" spans="1:14" ht="52" x14ac:dyDescent="0.3">
      <c r="A754" s="1" t="str">
        <f>HYPERLINK("https://ipmanager.doe.gov/IPManager//ExternalLink.aspx?6ibkph2k9yi6F%2B0Vz7YoTp68px7nSN2gU4S%2BXWuaCcg%3D","Link")</f>
        <v>Link</v>
      </c>
      <c r="B754" s="2" t="s">
        <v>2609</v>
      </c>
      <c r="C754" s="2" t="s">
        <v>2573</v>
      </c>
      <c r="D754" s="2" t="s">
        <v>2316</v>
      </c>
      <c r="E754" s="2" t="s">
        <v>2610</v>
      </c>
      <c r="F754" s="2"/>
      <c r="G754" s="2" t="s">
        <v>9</v>
      </c>
      <c r="H754" s="7"/>
      <c r="I754" s="2" t="s">
        <v>9</v>
      </c>
      <c r="K754" t="e">
        <v>#N/A</v>
      </c>
      <c r="L754" s="2" t="s">
        <v>8541</v>
      </c>
      <c r="M754" t="s">
        <v>8080</v>
      </c>
      <c r="N754" s="4"/>
    </row>
    <row r="755" spans="1:14" ht="52" x14ac:dyDescent="0.3">
      <c r="A755" s="1" t="str">
        <f>HYPERLINK("https://ipmanager.doe.gov/IPManager//ExternalLink.aspx?6ibkph2k9yi6F%2B0Vz7YoTnXVN2REjGcW1V6m13%2F4QyI%3D","Link")</f>
        <v>Link</v>
      </c>
      <c r="B755" s="2" t="s">
        <v>2611</v>
      </c>
      <c r="C755" s="2" t="s">
        <v>2573</v>
      </c>
      <c r="D755" s="2" t="s">
        <v>2316</v>
      </c>
      <c r="E755" s="2" t="s">
        <v>2612</v>
      </c>
      <c r="F755" s="2" t="s">
        <v>2613</v>
      </c>
      <c r="G755" s="2" t="s">
        <v>2614</v>
      </c>
      <c r="H755" s="7">
        <v>9715957</v>
      </c>
      <c r="I755" s="2" t="s">
        <v>2615</v>
      </c>
      <c r="J755" t="s">
        <v>7519</v>
      </c>
      <c r="K755" t="s">
        <v>7884</v>
      </c>
      <c r="L755" s="2" t="s">
        <v>8541</v>
      </c>
      <c r="M755" t="s">
        <v>8080</v>
      </c>
      <c r="N755" s="5" t="s">
        <v>7477</v>
      </c>
    </row>
    <row r="756" spans="1:14" ht="52" x14ac:dyDescent="0.3">
      <c r="A756" s="1" t="str">
        <f>HYPERLINK("https://ipmanager.doe.gov/IPManager//ExternalLink.aspx?6ibkph2k9yi6F%2B0Vz7YoTgZwfmYxrNyKvB9usPBdYb0%3D","Link")</f>
        <v>Link</v>
      </c>
      <c r="B756" s="2" t="s">
        <v>2617</v>
      </c>
      <c r="C756" s="2" t="s">
        <v>2573</v>
      </c>
      <c r="D756" s="2" t="s">
        <v>2316</v>
      </c>
      <c r="E756" s="2" t="s">
        <v>2618</v>
      </c>
      <c r="F756" s="2"/>
      <c r="G756" s="2" t="s">
        <v>9</v>
      </c>
      <c r="H756" s="7"/>
      <c r="I756" s="2" t="s">
        <v>9</v>
      </c>
      <c r="K756" t="e">
        <v>#N/A</v>
      </c>
      <c r="L756" s="2" t="s">
        <v>8541</v>
      </c>
      <c r="M756" t="s">
        <v>8080</v>
      </c>
      <c r="N756" s="4"/>
    </row>
    <row r="757" spans="1:14" ht="52" x14ac:dyDescent="0.3">
      <c r="A757" s="1" t="str">
        <f>HYPERLINK("https://ipmanager.doe.gov/IPManager//ExternalLink.aspx?6ibkph2k9yi6F%2B0Vz7YoTq6RR9BlGHHiEZn%2BXZK9Dug%3D","Link")</f>
        <v>Link</v>
      </c>
      <c r="B757" s="2" t="s">
        <v>2619</v>
      </c>
      <c r="C757" s="2" t="s">
        <v>2573</v>
      </c>
      <c r="D757" s="2" t="s">
        <v>2316</v>
      </c>
      <c r="E757" s="2" t="s">
        <v>2620</v>
      </c>
      <c r="F757" s="2"/>
      <c r="G757" s="2" t="s">
        <v>9</v>
      </c>
      <c r="H757" s="7"/>
      <c r="I757" s="2" t="s">
        <v>9</v>
      </c>
      <c r="K757" t="e">
        <v>#N/A</v>
      </c>
      <c r="L757" s="2" t="s">
        <v>8541</v>
      </c>
      <c r="M757" t="s">
        <v>8080</v>
      </c>
      <c r="N757" s="4"/>
    </row>
    <row r="758" spans="1:14" ht="52" x14ac:dyDescent="0.3">
      <c r="A758" s="1" t="str">
        <f>HYPERLINK("https://ipmanager.doe.gov/IPManager//ExternalLink.aspx?6ibkph2k9yi6F%2B0Vz7YoTnXVN2REjGcWjwJkADvJ0X8%3D","Link")</f>
        <v>Link</v>
      </c>
      <c r="B758" s="2" t="s">
        <v>2621</v>
      </c>
      <c r="C758" s="2" t="s">
        <v>2573</v>
      </c>
      <c r="D758" s="2" t="s">
        <v>2316</v>
      </c>
      <c r="E758" s="2" t="s">
        <v>2622</v>
      </c>
      <c r="F758" s="2"/>
      <c r="G758" s="2" t="s">
        <v>9</v>
      </c>
      <c r="H758" s="7"/>
      <c r="I758" s="2" t="s">
        <v>9</v>
      </c>
      <c r="K758" t="e">
        <v>#N/A</v>
      </c>
      <c r="L758" s="2" t="s">
        <v>8541</v>
      </c>
      <c r="M758" t="s">
        <v>8080</v>
      </c>
      <c r="N758" s="4"/>
    </row>
    <row r="759" spans="1:14" ht="52" x14ac:dyDescent="0.3">
      <c r="A759" s="1" t="str">
        <f>HYPERLINK("https://ipmanager.doe.gov/IPManager//ExternalLink.aspx?6ibkph2k9yi6F%2B0Vz7YoTnXVN2REjGcWBbKh27lIv4A%3D","Link")</f>
        <v>Link</v>
      </c>
      <c r="B759" s="2" t="s">
        <v>2638</v>
      </c>
      <c r="C759" s="2" t="s">
        <v>2573</v>
      </c>
      <c r="D759" s="2" t="s">
        <v>2316</v>
      </c>
      <c r="E759" s="2" t="s">
        <v>2344</v>
      </c>
      <c r="F759" s="2" t="s">
        <v>2637</v>
      </c>
      <c r="G759" s="2" t="s">
        <v>418</v>
      </c>
      <c r="H759" s="7">
        <v>10068689</v>
      </c>
      <c r="I759" s="2" t="s">
        <v>2639</v>
      </c>
      <c r="J759" t="s">
        <v>7520</v>
      </c>
      <c r="K759" t="s">
        <v>7885</v>
      </c>
      <c r="L759" s="2" t="s">
        <v>8541</v>
      </c>
      <c r="M759" t="s">
        <v>8080</v>
      </c>
    </row>
    <row r="760" spans="1:14" ht="65" x14ac:dyDescent="0.3">
      <c r="A760" s="1" t="str">
        <f>HYPERLINK("https://ipmanager.doe.gov/IPManager//ExternalLink.aspx?6ibkph2k9yi6F%2B0Vz7YoTnXVN2REjGcWOEcC8PCEXWw%3D","Link")</f>
        <v>Link</v>
      </c>
      <c r="B760" s="2" t="s">
        <v>2640</v>
      </c>
      <c r="C760" s="2" t="s">
        <v>2573</v>
      </c>
      <c r="D760" s="2" t="s">
        <v>2316</v>
      </c>
      <c r="E760" s="2" t="s">
        <v>2641</v>
      </c>
      <c r="F760" s="2" t="s">
        <v>2642</v>
      </c>
      <c r="G760" s="2" t="s">
        <v>1305</v>
      </c>
      <c r="H760" s="7">
        <v>10002694</v>
      </c>
      <c r="I760" s="2" t="s">
        <v>2643</v>
      </c>
      <c r="J760" t="s">
        <v>7521</v>
      </c>
      <c r="K760" t="s">
        <v>7886</v>
      </c>
      <c r="L760" s="2" t="s">
        <v>8541</v>
      </c>
      <c r="M760" t="s">
        <v>8080</v>
      </c>
    </row>
    <row r="761" spans="1:14" ht="78" x14ac:dyDescent="0.3">
      <c r="A761" s="1" t="str">
        <f>HYPERLINK("https://ipmanager.doe.gov/IPManager//ExternalLink.aspx?6ibkph2k9yi6F%2B0Vz7YoTr7J5I%2BY4foYBiuuVvvKkYo%3D","Link")</f>
        <v>Link</v>
      </c>
      <c r="B761" s="2" t="s">
        <v>2572</v>
      </c>
      <c r="C761" s="2" t="s">
        <v>2573</v>
      </c>
      <c r="D761" s="2" t="s">
        <v>2316</v>
      </c>
      <c r="E761" s="2" t="s">
        <v>2574</v>
      </c>
      <c r="F761" s="2" t="s">
        <v>2575</v>
      </c>
      <c r="G761" s="2" t="s">
        <v>1512</v>
      </c>
      <c r="H761" s="2"/>
      <c r="I761" s="2" t="s">
        <v>9</v>
      </c>
      <c r="K761" t="e">
        <v>#N/A</v>
      </c>
      <c r="L761" s="2" t="s">
        <v>8541</v>
      </c>
      <c r="M761" t="s">
        <v>8080</v>
      </c>
      <c r="N761" s="4"/>
    </row>
    <row r="762" spans="1:14" ht="26" x14ac:dyDescent="0.3">
      <c r="A762" s="1" t="str">
        <f>HYPERLINK("https://ipmanager.doe.gov/IPManager//ExternalLink.aspx?6ibkph2k9yi6F%2B0Vz7YoTipZ798QK%2BbPxTlhupn%2FWmo%3D","Link")</f>
        <v>Link</v>
      </c>
      <c r="B762" s="2" t="s">
        <v>2580</v>
      </c>
      <c r="C762" s="2" t="s">
        <v>2573</v>
      </c>
      <c r="D762" s="2" t="s">
        <v>2316</v>
      </c>
      <c r="E762" s="2" t="s">
        <v>2581</v>
      </c>
      <c r="F762" s="2" t="s">
        <v>2582</v>
      </c>
      <c r="G762" s="2" t="s">
        <v>2583</v>
      </c>
      <c r="H762" s="2"/>
      <c r="I762" s="2" t="s">
        <v>9</v>
      </c>
      <c r="K762" t="e">
        <v>#N/A</v>
      </c>
      <c r="L762" s="2" t="s">
        <v>8541</v>
      </c>
      <c r="M762" t="s">
        <v>8080</v>
      </c>
      <c r="N762" s="4"/>
    </row>
    <row r="763" spans="1:14" ht="52" x14ac:dyDescent="0.3">
      <c r="A763" s="1" t="str">
        <f>HYPERLINK("https://ipmanager.doe.gov/IPManager//ExternalLink.aspx?6ibkph2k9yi6F%2B0Vz7YoTr7J5I%2BY4foYGfgtiUN%2BNvk%3D","Link")</f>
        <v>Link</v>
      </c>
      <c r="B763" s="2" t="s">
        <v>2587</v>
      </c>
      <c r="C763" s="2" t="s">
        <v>2573</v>
      </c>
      <c r="D763" s="2" t="s">
        <v>2316</v>
      </c>
      <c r="E763" s="2" t="s">
        <v>2588</v>
      </c>
      <c r="F763" s="2" t="s">
        <v>2589</v>
      </c>
      <c r="G763" s="2" t="s">
        <v>1512</v>
      </c>
      <c r="H763" s="2"/>
      <c r="I763" s="2" t="s">
        <v>9</v>
      </c>
      <c r="K763" t="e">
        <v>#N/A</v>
      </c>
      <c r="L763" s="2" t="s">
        <v>8541</v>
      </c>
      <c r="M763" t="s">
        <v>8080</v>
      </c>
      <c r="N763" s="4"/>
    </row>
    <row r="764" spans="1:14" ht="52" x14ac:dyDescent="0.3">
      <c r="A764" s="1" t="str">
        <f>HYPERLINK("https://ipmanager.doe.gov/IPManager//ExternalLink.aspx?6ibkph2k9yi6F%2B0Vz7YoTjnDGhmGHGI7XbB59D40fvM%3D","Link")</f>
        <v>Link</v>
      </c>
      <c r="B764" s="2" t="s">
        <v>2593</v>
      </c>
      <c r="C764" s="2" t="s">
        <v>2573</v>
      </c>
      <c r="D764" s="2" t="s">
        <v>2316</v>
      </c>
      <c r="E764" s="2" t="s">
        <v>2344</v>
      </c>
      <c r="F764" s="2" t="s">
        <v>2594</v>
      </c>
      <c r="G764" s="2" t="s">
        <v>2595</v>
      </c>
      <c r="H764" s="2"/>
      <c r="I764" s="2" t="s">
        <v>9</v>
      </c>
      <c r="K764" t="e">
        <v>#N/A</v>
      </c>
      <c r="L764" s="2" t="s">
        <v>8541</v>
      </c>
      <c r="M764" t="s">
        <v>8080</v>
      </c>
      <c r="N764" s="4"/>
    </row>
    <row r="765" spans="1:14" ht="65" x14ac:dyDescent="0.3">
      <c r="A765" s="1" t="str">
        <f>HYPERLINK("https://ipmanager.doe.gov/IPManager//ExternalLink.aspx?6ibkph2k9yi6F%2B0Vz7YoTo7DPLa3%2F%2FGgHFmJfXXIMgY%3D","Link")</f>
        <v>Link</v>
      </c>
      <c r="B765" s="2" t="s">
        <v>2596</v>
      </c>
      <c r="C765" s="2" t="s">
        <v>2573</v>
      </c>
      <c r="D765" s="2" t="s">
        <v>2316</v>
      </c>
      <c r="E765" s="2" t="s">
        <v>2597</v>
      </c>
      <c r="F765" s="2" t="s">
        <v>2598</v>
      </c>
      <c r="G765" s="2" t="s">
        <v>2599</v>
      </c>
      <c r="H765" s="2"/>
      <c r="I765" s="2" t="s">
        <v>9</v>
      </c>
      <c r="K765" t="e">
        <v>#N/A</v>
      </c>
      <c r="L765" s="2" t="s">
        <v>8541</v>
      </c>
      <c r="M765" t="s">
        <v>8080</v>
      </c>
      <c r="N765" s="4"/>
    </row>
    <row r="766" spans="1:14" ht="39" x14ac:dyDescent="0.3">
      <c r="A766" s="1" t="str">
        <f>HYPERLINK("https://ipmanager.doe.gov/IPManager//ExternalLink.aspx?6ibkph2k9yi6F%2B0Vz7YoTp68px7nSN2g3ipV%2BMiVldA%3D","Link")</f>
        <v>Link</v>
      </c>
      <c r="B766" s="2" t="s">
        <v>2602</v>
      </c>
      <c r="C766" s="2" t="s">
        <v>2573</v>
      </c>
      <c r="D766" s="2" t="s">
        <v>2316</v>
      </c>
      <c r="E766" s="2" t="s">
        <v>2603</v>
      </c>
      <c r="F766" s="2" t="s">
        <v>2604</v>
      </c>
      <c r="G766" s="2" t="s">
        <v>2605</v>
      </c>
      <c r="H766" s="2"/>
      <c r="I766" s="2" t="s">
        <v>9</v>
      </c>
      <c r="K766" t="e">
        <v>#N/A</v>
      </c>
      <c r="L766" s="2" t="s">
        <v>8541</v>
      </c>
      <c r="M766" t="s">
        <v>8080</v>
      </c>
      <c r="N766" s="4"/>
    </row>
    <row r="767" spans="1:14" ht="65" x14ac:dyDescent="0.3">
      <c r="A767" s="1" t="str">
        <f>HYPERLINK("https://ipmanager.doe.gov/IPManager//ExternalLink.aspx?6ibkph2k9yi6F%2B0Vz7YoTnXVN2REjGcWrxXR3nHs4oI%3D","Link")</f>
        <v>Link</v>
      </c>
      <c r="B767" s="2" t="s">
        <v>2624</v>
      </c>
      <c r="C767" s="2" t="s">
        <v>2573</v>
      </c>
      <c r="D767" s="2" t="s">
        <v>2316</v>
      </c>
      <c r="E767" s="2" t="s">
        <v>2625</v>
      </c>
      <c r="F767" s="2" t="s">
        <v>2338</v>
      </c>
      <c r="G767" s="2" t="s">
        <v>249</v>
      </c>
      <c r="H767" s="2"/>
      <c r="I767" s="2" t="s">
        <v>9</v>
      </c>
      <c r="J767" t="s">
        <v>2338</v>
      </c>
      <c r="K767" t="s">
        <v>7756</v>
      </c>
      <c r="L767" s="2" t="s">
        <v>8541</v>
      </c>
      <c r="M767" t="s">
        <v>8080</v>
      </c>
      <c r="N767" s="4"/>
    </row>
    <row r="768" spans="1:14" ht="52" x14ac:dyDescent="0.3">
      <c r="A768" s="1" t="str">
        <f>HYPERLINK("https://ipmanager.doe.gov/IPManager//ExternalLink.aspx?6ibkph2k9yi6F%2B0Vz7YoTvPUg%2FVZPl3i4QifWyJTaK0%3D","Link")</f>
        <v>Link</v>
      </c>
      <c r="B768" s="2" t="s">
        <v>2627</v>
      </c>
      <c r="C768" s="2" t="s">
        <v>2573</v>
      </c>
      <c r="D768" s="2" t="s">
        <v>2316</v>
      </c>
      <c r="E768" s="2" t="s">
        <v>2622</v>
      </c>
      <c r="F768" s="2" t="s">
        <v>2628</v>
      </c>
      <c r="G768" s="2" t="s">
        <v>2629</v>
      </c>
      <c r="H768" s="2"/>
      <c r="I768" s="2" t="s">
        <v>9</v>
      </c>
      <c r="J768" t="s">
        <v>2628</v>
      </c>
      <c r="K768" t="s">
        <v>7887</v>
      </c>
      <c r="L768" s="2" t="s">
        <v>8541</v>
      </c>
      <c r="M768" t="s">
        <v>8080</v>
      </c>
      <c r="N768" s="4"/>
    </row>
    <row r="769" spans="1:14" ht="52" x14ac:dyDescent="0.3">
      <c r="A769" s="1" t="str">
        <f>HYPERLINK("https://ipmanager.doe.gov/IPManager//ExternalLink.aspx?6ibkph2k9yi6F%2B0Vz7YoTgZwfmYxrNyKgvYSsxYeT98%3D","Link")</f>
        <v>Link</v>
      </c>
      <c r="B769" s="2" t="s">
        <v>2630</v>
      </c>
      <c r="C769" s="2" t="s">
        <v>2573</v>
      </c>
      <c r="D769" s="2" t="s">
        <v>2316</v>
      </c>
      <c r="E769" s="2" t="s">
        <v>2333</v>
      </c>
      <c r="F769" s="2" t="s">
        <v>2631</v>
      </c>
      <c r="G769" s="2" t="s">
        <v>2632</v>
      </c>
      <c r="H769" s="2"/>
      <c r="I769" s="2" t="s">
        <v>9</v>
      </c>
      <c r="K769" t="e">
        <v>#N/A</v>
      </c>
      <c r="L769" s="2" t="s">
        <v>8541</v>
      </c>
      <c r="M769" t="s">
        <v>8080</v>
      </c>
      <c r="N769" s="4"/>
    </row>
    <row r="770" spans="1:14" ht="52" x14ac:dyDescent="0.3">
      <c r="A770" s="1" t="str">
        <f>HYPERLINK("https://ipmanager.doe.gov/IPManager//ExternalLink.aspx?6ibkph2k9yi6F%2B0Vz7YoTp68px7nSN2grnIKv3t9694%3D","Link")</f>
        <v>Link</v>
      </c>
      <c r="B770" s="2" t="s">
        <v>2634</v>
      </c>
      <c r="C770" s="2" t="s">
        <v>2573</v>
      </c>
      <c r="D770" s="2" t="s">
        <v>2316</v>
      </c>
      <c r="E770" s="2" t="s">
        <v>2635</v>
      </c>
      <c r="F770" s="2" t="s">
        <v>2636</v>
      </c>
      <c r="G770" s="2" t="s">
        <v>418</v>
      </c>
      <c r="H770" s="2"/>
      <c r="I770" s="2" t="s">
        <v>9</v>
      </c>
      <c r="J770" t="s">
        <v>2636</v>
      </c>
      <c r="K770" t="s">
        <v>7888</v>
      </c>
      <c r="L770" s="2" t="s">
        <v>8541</v>
      </c>
      <c r="M770" t="s">
        <v>8080</v>
      </c>
      <c r="N770" s="4"/>
    </row>
    <row r="771" spans="1:14" ht="52" x14ac:dyDescent="0.3">
      <c r="A771" s="1" t="str">
        <f>HYPERLINK("https://ipmanager.doe.gov/IPManager//ExternalLink.aspx?6ibkph2k9yi6F%2B0Vz7YoTk2BI6w%2FjZ2f96q13nnGrdY%3D","Link")</f>
        <v>Link</v>
      </c>
      <c r="B771" s="2" t="s">
        <v>2644</v>
      </c>
      <c r="C771" s="2" t="s">
        <v>2573</v>
      </c>
      <c r="D771" s="2" t="s">
        <v>2316</v>
      </c>
      <c r="E771" s="2" t="s">
        <v>2645</v>
      </c>
      <c r="F771" s="2" t="s">
        <v>2633</v>
      </c>
      <c r="G771" s="2" t="s">
        <v>808</v>
      </c>
      <c r="H771" s="2"/>
      <c r="I771" s="2" t="s">
        <v>9</v>
      </c>
      <c r="K771" t="e">
        <v>#N/A</v>
      </c>
      <c r="L771" s="2" t="s">
        <v>8541</v>
      </c>
      <c r="M771" t="s">
        <v>8080</v>
      </c>
      <c r="N771" s="4"/>
    </row>
    <row r="772" spans="1:14" ht="26" x14ac:dyDescent="0.3">
      <c r="A772" s="1" t="str">
        <f>HYPERLINK("https://ipmanager.doe.gov/IPManager//ExternalLink.aspx?6ibkph2k9yi6F%2B0Vz7YoTr7J5I%2BY4foYShJbz5%2B7xE0%3D","Link")</f>
        <v>Link</v>
      </c>
      <c r="B772" s="2" t="s">
        <v>2646</v>
      </c>
      <c r="C772" s="2" t="s">
        <v>2573</v>
      </c>
      <c r="D772" s="2" t="s">
        <v>2316</v>
      </c>
      <c r="E772" s="2" t="s">
        <v>2647</v>
      </c>
      <c r="F772" s="2" t="s">
        <v>2648</v>
      </c>
      <c r="G772" s="2" t="s">
        <v>2649</v>
      </c>
      <c r="H772" s="2"/>
      <c r="I772" s="2" t="s">
        <v>9</v>
      </c>
      <c r="K772" t="e">
        <v>#N/A</v>
      </c>
      <c r="L772" s="2" t="s">
        <v>8541</v>
      </c>
      <c r="M772" t="s">
        <v>8080</v>
      </c>
      <c r="N772" s="4"/>
    </row>
    <row r="773" spans="1:14" ht="65" x14ac:dyDescent="0.3">
      <c r="A773" s="1" t="str">
        <f>HYPERLINK("https://ipmanager.doe.gov/IPManager//ExternalLink.aspx?6ibkph2k9yi6F%2B0Vz7YoTvPUg%2FVZPl3iawqzy3AxDMs%3D","Link")</f>
        <v>Link</v>
      </c>
      <c r="B773" s="2" t="s">
        <v>2651</v>
      </c>
      <c r="C773" s="2" t="s">
        <v>2573</v>
      </c>
      <c r="D773" s="2" t="s">
        <v>2316</v>
      </c>
      <c r="E773" s="2" t="s">
        <v>2625</v>
      </c>
      <c r="F773" s="2" t="s">
        <v>2626</v>
      </c>
      <c r="G773" s="2" t="s">
        <v>249</v>
      </c>
      <c r="H773" s="2"/>
      <c r="I773" s="2" t="s">
        <v>9</v>
      </c>
      <c r="K773" t="e">
        <v>#N/A</v>
      </c>
      <c r="L773" s="2" t="s">
        <v>8541</v>
      </c>
      <c r="M773" t="s">
        <v>8080</v>
      </c>
      <c r="N773" s="4"/>
    </row>
    <row r="774" spans="1:14" ht="26" x14ac:dyDescent="0.3">
      <c r="A774" s="1" t="str">
        <f>HYPERLINK("https://ipmanager.doe.gov/IPManager//ExternalLink.aspx?6ibkph2k9yi6F%2B0Vz7YoTgZwfmYxrNyKdrw6CFIJuFk%3D","Link")</f>
        <v>Link</v>
      </c>
      <c r="B774" s="2" t="s">
        <v>2652</v>
      </c>
      <c r="C774" s="2" t="s">
        <v>2573</v>
      </c>
      <c r="D774" s="2" t="s">
        <v>2316</v>
      </c>
      <c r="E774" s="2" t="s">
        <v>2653</v>
      </c>
      <c r="F774" s="2" t="s">
        <v>2654</v>
      </c>
      <c r="G774" s="2" t="s">
        <v>2326</v>
      </c>
      <c r="H774" s="2"/>
      <c r="I774" s="2" t="s">
        <v>9</v>
      </c>
      <c r="K774" t="e">
        <v>#N/A</v>
      </c>
      <c r="L774" s="2" t="s">
        <v>8541</v>
      </c>
      <c r="M774" t="s">
        <v>8080</v>
      </c>
      <c r="N774" s="4"/>
    </row>
    <row r="775" spans="1:14" ht="39" x14ac:dyDescent="0.3">
      <c r="A775" s="1" t="str">
        <f>HYPERLINK("https://ipmanager.doe.gov/IPManager//ExternalLink.aspx?6ibkph2k9yi6F%2B0Vz7YoTipZ798QK%2BbPKq%2BXe0vKoLE%3D","Link")</f>
        <v>Link</v>
      </c>
      <c r="B775" s="2" t="s">
        <v>2655</v>
      </c>
      <c r="C775" s="2" t="s">
        <v>2573</v>
      </c>
      <c r="D775" s="2" t="s">
        <v>2316</v>
      </c>
      <c r="E775" s="2" t="s">
        <v>2656</v>
      </c>
      <c r="F775" s="2" t="s">
        <v>2657</v>
      </c>
      <c r="G775" s="2" t="s">
        <v>2326</v>
      </c>
      <c r="H775" s="2"/>
      <c r="I775" s="2" t="s">
        <v>9</v>
      </c>
      <c r="K775" t="e">
        <v>#N/A</v>
      </c>
      <c r="L775" s="2" t="s">
        <v>8541</v>
      </c>
      <c r="M775" t="s">
        <v>8080</v>
      </c>
      <c r="N775" s="4"/>
    </row>
    <row r="776" spans="1:14" ht="52" x14ac:dyDescent="0.3">
      <c r="A776" s="1" t="str">
        <f>HYPERLINK("https://ipmanager.doe.gov/IPManager//ExternalLink.aspx?6ibkph2k9yi6F%2B0Vz7YoTipZ798QK%2BbPzhhvjvMJP90%3D","Link")</f>
        <v>Link</v>
      </c>
      <c r="B776" s="2" t="s">
        <v>2658</v>
      </c>
      <c r="C776" s="2" t="s">
        <v>2659</v>
      </c>
      <c r="D776" s="2" t="s">
        <v>1343</v>
      </c>
      <c r="E776" s="2" t="s">
        <v>2660</v>
      </c>
      <c r="F776" s="2"/>
      <c r="G776" s="2" t="s">
        <v>9</v>
      </c>
      <c r="H776" s="7"/>
      <c r="I776" s="2" t="s">
        <v>9</v>
      </c>
      <c r="K776" t="e">
        <v>#N/A</v>
      </c>
      <c r="L776" s="2" t="s">
        <v>8542</v>
      </c>
      <c r="M776" t="s">
        <v>8081</v>
      </c>
      <c r="N776" s="4"/>
    </row>
    <row r="777" spans="1:14" ht="104" x14ac:dyDescent="0.3">
      <c r="A777" s="1" t="str">
        <f>HYPERLINK("https://ipmanager.doe.gov/IPManager//ExternalLink.aspx?6ibkph2k9yi6F%2B0Vz7YoTipZ798QK%2BbPcSG%2FMMoc%2Bdk%3D","Link")</f>
        <v>Link</v>
      </c>
      <c r="B777" s="2" t="s">
        <v>2661</v>
      </c>
      <c r="C777" s="2" t="s">
        <v>2659</v>
      </c>
      <c r="D777" s="2" t="s">
        <v>1343</v>
      </c>
      <c r="E777" s="2" t="s">
        <v>2662</v>
      </c>
      <c r="F777" s="2"/>
      <c r="G777" s="2" t="s">
        <v>9</v>
      </c>
      <c r="H777" s="7"/>
      <c r="I777" s="2" t="s">
        <v>9</v>
      </c>
      <c r="K777" t="e">
        <v>#N/A</v>
      </c>
      <c r="L777" s="2" t="s">
        <v>8542</v>
      </c>
      <c r="M777" t="s">
        <v>8081</v>
      </c>
      <c r="N777" s="4"/>
    </row>
    <row r="778" spans="1:14" ht="52" x14ac:dyDescent="0.3">
      <c r="A778" s="1" t="str">
        <f>HYPERLINK("https://ipmanager.doe.gov/IPManager//ExternalLink.aspx?6ibkph2k9yi6F%2B0Vz7YoTipZ798QK%2BbPQd5JiluUjQg%3D","Link")</f>
        <v>Link</v>
      </c>
      <c r="B778" s="2" t="s">
        <v>2663</v>
      </c>
      <c r="C778" s="2" t="s">
        <v>2659</v>
      </c>
      <c r="D778" s="2" t="s">
        <v>1343</v>
      </c>
      <c r="E778" s="2" t="s">
        <v>2664</v>
      </c>
      <c r="F778" s="2"/>
      <c r="G778" s="2" t="s">
        <v>9</v>
      </c>
      <c r="H778" s="7"/>
      <c r="I778" s="2" t="s">
        <v>9</v>
      </c>
      <c r="K778" t="e">
        <v>#N/A</v>
      </c>
      <c r="L778" s="2" t="s">
        <v>8542</v>
      </c>
      <c r="M778" t="s">
        <v>8081</v>
      </c>
      <c r="N778" s="4"/>
    </row>
    <row r="779" spans="1:14" ht="39" x14ac:dyDescent="0.3">
      <c r="A779" s="1" t="str">
        <f>HYPERLINK("https://ipmanager.doe.gov/IPManager//ExternalLink.aspx?6ibkph2k9yi6F%2B0Vz7YoTq6RR9BlGHHi6n%2BOE90jFdM%3D","Link")</f>
        <v>Link</v>
      </c>
      <c r="B779" s="2" t="s">
        <v>2669</v>
      </c>
      <c r="C779" s="2" t="s">
        <v>2659</v>
      </c>
      <c r="D779" s="2" t="s">
        <v>1340</v>
      </c>
      <c r="E779" s="2" t="s">
        <v>2670</v>
      </c>
      <c r="F779" s="2"/>
      <c r="G779" s="2" t="s">
        <v>9</v>
      </c>
      <c r="H779" s="7"/>
      <c r="I779" s="2" t="s">
        <v>9</v>
      </c>
      <c r="K779" t="e">
        <v>#N/A</v>
      </c>
      <c r="L779" s="2" t="s">
        <v>8542</v>
      </c>
      <c r="M779" t="s">
        <v>8081</v>
      </c>
      <c r="N779" s="4"/>
    </row>
    <row r="780" spans="1:14" ht="78" x14ac:dyDescent="0.3">
      <c r="A780" s="1" t="str">
        <f>HYPERLINK("https://ipmanager.doe.gov/IPManager//ExternalLink.aspx?6ibkph2k9yi6F%2B0Vz7YoTo7DPLa3%2F%2FGgGrOnW17lCKE%3D","Link")</f>
        <v>Link</v>
      </c>
      <c r="B780" s="2" t="s">
        <v>2674</v>
      </c>
      <c r="C780" s="2" t="s">
        <v>2659</v>
      </c>
      <c r="D780" s="2" t="s">
        <v>1343</v>
      </c>
      <c r="E780" s="2" t="s">
        <v>2675</v>
      </c>
      <c r="F780" s="2"/>
      <c r="G780" s="2" t="s">
        <v>9</v>
      </c>
      <c r="H780" s="7"/>
      <c r="I780" s="2" t="s">
        <v>9</v>
      </c>
      <c r="K780" t="e">
        <v>#N/A</v>
      </c>
      <c r="L780" s="2" t="s">
        <v>8542</v>
      </c>
      <c r="M780" t="s">
        <v>8081</v>
      </c>
      <c r="N780" s="4"/>
    </row>
    <row r="781" spans="1:14" ht="104" x14ac:dyDescent="0.3">
      <c r="A781" s="1" t="str">
        <f>HYPERLINK("https://ipmanager.doe.gov/IPManager//ExternalLink.aspx?6ibkph2k9yi6F%2B0Vz7YoTq6RR9BlGHHiwk0SOQ7y1aE%3D","Link")</f>
        <v>Link</v>
      </c>
      <c r="B781" s="2" t="s">
        <v>2681</v>
      </c>
      <c r="C781" s="2" t="s">
        <v>2659</v>
      </c>
      <c r="D781" s="2" t="s">
        <v>1343</v>
      </c>
      <c r="E781" s="2" t="s">
        <v>2682</v>
      </c>
      <c r="F781" s="2"/>
      <c r="G781" s="2" t="s">
        <v>9</v>
      </c>
      <c r="H781" s="7"/>
      <c r="I781" s="2" t="s">
        <v>9</v>
      </c>
      <c r="K781" t="e">
        <v>#N/A</v>
      </c>
      <c r="L781" s="2" t="s">
        <v>8542</v>
      </c>
      <c r="M781" t="s">
        <v>8081</v>
      </c>
      <c r="N781" s="4"/>
    </row>
    <row r="782" spans="1:14" ht="78" x14ac:dyDescent="0.3">
      <c r="A782" s="1" t="str">
        <f>HYPERLINK("https://ipmanager.doe.gov/IPManager//ExternalLink.aspx?6ibkph2k9yi6F%2B0Vz7YoTjnDGhmGHGI7IibBCsdDV%2Bk%3D","Link")</f>
        <v>Link</v>
      </c>
      <c r="B782" s="2" t="s">
        <v>2683</v>
      </c>
      <c r="C782" s="2" t="s">
        <v>2659</v>
      </c>
      <c r="D782" s="2" t="s">
        <v>1343</v>
      </c>
      <c r="E782" s="2" t="s">
        <v>2684</v>
      </c>
      <c r="F782" s="2"/>
      <c r="G782" s="2" t="s">
        <v>9</v>
      </c>
      <c r="H782" s="7"/>
      <c r="I782" s="2" t="s">
        <v>9</v>
      </c>
      <c r="K782" t="e">
        <v>#N/A</v>
      </c>
      <c r="L782" s="2" t="s">
        <v>8542</v>
      </c>
      <c r="M782" t="s">
        <v>8081</v>
      </c>
      <c r="N782" s="4"/>
    </row>
    <row r="783" spans="1:14" ht="104" x14ac:dyDescent="0.3">
      <c r="A783" s="1" t="str">
        <f>HYPERLINK("https://ipmanager.doe.gov/IPManager//ExternalLink.aspx?6ibkph2k9yi6F%2B0Vz7YoTipZ798QK%2BbPzQFTRRBEgus%3D","Link")</f>
        <v>Link</v>
      </c>
      <c r="B783" s="2" t="s">
        <v>2685</v>
      </c>
      <c r="C783" s="2" t="s">
        <v>2659</v>
      </c>
      <c r="D783" s="2" t="s">
        <v>1343</v>
      </c>
      <c r="E783" s="2" t="s">
        <v>2686</v>
      </c>
      <c r="F783" s="2"/>
      <c r="G783" s="2" t="s">
        <v>9</v>
      </c>
      <c r="H783" s="7"/>
      <c r="I783" s="2" t="s">
        <v>9</v>
      </c>
      <c r="K783" t="e">
        <v>#N/A</v>
      </c>
      <c r="L783" s="2" t="s">
        <v>8542</v>
      </c>
      <c r="M783" t="s">
        <v>8081</v>
      </c>
      <c r="N783" s="4"/>
    </row>
    <row r="784" spans="1:14" ht="65" x14ac:dyDescent="0.3">
      <c r="A784" s="1" t="str">
        <f>HYPERLINK("https://ipmanager.doe.gov/IPManager//ExternalLink.aspx?6ibkph2k9yi6F%2B0Vz7YoTipZ798QK%2BbPtOIrHsISbB0%3D","Link")</f>
        <v>Link</v>
      </c>
      <c r="B784" s="2" t="s">
        <v>2687</v>
      </c>
      <c r="C784" s="2" t="s">
        <v>2659</v>
      </c>
      <c r="D784" s="2" t="s">
        <v>1343</v>
      </c>
      <c r="E784" s="2" t="s">
        <v>2688</v>
      </c>
      <c r="F784" s="2"/>
      <c r="G784" s="2" t="s">
        <v>9</v>
      </c>
      <c r="H784" s="7"/>
      <c r="I784" s="2" t="s">
        <v>9</v>
      </c>
      <c r="K784" t="e">
        <v>#N/A</v>
      </c>
      <c r="L784" s="2" t="s">
        <v>8542</v>
      </c>
      <c r="M784" t="s">
        <v>8081</v>
      </c>
      <c r="N784" s="4"/>
    </row>
    <row r="785" spans="1:14" ht="39" x14ac:dyDescent="0.3">
      <c r="A785" s="1" t="str">
        <f>HYPERLINK("https://ipmanager.doe.gov/IPManager//ExternalLink.aspx?6ibkph2k9yi6F%2B0Vz7YoTipZ798QK%2BbPB7HDWMc1t3w%3D","Link")</f>
        <v>Link</v>
      </c>
      <c r="B785" s="2" t="s">
        <v>2665</v>
      </c>
      <c r="C785" s="2" t="s">
        <v>2659</v>
      </c>
      <c r="D785" s="2" t="s">
        <v>1343</v>
      </c>
      <c r="E785" s="2" t="s">
        <v>2666</v>
      </c>
      <c r="F785" s="2" t="s">
        <v>2667</v>
      </c>
      <c r="G785" s="2" t="s">
        <v>2668</v>
      </c>
      <c r="H785" s="7"/>
      <c r="I785" s="2" t="s">
        <v>9</v>
      </c>
      <c r="K785" t="e">
        <v>#N/A</v>
      </c>
      <c r="L785" s="2" t="s">
        <v>8542</v>
      </c>
      <c r="M785" t="s">
        <v>8081</v>
      </c>
      <c r="N785" s="4"/>
    </row>
    <row r="786" spans="1:14" ht="104" x14ac:dyDescent="0.3">
      <c r="A786" s="1" t="str">
        <f>HYPERLINK("https://ipmanager.doe.gov/IPManager//ExternalLink.aspx?6ibkph2k9yi6F%2B0Vz7YoTq6RR9BlGHHiHtHKBexTUcg%3D","Link")</f>
        <v>Link</v>
      </c>
      <c r="B786" s="2" t="s">
        <v>2671</v>
      </c>
      <c r="C786" s="2" t="s">
        <v>2659</v>
      </c>
      <c r="D786" s="2" t="s">
        <v>1343</v>
      </c>
      <c r="E786" s="2" t="s">
        <v>2662</v>
      </c>
      <c r="F786" s="2" t="s">
        <v>2672</v>
      </c>
      <c r="G786" s="2" t="s">
        <v>2673</v>
      </c>
      <c r="H786" s="7"/>
      <c r="I786" s="2" t="s">
        <v>9</v>
      </c>
      <c r="J786" t="s">
        <v>2672</v>
      </c>
      <c r="K786" t="s">
        <v>7889</v>
      </c>
      <c r="L786" s="2" t="s">
        <v>8542</v>
      </c>
      <c r="M786" t="s">
        <v>8081</v>
      </c>
      <c r="N786" s="4"/>
    </row>
    <row r="787" spans="1:14" ht="52" x14ac:dyDescent="0.3">
      <c r="A787" s="1" t="str">
        <f>HYPERLINK("https://ipmanager.doe.gov/IPManager//ExternalLink.aspx?6ibkph2k9yi6F%2B0Vz7YoTvPUg%2FVZPl3iAJACeM3uFZM%3D","Link")</f>
        <v>Link</v>
      </c>
      <c r="B787" s="2" t="s">
        <v>2676</v>
      </c>
      <c r="C787" s="2" t="s">
        <v>2659</v>
      </c>
      <c r="D787" s="2" t="s">
        <v>1343</v>
      </c>
      <c r="E787" s="2" t="s">
        <v>2677</v>
      </c>
      <c r="F787" s="2" t="s">
        <v>2678</v>
      </c>
      <c r="G787" s="2" t="s">
        <v>2679</v>
      </c>
      <c r="H787" s="7"/>
      <c r="I787" s="2" t="s">
        <v>9</v>
      </c>
      <c r="J787" t="s">
        <v>2678</v>
      </c>
      <c r="K787" t="s">
        <v>7890</v>
      </c>
      <c r="L787" s="2" t="s">
        <v>8542</v>
      </c>
      <c r="M787" t="s">
        <v>8081</v>
      </c>
      <c r="N787" s="4"/>
    </row>
    <row r="788" spans="1:14" ht="52" x14ac:dyDescent="0.3">
      <c r="A788" s="1" t="str">
        <f>HYPERLINK("https://ipmanager.doe.gov/IPManager//ExternalLink.aspx?6ibkph2k9yi6F%2B0Vz7YoTipZ798QK%2BbPpRCRlOHwEo8%3D","Link")</f>
        <v>Link</v>
      </c>
      <c r="B788" s="2" t="s">
        <v>2676</v>
      </c>
      <c r="C788" s="2" t="s">
        <v>2659</v>
      </c>
      <c r="D788" s="2" t="s">
        <v>1343</v>
      </c>
      <c r="E788" s="2" t="s">
        <v>2677</v>
      </c>
      <c r="F788" s="2" t="s">
        <v>2680</v>
      </c>
      <c r="G788" s="2" t="s">
        <v>2679</v>
      </c>
      <c r="H788" s="7"/>
      <c r="I788" s="2" t="s">
        <v>9</v>
      </c>
      <c r="K788" t="e">
        <v>#N/A</v>
      </c>
      <c r="L788" s="2" t="s">
        <v>8542</v>
      </c>
      <c r="M788" t="s">
        <v>8081</v>
      </c>
      <c r="N788" s="4"/>
    </row>
    <row r="789" spans="1:14" ht="39" x14ac:dyDescent="0.3">
      <c r="A789" s="1" t="str">
        <f>HYPERLINK("https://ipmanager.doe.gov/IPManager//ExternalLink.aspx?6ibkph2k9yi6F%2B0Vz7YoTipZ798QK%2BbPmMXJ1YYKQPE%3D","Link")</f>
        <v>Link</v>
      </c>
      <c r="B789" s="2" t="s">
        <v>2689</v>
      </c>
      <c r="C789" s="2" t="s">
        <v>2690</v>
      </c>
      <c r="D789" s="2" t="s">
        <v>1318</v>
      </c>
      <c r="E789" s="2" t="s">
        <v>2691</v>
      </c>
      <c r="F789" s="2"/>
      <c r="G789" s="2" t="s">
        <v>9</v>
      </c>
      <c r="H789" s="7"/>
      <c r="I789" s="2" t="s">
        <v>9</v>
      </c>
      <c r="K789" t="e">
        <v>#N/A</v>
      </c>
      <c r="L789" s="2" t="s">
        <v>8484</v>
      </c>
      <c r="M789" t="s">
        <v>8082</v>
      </c>
      <c r="N789" s="4"/>
    </row>
    <row r="790" spans="1:14" ht="26" x14ac:dyDescent="0.3">
      <c r="A790" s="1" t="str">
        <f>HYPERLINK("https://ipmanager.doe.gov/IPManager//ExternalLink.aspx?6ibkph2k9yi6F%2B0Vz7YoTipZ798QK%2BbPZYPApChh%2Bc4%3D","Link")</f>
        <v>Link</v>
      </c>
      <c r="B790" s="2" t="s">
        <v>2692</v>
      </c>
      <c r="C790" s="2" t="s">
        <v>2690</v>
      </c>
      <c r="D790" s="2" t="s">
        <v>1318</v>
      </c>
      <c r="E790" s="2" t="s">
        <v>2693</v>
      </c>
      <c r="F790" s="2"/>
      <c r="G790" s="2" t="s">
        <v>9</v>
      </c>
      <c r="H790" s="7"/>
      <c r="I790" s="2" t="s">
        <v>9</v>
      </c>
      <c r="K790" t="e">
        <v>#N/A</v>
      </c>
      <c r="L790" s="2" t="s">
        <v>8484</v>
      </c>
      <c r="M790" t="s">
        <v>8082</v>
      </c>
      <c r="N790" s="4"/>
    </row>
    <row r="791" spans="1:14" ht="52" x14ac:dyDescent="0.3">
      <c r="A791" s="1" t="str">
        <f>HYPERLINK("https://ipmanager.doe.gov/IPManager//ExternalLink.aspx?6ibkph2k9yi6F%2B0Vz7YoTjnDGhmGHGI7Og35UpWDYtU%3D","Link")</f>
        <v>Link</v>
      </c>
      <c r="B791" s="2" t="s">
        <v>2694</v>
      </c>
      <c r="C791" s="2" t="s">
        <v>2690</v>
      </c>
      <c r="D791" s="2" t="s">
        <v>1318</v>
      </c>
      <c r="E791" s="2" t="s">
        <v>2695</v>
      </c>
      <c r="F791" s="2"/>
      <c r="G791" s="2" t="s">
        <v>9</v>
      </c>
      <c r="H791" s="7"/>
      <c r="I791" s="2" t="s">
        <v>9</v>
      </c>
      <c r="K791" t="e">
        <v>#N/A</v>
      </c>
      <c r="L791" s="2" t="s">
        <v>8484</v>
      </c>
      <c r="M791" t="s">
        <v>8082</v>
      </c>
      <c r="N791" s="4"/>
    </row>
    <row r="792" spans="1:14" ht="39" x14ac:dyDescent="0.3">
      <c r="A792" s="1" t="str">
        <f>HYPERLINK("https://ipmanager.doe.gov/IPManager//ExternalLink.aspx?6ibkph2k9yi6F%2B0Vz7YoTjnDGhmGHGI7yOCt8kZf3uY%3D","Link")</f>
        <v>Link</v>
      </c>
      <c r="B792" s="2" t="s">
        <v>2696</v>
      </c>
      <c r="C792" s="2" t="s">
        <v>2697</v>
      </c>
      <c r="D792" s="2" t="s">
        <v>2698</v>
      </c>
      <c r="E792" s="2" t="s">
        <v>2699</v>
      </c>
      <c r="F792" s="2"/>
      <c r="G792" s="2" t="s">
        <v>9</v>
      </c>
      <c r="H792" s="7"/>
      <c r="I792" s="2" t="s">
        <v>9</v>
      </c>
      <c r="K792" t="e">
        <v>#N/A</v>
      </c>
      <c r="L792" s="2" t="s">
        <v>8543</v>
      </c>
      <c r="M792" t="s">
        <v>8083</v>
      </c>
      <c r="N792" s="4"/>
    </row>
    <row r="793" spans="1:14" ht="39" x14ac:dyDescent="0.3">
      <c r="A793" s="1" t="str">
        <f>HYPERLINK("https://ipmanager.doe.gov/IPManager//ExternalLink.aspx?6ibkph2k9yi6F%2B0Vz7YoTr7J5I%2BY4foYg8hJ00Q5q1c%3D","Link")</f>
        <v>Link</v>
      </c>
      <c r="B793" s="2" t="s">
        <v>2700</v>
      </c>
      <c r="C793" s="2" t="s">
        <v>2697</v>
      </c>
      <c r="D793" s="2" t="s">
        <v>2701</v>
      </c>
      <c r="E793" s="2" t="s">
        <v>2702</v>
      </c>
      <c r="F793" s="2"/>
      <c r="G793" s="2" t="s">
        <v>9</v>
      </c>
      <c r="H793" s="7"/>
      <c r="I793" s="2" t="s">
        <v>9</v>
      </c>
      <c r="K793" t="e">
        <v>#N/A</v>
      </c>
      <c r="L793" s="2" t="s">
        <v>8543</v>
      </c>
      <c r="M793" t="s">
        <v>8083</v>
      </c>
      <c r="N793" s="4"/>
    </row>
    <row r="794" spans="1:14" ht="39" x14ac:dyDescent="0.3">
      <c r="A794" s="1" t="str">
        <f>HYPERLINK("https://ipmanager.doe.gov/IPManager//ExternalLink.aspx?6ibkph2k9yi6F%2B0Vz7YoTo7DPLa3%2F%2FGgUkKFucUlpv4%3D","Link")</f>
        <v>Link</v>
      </c>
      <c r="B794" s="2" t="s">
        <v>2703</v>
      </c>
      <c r="C794" s="2" t="s">
        <v>2697</v>
      </c>
      <c r="D794" s="2" t="s">
        <v>2701</v>
      </c>
      <c r="E794" s="2" t="s">
        <v>2704</v>
      </c>
      <c r="F794" s="2"/>
      <c r="G794" s="2" t="s">
        <v>9</v>
      </c>
      <c r="H794" s="7"/>
      <c r="I794" s="2" t="s">
        <v>9</v>
      </c>
      <c r="K794" t="e">
        <v>#N/A</v>
      </c>
      <c r="L794" s="2" t="s">
        <v>8543</v>
      </c>
      <c r="M794" t="s">
        <v>8083</v>
      </c>
      <c r="N794" s="4"/>
    </row>
    <row r="795" spans="1:14" ht="117" x14ac:dyDescent="0.3">
      <c r="A795" s="1" t="str">
        <f>HYPERLINK("https://ipmanager.doe.gov/IPManager//ExternalLink.aspx?6ibkph2k9yi6F%2B0Vz7YoTvPUg%2FVZPl3i2e%2BPFqUsBUY%3D","Link")</f>
        <v>Link</v>
      </c>
      <c r="B795" s="2" t="s">
        <v>2705</v>
      </c>
      <c r="C795" s="2" t="s">
        <v>2697</v>
      </c>
      <c r="D795" s="2" t="s">
        <v>2701</v>
      </c>
      <c r="E795" s="2" t="s">
        <v>2706</v>
      </c>
      <c r="F795" s="2"/>
      <c r="G795" s="2" t="s">
        <v>9</v>
      </c>
      <c r="H795" s="7"/>
      <c r="I795" s="2" t="s">
        <v>9</v>
      </c>
      <c r="K795" t="e">
        <v>#N/A</v>
      </c>
      <c r="L795" s="2" t="s">
        <v>8543</v>
      </c>
      <c r="M795" t="s">
        <v>8083</v>
      </c>
      <c r="N795" s="4"/>
    </row>
    <row r="796" spans="1:14" ht="26" x14ac:dyDescent="0.3">
      <c r="A796" s="1" t="str">
        <f>HYPERLINK("https://ipmanager.doe.gov/IPManager//ExternalLink.aspx?6ibkph2k9yi6F%2B0Vz7YoTvPUg%2FVZPl3i4qFOUXbOHPs%3D","Link")</f>
        <v>Link</v>
      </c>
      <c r="B796" s="2" t="s">
        <v>2707</v>
      </c>
      <c r="C796" s="2" t="s">
        <v>2697</v>
      </c>
      <c r="D796" s="2" t="s">
        <v>1064</v>
      </c>
      <c r="E796" s="2" t="s">
        <v>2708</v>
      </c>
      <c r="F796" s="2"/>
      <c r="G796" s="2" t="s">
        <v>9</v>
      </c>
      <c r="H796" s="7"/>
      <c r="I796" s="2" t="s">
        <v>9</v>
      </c>
      <c r="K796" t="e">
        <v>#N/A</v>
      </c>
      <c r="L796" s="2" t="s">
        <v>8543</v>
      </c>
      <c r="M796" t="s">
        <v>8083</v>
      </c>
      <c r="N796" s="4"/>
    </row>
    <row r="797" spans="1:14" ht="52" x14ac:dyDescent="0.3">
      <c r="A797" s="1" t="str">
        <f>HYPERLINK("https://ipmanager.doe.gov/IPManager//ExternalLink.aspx?6ibkph2k9yi6F%2B0Vz7YoTgZwfmYxrNyK2lJhltbO9uA%3D","Link")</f>
        <v>Link</v>
      </c>
      <c r="B797" s="2" t="s">
        <v>2709</v>
      </c>
      <c r="C797" s="2" t="s">
        <v>2697</v>
      </c>
      <c r="D797" s="2" t="s">
        <v>12</v>
      </c>
      <c r="E797" s="2" t="s">
        <v>2710</v>
      </c>
      <c r="F797" s="2"/>
      <c r="G797" s="2" t="s">
        <v>9</v>
      </c>
      <c r="H797" s="7"/>
      <c r="I797" s="2" t="s">
        <v>9</v>
      </c>
      <c r="K797" t="e">
        <v>#N/A</v>
      </c>
      <c r="L797" s="2" t="s">
        <v>8543</v>
      </c>
      <c r="M797" t="s">
        <v>8083</v>
      </c>
      <c r="N797" s="4"/>
    </row>
    <row r="798" spans="1:14" ht="39" x14ac:dyDescent="0.3">
      <c r="A798" s="1" t="str">
        <f>HYPERLINK("https://ipmanager.doe.gov/IPManager//ExternalLink.aspx?6ibkph2k9yi6F%2B0Vz7YoTvPUg%2FVZPl3i1pDQXA9RZ7Q%3D","Link")</f>
        <v>Link</v>
      </c>
      <c r="B798" s="2" t="s">
        <v>2714</v>
      </c>
      <c r="C798" s="2" t="s">
        <v>2697</v>
      </c>
      <c r="D798" s="2" t="s">
        <v>1064</v>
      </c>
      <c r="E798" s="2" t="s">
        <v>2708</v>
      </c>
      <c r="F798" s="2" t="s">
        <v>2715</v>
      </c>
      <c r="G798" s="2" t="s">
        <v>2449</v>
      </c>
      <c r="H798" s="7">
        <v>10240163</v>
      </c>
      <c r="I798" s="2" t="s">
        <v>2716</v>
      </c>
      <c r="J798" t="s">
        <v>7574</v>
      </c>
      <c r="K798" t="s">
        <v>7891</v>
      </c>
      <c r="L798" s="2" t="s">
        <v>8543</v>
      </c>
      <c r="M798" t="s">
        <v>8083</v>
      </c>
      <c r="N798" s="5" t="s">
        <v>7526</v>
      </c>
    </row>
    <row r="799" spans="1:14" ht="52" x14ac:dyDescent="0.3">
      <c r="A799" s="1" t="str">
        <f>HYPERLINK("https://ipmanager.doe.gov/IPManager//ExternalLink.aspx?6ibkph2k9yi6F%2B0Vz7YoTvPUg%2FVZPl3i2wrXiQ398Z8%3D","Link")</f>
        <v>Link</v>
      </c>
      <c r="B799" s="2" t="s">
        <v>2709</v>
      </c>
      <c r="C799" s="2" t="s">
        <v>2697</v>
      </c>
      <c r="D799" s="2" t="s">
        <v>12</v>
      </c>
      <c r="E799" s="2" t="s">
        <v>2710</v>
      </c>
      <c r="F799" s="2" t="s">
        <v>2711</v>
      </c>
      <c r="G799" s="2" t="s">
        <v>2276</v>
      </c>
      <c r="H799" s="7"/>
      <c r="I799" s="2" t="s">
        <v>9</v>
      </c>
      <c r="J799" t="s">
        <v>2711</v>
      </c>
      <c r="K799" t="s">
        <v>7718</v>
      </c>
      <c r="L799" s="2" t="s">
        <v>8543</v>
      </c>
      <c r="M799" t="s">
        <v>8083</v>
      </c>
      <c r="N799" s="4"/>
    </row>
    <row r="800" spans="1:14" ht="52" x14ac:dyDescent="0.3">
      <c r="A800" s="1" t="str">
        <f>HYPERLINK("https://ipmanager.doe.gov/IPManager//ExternalLink.aspx?6ibkph2k9yi6F%2B0Vz7YoTvPUg%2FVZPl3iRWhwhPAiGPQ%3D","Link")</f>
        <v>Link</v>
      </c>
      <c r="B800" s="2" t="s">
        <v>2717</v>
      </c>
      <c r="C800" s="2" t="s">
        <v>2697</v>
      </c>
      <c r="D800" s="2" t="s">
        <v>12</v>
      </c>
      <c r="E800" s="2" t="s">
        <v>2710</v>
      </c>
      <c r="F800" s="2" t="s">
        <v>2713</v>
      </c>
      <c r="G800" s="2" t="s">
        <v>2718</v>
      </c>
      <c r="H800" s="7"/>
      <c r="I800" s="2" t="s">
        <v>9</v>
      </c>
      <c r="K800" t="e">
        <v>#N/A</v>
      </c>
      <c r="L800" s="2" t="s">
        <v>8543</v>
      </c>
      <c r="M800" t="s">
        <v>8083</v>
      </c>
      <c r="N800" s="4"/>
    </row>
    <row r="801" spans="1:14" ht="52" x14ac:dyDescent="0.3">
      <c r="A801" s="1" t="str">
        <f>HYPERLINK("https://ipmanager.doe.gov/IPManager//ExternalLink.aspx?6ibkph2k9yi6F%2B0Vz7YoTsTAnuFk5EoAMXWvs6j4%2BTY%3D","Link")</f>
        <v>Link</v>
      </c>
      <c r="B801" s="2" t="s">
        <v>2719</v>
      </c>
      <c r="C801" s="2" t="s">
        <v>2720</v>
      </c>
      <c r="D801" s="2" t="s">
        <v>1188</v>
      </c>
      <c r="E801" s="2" t="s">
        <v>2721</v>
      </c>
      <c r="F801" s="2" t="s">
        <v>2722</v>
      </c>
      <c r="G801" s="2" t="s">
        <v>2723</v>
      </c>
      <c r="H801" s="7">
        <v>10106826</v>
      </c>
      <c r="I801" s="2" t="s">
        <v>2724</v>
      </c>
      <c r="J801" t="s">
        <v>7575</v>
      </c>
      <c r="K801" t="s">
        <v>7892</v>
      </c>
      <c r="L801" s="2" t="s">
        <v>8544</v>
      </c>
      <c r="M801" t="s">
        <v>8084</v>
      </c>
    </row>
    <row r="802" spans="1:14" ht="65" x14ac:dyDescent="0.3">
      <c r="A802" s="1" t="str">
        <f>HYPERLINK("https://ipmanager.doe.gov/IPManager//ExternalLink.aspx?6ibkph2k9yi6F%2B0Vz7YoTipZ798QK%2BbP1RQ8J5adr%2Bk%3D","Link")</f>
        <v>Link</v>
      </c>
      <c r="B802" s="2" t="s">
        <v>2729</v>
      </c>
      <c r="C802" s="2" t="s">
        <v>2720</v>
      </c>
      <c r="D802" s="2" t="s">
        <v>2726</v>
      </c>
      <c r="E802" s="2" t="s">
        <v>2730</v>
      </c>
      <c r="F802" s="2"/>
      <c r="G802" s="2" t="s">
        <v>9</v>
      </c>
      <c r="H802" s="7"/>
      <c r="I802" s="2" t="s">
        <v>9</v>
      </c>
      <c r="K802" t="e">
        <v>#N/A</v>
      </c>
      <c r="L802" s="2" t="s">
        <v>8544</v>
      </c>
      <c r="M802" t="s">
        <v>8084</v>
      </c>
      <c r="N802" s="4"/>
    </row>
    <row r="803" spans="1:14" ht="65" x14ac:dyDescent="0.3">
      <c r="A803" s="1" t="str">
        <f>HYPERLINK("https://ipmanager.doe.gov/IPManager//ExternalLink.aspx?6ibkph2k9yi6F%2B0Vz7YoTr7J5I%2BY4foYm5Y7Of7OBOg%3D","Link")</f>
        <v>Link</v>
      </c>
      <c r="B803" s="2" t="s">
        <v>2725</v>
      </c>
      <c r="C803" s="2" t="s">
        <v>2720</v>
      </c>
      <c r="D803" s="2" t="s">
        <v>2726</v>
      </c>
      <c r="E803" s="2" t="s">
        <v>2727</v>
      </c>
      <c r="F803" s="2" t="s">
        <v>2728</v>
      </c>
      <c r="G803" s="2" t="s">
        <v>1512</v>
      </c>
      <c r="H803" s="7"/>
      <c r="I803" s="2" t="s">
        <v>9</v>
      </c>
      <c r="K803" t="e">
        <v>#N/A</v>
      </c>
      <c r="L803" s="2" t="s">
        <v>8544</v>
      </c>
      <c r="M803" t="s">
        <v>8084</v>
      </c>
      <c r="N803" s="4"/>
    </row>
    <row r="804" spans="1:14" ht="65" x14ac:dyDescent="0.3">
      <c r="A804" s="1" t="str">
        <f>HYPERLINK("https://ipmanager.doe.gov/IPManager//ExternalLink.aspx?6ibkph2k9yi6F%2B0Vz7YoTr7J5I%2BY4foYVIdr8VJqses%3D","Link")</f>
        <v>Link</v>
      </c>
      <c r="B804" s="2" t="s">
        <v>2731</v>
      </c>
      <c r="C804" s="2" t="s">
        <v>2720</v>
      </c>
      <c r="D804" s="2" t="s">
        <v>2726</v>
      </c>
      <c r="E804" s="2" t="s">
        <v>2727</v>
      </c>
      <c r="F804" s="2" t="s">
        <v>2732</v>
      </c>
      <c r="G804" s="2" t="s">
        <v>2579</v>
      </c>
      <c r="H804" s="7"/>
      <c r="I804" s="2" t="s">
        <v>9</v>
      </c>
      <c r="J804" t="s">
        <v>2732</v>
      </c>
      <c r="K804" t="s">
        <v>7738</v>
      </c>
      <c r="L804" s="2" t="s">
        <v>8544</v>
      </c>
      <c r="M804" t="s">
        <v>8084</v>
      </c>
      <c r="N804" s="4"/>
    </row>
    <row r="805" spans="1:14" ht="26" x14ac:dyDescent="0.3">
      <c r="A805" s="1" t="str">
        <f>HYPERLINK("https://ipmanager.doe.gov/IPManager//ExternalLink.aspx?6ibkph2k9yi6F%2B0Vz7YoTp68px7nSN2gZsoCXDVq6Vg%3D","Link")</f>
        <v>Link</v>
      </c>
      <c r="B805" s="2" t="s">
        <v>2733</v>
      </c>
      <c r="C805" s="2" t="s">
        <v>2734</v>
      </c>
      <c r="D805" s="2" t="s">
        <v>1415</v>
      </c>
      <c r="E805" s="2" t="s">
        <v>2735</v>
      </c>
      <c r="F805" s="2" t="s">
        <v>2736</v>
      </c>
      <c r="G805" s="2" t="s">
        <v>2737</v>
      </c>
      <c r="H805" s="2"/>
      <c r="I805" s="2" t="s">
        <v>9</v>
      </c>
      <c r="J805" t="s">
        <v>2278</v>
      </c>
      <c r="K805" t="s">
        <v>7864</v>
      </c>
      <c r="L805" s="2" t="s">
        <v>8420</v>
      </c>
      <c r="M805" t="s">
        <v>8422</v>
      </c>
      <c r="N805" s="4"/>
    </row>
    <row r="806" spans="1:14" ht="39" x14ac:dyDescent="0.3">
      <c r="A806" s="1" t="str">
        <f>HYPERLINK("https://ipmanager.doe.gov/IPManager//ExternalLink.aspx?6ibkph2k9yi6F%2B0Vz7YoThEBhkR3uHVrgFJZXfWhke0%3D","Link")</f>
        <v>Link</v>
      </c>
      <c r="B806" s="2" t="s">
        <v>2738</v>
      </c>
      <c r="C806" s="2" t="s">
        <v>2734</v>
      </c>
      <c r="D806" s="2" t="s">
        <v>1415</v>
      </c>
      <c r="E806" s="2" t="s">
        <v>2739</v>
      </c>
      <c r="F806" s="2" t="s">
        <v>2740</v>
      </c>
      <c r="G806" s="2" t="s">
        <v>2741</v>
      </c>
      <c r="H806" s="2"/>
      <c r="I806" s="2" t="s">
        <v>9</v>
      </c>
      <c r="J806" t="s">
        <v>2740</v>
      </c>
      <c r="K806" t="s">
        <v>7893</v>
      </c>
      <c r="L806" s="2" t="s">
        <v>8420</v>
      </c>
      <c r="M806" t="s">
        <v>8422</v>
      </c>
      <c r="N806" s="4"/>
    </row>
    <row r="807" spans="1:14" ht="26" x14ac:dyDescent="0.3">
      <c r="A807" s="1" t="str">
        <f>HYPERLINK("https://ipmanager.doe.gov/IPManager//ExternalLink.aspx?6ibkph2k9yi6F%2B0Vz7YoTsTAnuFk5EoADMX9sLajXyA%3D","Link")</f>
        <v>Link</v>
      </c>
      <c r="B807" s="2" t="s">
        <v>2743</v>
      </c>
      <c r="C807" s="2" t="s">
        <v>2734</v>
      </c>
      <c r="D807" s="2" t="s">
        <v>1415</v>
      </c>
      <c r="E807" s="2" t="s">
        <v>2735</v>
      </c>
      <c r="F807" s="2" t="s">
        <v>2744</v>
      </c>
      <c r="G807" s="2" t="s">
        <v>2737</v>
      </c>
      <c r="H807" s="2"/>
      <c r="I807" s="2" t="s">
        <v>9</v>
      </c>
      <c r="J807" t="s">
        <v>2744</v>
      </c>
      <c r="K807" t="s">
        <v>7688</v>
      </c>
      <c r="L807" s="2" t="s">
        <v>8420</v>
      </c>
      <c r="M807" t="s">
        <v>8422</v>
      </c>
      <c r="N807" s="4"/>
    </row>
    <row r="808" spans="1:14" ht="39" x14ac:dyDescent="0.3">
      <c r="A808" s="1" t="str">
        <f>HYPERLINK("https://ipmanager.doe.gov/IPManager//ExternalLink.aspx?6ibkph2k9yi6F%2B0Vz7YoTnXVN2REjGcWBun6NgAAqhE%3D","Link")</f>
        <v>Link</v>
      </c>
      <c r="B808" s="2" t="s">
        <v>2745</v>
      </c>
      <c r="C808" s="2" t="s">
        <v>2734</v>
      </c>
      <c r="D808" s="2" t="s">
        <v>1415</v>
      </c>
      <c r="E808" s="2" t="s">
        <v>2739</v>
      </c>
      <c r="F808" s="2" t="s">
        <v>2742</v>
      </c>
      <c r="G808" s="2" t="s">
        <v>2746</v>
      </c>
      <c r="H808" s="2"/>
      <c r="I808" s="2" t="s">
        <v>9</v>
      </c>
      <c r="J808" t="s">
        <v>3860</v>
      </c>
      <c r="K808" t="s">
        <v>7894</v>
      </c>
      <c r="L808" s="2" t="s">
        <v>8420</v>
      </c>
      <c r="M808" t="s">
        <v>8422</v>
      </c>
      <c r="N808" s="4"/>
    </row>
    <row r="809" spans="1:14" ht="26" x14ac:dyDescent="0.3">
      <c r="A809" s="1" t="str">
        <f>HYPERLINK("https://ipmanager.doe.gov/IPManager//ExternalLink.aspx?6ibkph2k9yi6F%2B0Vz7YoTq6RR9BlGHHisx%2B%2B%2FNigKq0%3D","Link")</f>
        <v>Link</v>
      </c>
      <c r="B809" s="2" t="s">
        <v>2747</v>
      </c>
      <c r="C809" s="2" t="s">
        <v>2734</v>
      </c>
      <c r="D809" s="2" t="s">
        <v>1415</v>
      </c>
      <c r="E809" s="2" t="s">
        <v>2748</v>
      </c>
      <c r="F809" s="2"/>
      <c r="G809" s="2" t="s">
        <v>9</v>
      </c>
      <c r="H809" s="7"/>
      <c r="I809" s="2" t="s">
        <v>9</v>
      </c>
      <c r="K809" t="e">
        <v>#N/A</v>
      </c>
      <c r="L809" s="2" t="s">
        <v>8420</v>
      </c>
      <c r="M809" t="s">
        <v>8422</v>
      </c>
      <c r="N809" s="4"/>
    </row>
    <row r="810" spans="1:14" ht="52" x14ac:dyDescent="0.3">
      <c r="A810" s="1" t="str">
        <f>HYPERLINK("https://ipmanager.doe.gov/IPManager//ExternalLink.aspx?6ibkph2k9yi6F%2B0Vz7YoTjnDGhmGHGI71yMN4HTMkOw%3D","Link")</f>
        <v>Link</v>
      </c>
      <c r="B810" s="2" t="s">
        <v>2770</v>
      </c>
      <c r="C810" s="2" t="s">
        <v>2750</v>
      </c>
      <c r="D810" s="2" t="s">
        <v>2771</v>
      </c>
      <c r="E810" s="2" t="s">
        <v>2772</v>
      </c>
      <c r="F810" s="2" t="s">
        <v>2773</v>
      </c>
      <c r="G810" s="2" t="s">
        <v>242</v>
      </c>
      <c r="H810" s="2"/>
      <c r="I810" s="2" t="s">
        <v>9</v>
      </c>
      <c r="K810" t="e">
        <v>#N/A</v>
      </c>
      <c r="L810" s="2" t="s">
        <v>8545</v>
      </c>
      <c r="M810" t="s">
        <v>8085</v>
      </c>
      <c r="N810" s="4"/>
    </row>
    <row r="811" spans="1:14" ht="65" x14ac:dyDescent="0.3">
      <c r="A811" s="1" t="str">
        <f>HYPERLINK("https://ipmanager.doe.gov/IPManager//ExternalLink.aspx?6ibkph2k9yi6F%2B0Vz7YoTjnDGhmGHGI7Ew6q1V9mF5o%3D","Link")</f>
        <v>Link</v>
      </c>
      <c r="B811" s="2" t="s">
        <v>2749</v>
      </c>
      <c r="C811" s="2" t="s">
        <v>2750</v>
      </c>
      <c r="D811" s="2" t="s">
        <v>2751</v>
      </c>
      <c r="E811" s="2" t="s">
        <v>2752</v>
      </c>
      <c r="F811" s="2" t="s">
        <v>2753</v>
      </c>
      <c r="G811" s="2" t="s">
        <v>2754</v>
      </c>
      <c r="H811" s="7"/>
      <c r="I811" s="2" t="s">
        <v>9</v>
      </c>
      <c r="J811" t="s">
        <v>7540</v>
      </c>
      <c r="K811" t="s">
        <v>7895</v>
      </c>
      <c r="L811" s="2" t="s">
        <v>8545</v>
      </c>
      <c r="M811" t="s">
        <v>8085</v>
      </c>
      <c r="N811" s="4"/>
    </row>
    <row r="812" spans="1:14" ht="52" x14ac:dyDescent="0.3">
      <c r="A812" s="1" t="str">
        <f>HYPERLINK("https://ipmanager.doe.gov/IPManager//ExternalLink.aspx?6ibkph2k9yi6F%2B0Vz7YoTr7J5I%2BY4foYKClyFQvisWk%3D","Link")</f>
        <v>Link</v>
      </c>
      <c r="B812" s="2" t="s">
        <v>2755</v>
      </c>
      <c r="C812" s="2" t="s">
        <v>2750</v>
      </c>
      <c r="D812" s="2" t="s">
        <v>1663</v>
      </c>
      <c r="E812" s="2" t="s">
        <v>2756</v>
      </c>
      <c r="F812" s="2"/>
      <c r="G812" s="2" t="s">
        <v>9</v>
      </c>
      <c r="H812" s="7"/>
      <c r="I812" s="2" t="s">
        <v>9</v>
      </c>
      <c r="K812" t="e">
        <v>#N/A</v>
      </c>
      <c r="L812" s="2" t="s">
        <v>8545</v>
      </c>
      <c r="M812" t="s">
        <v>8085</v>
      </c>
      <c r="N812" s="4"/>
    </row>
    <row r="813" spans="1:14" ht="52" x14ac:dyDescent="0.3">
      <c r="A813" s="1" t="str">
        <f>HYPERLINK("https://ipmanager.doe.gov/IPManager//ExternalLink.aspx?6ibkph2k9yi6F%2B0Vz7YoTr7J5I%2BY4foY9xtKNXGDf%2FI%3D","Link")</f>
        <v>Link</v>
      </c>
      <c r="B813" s="2" t="s">
        <v>2757</v>
      </c>
      <c r="C813" s="2" t="s">
        <v>2750</v>
      </c>
      <c r="D813" s="2" t="s">
        <v>2758</v>
      </c>
      <c r="E813" s="2" t="s">
        <v>2759</v>
      </c>
      <c r="F813" s="2"/>
      <c r="G813" s="2" t="s">
        <v>9</v>
      </c>
      <c r="H813" s="7"/>
      <c r="I813" s="2" t="s">
        <v>9</v>
      </c>
      <c r="K813" t="e">
        <v>#N/A</v>
      </c>
      <c r="L813" s="2" t="s">
        <v>8545</v>
      </c>
      <c r="M813" t="s">
        <v>8085</v>
      </c>
      <c r="N813" s="4"/>
    </row>
    <row r="814" spans="1:14" ht="39" x14ac:dyDescent="0.3">
      <c r="A814" s="1" t="str">
        <f>HYPERLINK("https://ipmanager.doe.gov/IPManager//ExternalLink.aspx?6ibkph2k9yi6F%2B0Vz7YoTipZ798QK%2BbPckVFXQxUTok%3D","Link")</f>
        <v>Link</v>
      </c>
      <c r="B814" s="2" t="s">
        <v>2760</v>
      </c>
      <c r="C814" s="2" t="s">
        <v>2750</v>
      </c>
      <c r="D814" s="2" t="s">
        <v>1415</v>
      </c>
      <c r="E814" s="2" t="s">
        <v>2761</v>
      </c>
      <c r="F814" s="2"/>
      <c r="G814" s="2" t="s">
        <v>9</v>
      </c>
      <c r="H814" s="7"/>
      <c r="I814" s="2" t="s">
        <v>9</v>
      </c>
      <c r="K814" t="e">
        <v>#N/A</v>
      </c>
      <c r="L814" s="2" t="s">
        <v>8545</v>
      </c>
      <c r="M814" t="s">
        <v>8085</v>
      </c>
      <c r="N814" s="4"/>
    </row>
    <row r="815" spans="1:14" ht="52" x14ac:dyDescent="0.3">
      <c r="A815" s="1" t="str">
        <f>HYPERLINK("https://ipmanager.doe.gov/IPManager//ExternalLink.aspx?6ibkph2k9yi6F%2B0Vz7YoTk2BI6w%2FjZ2fxC14WG6esz8%3D","Link")</f>
        <v>Link</v>
      </c>
      <c r="B815" s="2" t="s">
        <v>2762</v>
      </c>
      <c r="C815" s="2" t="s">
        <v>2750</v>
      </c>
      <c r="D815" s="2" t="s">
        <v>2758</v>
      </c>
      <c r="E815" s="2" t="s">
        <v>2763</v>
      </c>
      <c r="F815" s="2"/>
      <c r="G815" s="2" t="s">
        <v>9</v>
      </c>
      <c r="H815" s="7"/>
      <c r="I815" s="2" t="s">
        <v>9</v>
      </c>
      <c r="K815" t="e">
        <v>#N/A</v>
      </c>
      <c r="L815" s="2" t="s">
        <v>8545</v>
      </c>
      <c r="M815" t="s">
        <v>8085</v>
      </c>
      <c r="N815" s="4"/>
    </row>
    <row r="816" spans="1:14" ht="65" x14ac:dyDescent="0.3">
      <c r="A816" s="1" t="str">
        <f>HYPERLINK("https://ipmanager.doe.gov/IPManager//ExternalLink.aspx?6ibkph2k9yi6F%2B0Vz7YoTk2BI6w%2FjZ2fwLspEuzuFHY%3D","Link")</f>
        <v>Link</v>
      </c>
      <c r="B816" s="2" t="s">
        <v>2764</v>
      </c>
      <c r="C816" s="2" t="s">
        <v>2750</v>
      </c>
      <c r="D816" s="2" t="s">
        <v>1415</v>
      </c>
      <c r="E816" s="2" t="s">
        <v>2765</v>
      </c>
      <c r="F816" s="2"/>
      <c r="G816" s="2" t="s">
        <v>9</v>
      </c>
      <c r="H816" s="7"/>
      <c r="I816" s="2" t="s">
        <v>9</v>
      </c>
      <c r="K816" t="e">
        <v>#N/A</v>
      </c>
      <c r="L816" s="2" t="s">
        <v>8545</v>
      </c>
      <c r="M816" t="s">
        <v>8085</v>
      </c>
      <c r="N816" s="4"/>
    </row>
    <row r="817" spans="1:14" ht="65" x14ac:dyDescent="0.3">
      <c r="A817" s="1" t="str">
        <f>HYPERLINK("https://ipmanager.doe.gov/IPManager//ExternalLink.aspx?6ibkph2k9yi6F%2B0Vz7YoTr7J5I%2BY4foY8Oa3RAyYT1E%3D","Link")</f>
        <v>Link</v>
      </c>
      <c r="B817" s="2" t="s">
        <v>2775</v>
      </c>
      <c r="C817" s="2" t="s">
        <v>2750</v>
      </c>
      <c r="D817" s="2" t="s">
        <v>1663</v>
      </c>
      <c r="E817" s="2" t="s">
        <v>2776</v>
      </c>
      <c r="F817" s="2"/>
      <c r="G817" s="2" t="s">
        <v>9</v>
      </c>
      <c r="H817" s="7"/>
      <c r="I817" s="2" t="s">
        <v>9</v>
      </c>
      <c r="K817" t="e">
        <v>#N/A</v>
      </c>
      <c r="L817" s="2" t="s">
        <v>8545</v>
      </c>
      <c r="M817" t="s">
        <v>8085</v>
      </c>
      <c r="N817" s="4"/>
    </row>
    <row r="818" spans="1:14" ht="26" x14ac:dyDescent="0.3">
      <c r="A818" s="1" t="str">
        <f>HYPERLINK("https://ipmanager.doe.gov/IPManager//ExternalLink.aspx?6ibkph2k9yi6F%2B0Vz7YoTvE8yjoHgvp6e8lXK97KbFE%3D","Link")</f>
        <v>Link</v>
      </c>
      <c r="B818" s="2" t="s">
        <v>2781</v>
      </c>
      <c r="C818" s="2" t="s">
        <v>2750</v>
      </c>
      <c r="D818" s="2" t="s">
        <v>2758</v>
      </c>
      <c r="E818" s="2" t="s">
        <v>2782</v>
      </c>
      <c r="F818" s="2" t="s">
        <v>2783</v>
      </c>
      <c r="G818" s="2" t="s">
        <v>2784</v>
      </c>
      <c r="H818" s="7">
        <v>9394503</v>
      </c>
      <c r="I818" s="2" t="s">
        <v>1067</v>
      </c>
      <c r="J818" t="s">
        <v>7576</v>
      </c>
      <c r="K818" t="s">
        <v>7896</v>
      </c>
      <c r="L818" s="2" t="s">
        <v>8545</v>
      </c>
      <c r="M818" t="s">
        <v>8085</v>
      </c>
    </row>
    <row r="819" spans="1:14" ht="52" x14ac:dyDescent="0.3">
      <c r="A819" s="1" t="str">
        <f>HYPERLINK("https://ipmanager.doe.gov/IPManager//ExternalLink.aspx?6ibkph2k9yi6F%2B0Vz7YoTgZwfmYxrNyKUfbH2ehXf5w%3D","Link")</f>
        <v>Link</v>
      </c>
      <c r="B819" s="2" t="s">
        <v>2766</v>
      </c>
      <c r="C819" s="2" t="s">
        <v>2750</v>
      </c>
      <c r="D819" s="2" t="s">
        <v>2758</v>
      </c>
      <c r="E819" s="2" t="s">
        <v>2767</v>
      </c>
      <c r="F819" s="2" t="s">
        <v>2768</v>
      </c>
      <c r="G819" s="2" t="s">
        <v>2769</v>
      </c>
      <c r="H819" s="7"/>
      <c r="I819" s="2" t="s">
        <v>9</v>
      </c>
      <c r="K819" t="e">
        <v>#N/A</v>
      </c>
      <c r="L819" s="2" t="s">
        <v>8545</v>
      </c>
      <c r="M819" t="s">
        <v>8085</v>
      </c>
      <c r="N819" s="4"/>
    </row>
    <row r="820" spans="1:14" ht="78" x14ac:dyDescent="0.3">
      <c r="A820" s="1" t="str">
        <f>HYPERLINK("https://ipmanager.doe.gov/IPManager//ExternalLink.aspx?6ibkph2k9yi6F%2B0Vz7YoTjnDGhmGHGI7JTJTqPiyzvo%3D","Link")</f>
        <v>Link</v>
      </c>
      <c r="B820" s="2" t="s">
        <v>2777</v>
      </c>
      <c r="C820" s="2" t="s">
        <v>2750</v>
      </c>
      <c r="D820" s="2" t="s">
        <v>2758</v>
      </c>
      <c r="E820" s="2" t="s">
        <v>2778</v>
      </c>
      <c r="F820" s="2" t="s">
        <v>2779</v>
      </c>
      <c r="G820" s="2" t="s">
        <v>2780</v>
      </c>
      <c r="H820" s="7"/>
      <c r="I820" s="2" t="s">
        <v>9</v>
      </c>
      <c r="K820" t="e">
        <v>#N/A</v>
      </c>
      <c r="L820" s="2" t="s">
        <v>8545</v>
      </c>
      <c r="M820" t="s">
        <v>8085</v>
      </c>
      <c r="N820" s="4"/>
    </row>
    <row r="821" spans="1:14" ht="39" x14ac:dyDescent="0.3">
      <c r="A821" s="1" t="str">
        <f>HYPERLINK("https://ipmanager.doe.gov/IPManager//ExternalLink.aspx?6ibkph2k9yi6F%2B0Vz7YoTnXVN2REjGcWRsMlga2yWx0%3D","Link")</f>
        <v>Link</v>
      </c>
      <c r="B821" s="2" t="s">
        <v>2802</v>
      </c>
      <c r="C821" s="2" t="s">
        <v>2786</v>
      </c>
      <c r="D821" s="2" t="s">
        <v>1246</v>
      </c>
      <c r="E821" s="2" t="s">
        <v>2803</v>
      </c>
      <c r="F821" s="2"/>
      <c r="G821" s="2" t="s">
        <v>9</v>
      </c>
      <c r="H821" s="7"/>
      <c r="I821" s="2" t="s">
        <v>9</v>
      </c>
      <c r="K821" t="e">
        <v>#N/A</v>
      </c>
      <c r="L821" s="2" t="s">
        <v>8546</v>
      </c>
      <c r="M821" t="s">
        <v>8086</v>
      </c>
      <c r="N821" s="4"/>
    </row>
    <row r="822" spans="1:14" ht="65" x14ac:dyDescent="0.3">
      <c r="A822" s="1" t="str">
        <f>HYPERLINK("https://ipmanager.doe.gov/IPManager//ExternalLink.aspx?6ibkph2k9yi6F%2B0Vz7YoTnXVN2REjGcWAeWEV8744FU%3D","Link")</f>
        <v>Link</v>
      </c>
      <c r="B822" s="2" t="s">
        <v>2816</v>
      </c>
      <c r="C822" s="2" t="s">
        <v>2786</v>
      </c>
      <c r="D822" s="2" t="s">
        <v>154</v>
      </c>
      <c r="E822" s="2" t="s">
        <v>2817</v>
      </c>
      <c r="F822" s="2"/>
      <c r="G822" s="2" t="s">
        <v>9</v>
      </c>
      <c r="H822" s="7"/>
      <c r="I822" s="2" t="s">
        <v>9</v>
      </c>
      <c r="K822" t="e">
        <v>#N/A</v>
      </c>
      <c r="L822" s="2" t="s">
        <v>8546</v>
      </c>
      <c r="M822" t="s">
        <v>8086</v>
      </c>
      <c r="N822" s="4"/>
    </row>
    <row r="823" spans="1:14" ht="39" x14ac:dyDescent="0.3">
      <c r="A823" s="1" t="str">
        <f>HYPERLINK("https://ipmanager.doe.gov/IPManager//ExternalLink.aspx?6ibkph2k9yi6F%2B0Vz7YoTipZ798QK%2BbPzYmjXks2iFU%3D","Link")</f>
        <v>Link</v>
      </c>
      <c r="B823" s="2" t="s">
        <v>2818</v>
      </c>
      <c r="C823" s="2" t="s">
        <v>2786</v>
      </c>
      <c r="D823" s="2" t="s">
        <v>154</v>
      </c>
      <c r="E823" s="2" t="s">
        <v>2787</v>
      </c>
      <c r="F823" s="2"/>
      <c r="G823" s="2" t="s">
        <v>9</v>
      </c>
      <c r="H823" s="7"/>
      <c r="I823" s="2" t="s">
        <v>9</v>
      </c>
      <c r="K823" t="e">
        <v>#N/A</v>
      </c>
      <c r="L823" s="2" t="s">
        <v>8546</v>
      </c>
      <c r="M823" t="s">
        <v>8086</v>
      </c>
      <c r="N823" s="4"/>
    </row>
    <row r="824" spans="1:14" ht="52" x14ac:dyDescent="0.3">
      <c r="A824" s="1" t="str">
        <f>HYPERLINK("https://ipmanager.doe.gov/IPManager//ExternalLink.aspx?6ibkph2k9yi6F%2B0Vz7YoTgZwfmYxrNyKj1ZZ%2BStrwPk%3D","Link")</f>
        <v>Link</v>
      </c>
      <c r="B824" s="2" t="s">
        <v>2819</v>
      </c>
      <c r="C824" s="2" t="s">
        <v>2786</v>
      </c>
      <c r="D824" s="2" t="s">
        <v>154</v>
      </c>
      <c r="E824" s="2" t="s">
        <v>2820</v>
      </c>
      <c r="F824" s="2"/>
      <c r="G824" s="2" t="s">
        <v>9</v>
      </c>
      <c r="H824" s="7"/>
      <c r="I824" s="2" t="s">
        <v>9</v>
      </c>
      <c r="K824" t="e">
        <v>#N/A</v>
      </c>
      <c r="L824" s="2" t="s">
        <v>8546</v>
      </c>
      <c r="M824" t="s">
        <v>8086</v>
      </c>
      <c r="N824" s="4"/>
    </row>
    <row r="825" spans="1:14" ht="91" x14ac:dyDescent="0.3">
      <c r="A825" s="1" t="str">
        <f>HYPERLINK("https://ipmanager.doe.gov/IPManager//ExternalLink.aspx?6ibkph2k9yi6F%2B0Vz7YoTgZwfmYxrNyKHr6ebw4YYV0%3D","Link")</f>
        <v>Link</v>
      </c>
      <c r="B825" s="2" t="s">
        <v>2821</v>
      </c>
      <c r="C825" s="2" t="s">
        <v>2786</v>
      </c>
      <c r="D825" s="2" t="s">
        <v>1246</v>
      </c>
      <c r="E825" s="2" t="s">
        <v>2822</v>
      </c>
      <c r="F825" s="2"/>
      <c r="G825" s="2" t="s">
        <v>9</v>
      </c>
      <c r="H825" s="7"/>
      <c r="I825" s="2" t="s">
        <v>9</v>
      </c>
      <c r="K825" t="e">
        <v>#N/A</v>
      </c>
      <c r="L825" s="2" t="s">
        <v>8546</v>
      </c>
      <c r="M825" t="s">
        <v>8086</v>
      </c>
      <c r="N825" s="4"/>
    </row>
    <row r="826" spans="1:14" ht="39" x14ac:dyDescent="0.3">
      <c r="A826" s="1" t="str">
        <f>HYPERLINK("https://ipmanager.doe.gov/IPManager//ExternalLink.aspx?6ibkph2k9yi6F%2B0Vz7YoTgZwfmYxrNyKRrRBadSjjzg%3D","Link")</f>
        <v>Link</v>
      </c>
      <c r="B826" s="2" t="s">
        <v>2823</v>
      </c>
      <c r="C826" s="2" t="s">
        <v>2786</v>
      </c>
      <c r="D826" s="2" t="s">
        <v>1246</v>
      </c>
      <c r="E826" s="2" t="s">
        <v>2824</v>
      </c>
      <c r="F826" s="2"/>
      <c r="G826" s="2" t="s">
        <v>9</v>
      </c>
      <c r="H826" s="7"/>
      <c r="I826" s="2" t="s">
        <v>9</v>
      </c>
      <c r="K826" t="e">
        <v>#N/A</v>
      </c>
      <c r="L826" s="2" t="s">
        <v>8546</v>
      </c>
      <c r="M826" t="s">
        <v>8086</v>
      </c>
      <c r="N826" s="4"/>
    </row>
    <row r="827" spans="1:14" ht="39" x14ac:dyDescent="0.3">
      <c r="A827" s="1" t="str">
        <f>HYPERLINK("https://ipmanager.doe.gov/IPManager//ExternalLink.aspx?6ibkph2k9yi6F%2B0Vz7YoTr7J5I%2BY4foYZVnBxD921ZI%3D","Link")</f>
        <v>Link</v>
      </c>
      <c r="B827" s="2" t="s">
        <v>2825</v>
      </c>
      <c r="C827" s="2" t="s">
        <v>2786</v>
      </c>
      <c r="D827" s="2" t="s">
        <v>1246</v>
      </c>
      <c r="E827" s="2" t="s">
        <v>2826</v>
      </c>
      <c r="F827" s="2"/>
      <c r="G827" s="2" t="s">
        <v>9</v>
      </c>
      <c r="H827" s="7"/>
      <c r="I827" s="2" t="s">
        <v>9</v>
      </c>
      <c r="K827" t="e">
        <v>#N/A</v>
      </c>
      <c r="L827" s="2" t="s">
        <v>8546</v>
      </c>
      <c r="M827" t="s">
        <v>8086</v>
      </c>
      <c r="N827" s="4"/>
    </row>
    <row r="828" spans="1:14" ht="65" x14ac:dyDescent="0.3">
      <c r="A828" s="1" t="str">
        <f>HYPERLINK("https://ipmanager.doe.gov/IPManager//ExternalLink.aspx?6ibkph2k9yi6F%2B0Vz7YoTkqAgjuWMa9QI8sPkIVSfgM%3D","Link")</f>
        <v>Link</v>
      </c>
      <c r="B828" s="2" t="s">
        <v>2827</v>
      </c>
      <c r="C828" s="2" t="s">
        <v>2786</v>
      </c>
      <c r="D828" s="2" t="s">
        <v>154</v>
      </c>
      <c r="E828" s="2" t="s">
        <v>2828</v>
      </c>
      <c r="F828" s="2"/>
      <c r="G828" s="2" t="s">
        <v>9</v>
      </c>
      <c r="H828" s="7"/>
      <c r="I828" s="2" t="s">
        <v>9</v>
      </c>
      <c r="K828" t="e">
        <v>#N/A</v>
      </c>
      <c r="L828" s="2" t="s">
        <v>8546</v>
      </c>
      <c r="M828" t="s">
        <v>8086</v>
      </c>
      <c r="N828" s="4"/>
    </row>
    <row r="829" spans="1:14" ht="52" x14ac:dyDescent="0.3">
      <c r="A829" s="1" t="str">
        <f>HYPERLINK("https://ipmanager.doe.gov/IPManager//ExternalLink.aspx?6ibkph2k9yi6F%2B0Vz7YoTipZ798QK%2BbP3m%2BDdQpYtJo%3D","Link")</f>
        <v>Link</v>
      </c>
      <c r="B829" s="2" t="s">
        <v>2829</v>
      </c>
      <c r="C829" s="2" t="s">
        <v>2786</v>
      </c>
      <c r="D829" s="2" t="s">
        <v>154</v>
      </c>
      <c r="E829" s="2" t="s">
        <v>2830</v>
      </c>
      <c r="F829" s="2"/>
      <c r="G829" s="2" t="s">
        <v>9</v>
      </c>
      <c r="H829" s="7"/>
      <c r="I829" s="2" t="s">
        <v>9</v>
      </c>
      <c r="K829" t="e">
        <v>#N/A</v>
      </c>
      <c r="L829" s="2" t="s">
        <v>8546</v>
      </c>
      <c r="M829" t="s">
        <v>8086</v>
      </c>
      <c r="N829" s="4"/>
    </row>
    <row r="830" spans="1:14" ht="39" x14ac:dyDescent="0.3">
      <c r="A830" s="1" t="str">
        <f>HYPERLINK("https://ipmanager.doe.gov/IPManager//ExternalLink.aspx?6ibkph2k9yi6F%2B0Vz7YoTgZwfmYxrNyKWG9IwDJzjzo%3D","Link")</f>
        <v>Link</v>
      </c>
      <c r="B830" s="2" t="s">
        <v>2785</v>
      </c>
      <c r="C830" s="2" t="s">
        <v>2786</v>
      </c>
      <c r="D830" s="2" t="s">
        <v>154</v>
      </c>
      <c r="E830" s="2" t="s">
        <v>2787</v>
      </c>
      <c r="F830" s="2" t="s">
        <v>2788</v>
      </c>
      <c r="G830" s="2" t="s">
        <v>2789</v>
      </c>
      <c r="H830" s="7"/>
      <c r="I830" s="2" t="s">
        <v>9</v>
      </c>
      <c r="K830" t="e">
        <v>#N/A</v>
      </c>
      <c r="L830" s="2" t="s">
        <v>8546</v>
      </c>
      <c r="M830" t="s">
        <v>8086</v>
      </c>
      <c r="N830" s="4"/>
    </row>
    <row r="831" spans="1:14" ht="104" x14ac:dyDescent="0.3">
      <c r="A831" s="1" t="str">
        <f>HYPERLINK("https://ipmanager.doe.gov/IPManager//ExternalLink.aspx?6ibkph2k9yi6F%2B0Vz7YoTipZ798QK%2BbP3xl5crPRO9s%3D","Link")</f>
        <v>Link</v>
      </c>
      <c r="B831" s="2" t="s">
        <v>2791</v>
      </c>
      <c r="C831" s="2" t="s">
        <v>2786</v>
      </c>
      <c r="D831" s="2" t="s">
        <v>154</v>
      </c>
      <c r="E831" s="2" t="s">
        <v>2792</v>
      </c>
      <c r="F831" s="2" t="s">
        <v>2793</v>
      </c>
      <c r="G831" s="2" t="s">
        <v>2794</v>
      </c>
      <c r="H831" s="7"/>
      <c r="I831" s="2" t="s">
        <v>9</v>
      </c>
      <c r="K831" t="e">
        <v>#N/A</v>
      </c>
      <c r="L831" s="2" t="s">
        <v>8546</v>
      </c>
      <c r="M831" t="s">
        <v>8086</v>
      </c>
      <c r="N831" s="4"/>
    </row>
    <row r="832" spans="1:14" ht="78" x14ac:dyDescent="0.3">
      <c r="A832" s="1" t="str">
        <f>HYPERLINK("https://ipmanager.doe.gov/IPManager//ExternalLink.aspx?6ibkph2k9yi6F%2B0Vz7YoTjnDGhmGHGI7JCubjlOY2yA%3D","Link")</f>
        <v>Link</v>
      </c>
      <c r="B832" s="2" t="s">
        <v>2795</v>
      </c>
      <c r="C832" s="2" t="s">
        <v>2786</v>
      </c>
      <c r="D832" s="2" t="s">
        <v>154</v>
      </c>
      <c r="E832" s="2" t="s">
        <v>2796</v>
      </c>
      <c r="F832" s="2" t="s">
        <v>2797</v>
      </c>
      <c r="G832" s="2" t="s">
        <v>249</v>
      </c>
      <c r="H832" s="7"/>
      <c r="I832" s="2" t="s">
        <v>9</v>
      </c>
      <c r="K832" t="e">
        <v>#N/A</v>
      </c>
      <c r="L832" s="2" t="s">
        <v>8546</v>
      </c>
      <c r="M832" t="s">
        <v>8086</v>
      </c>
      <c r="N832" s="4"/>
    </row>
    <row r="833" spans="1:14" ht="39" x14ac:dyDescent="0.3">
      <c r="A833" s="1" t="str">
        <f>HYPERLINK("https://ipmanager.doe.gov/IPManager//ExternalLink.aspx?6ibkph2k9yi6F%2B0Vz7YoTjN2oADz%2F5Mx3Qg%2B4VZaGO8%3D","Link")</f>
        <v>Link</v>
      </c>
      <c r="B833" s="2" t="s">
        <v>2799</v>
      </c>
      <c r="C833" s="2" t="s">
        <v>2786</v>
      </c>
      <c r="D833" s="2" t="s">
        <v>154</v>
      </c>
      <c r="E833" s="2" t="s">
        <v>2800</v>
      </c>
      <c r="F833" s="2" t="s">
        <v>2801</v>
      </c>
      <c r="G833" s="2" t="s">
        <v>2794</v>
      </c>
      <c r="H833" s="7"/>
      <c r="I833" s="2" t="s">
        <v>9</v>
      </c>
      <c r="K833" t="e">
        <v>#N/A</v>
      </c>
      <c r="L833" s="2" t="s">
        <v>8546</v>
      </c>
      <c r="M833" t="s">
        <v>8086</v>
      </c>
      <c r="N833" s="4"/>
    </row>
    <row r="834" spans="1:14" ht="65" x14ac:dyDescent="0.3">
      <c r="A834" s="1" t="str">
        <f>HYPERLINK("https://ipmanager.doe.gov/IPManager//ExternalLink.aspx?6ibkph2k9yi6F%2B0Vz7YoTjnDGhmGHGI7ml7sIfOLQpQ%3D","Link")</f>
        <v>Link</v>
      </c>
      <c r="B834" s="2" t="s">
        <v>2804</v>
      </c>
      <c r="C834" s="2" t="s">
        <v>2786</v>
      </c>
      <c r="D834" s="2" t="s">
        <v>154</v>
      </c>
      <c r="E834" s="2" t="s">
        <v>2805</v>
      </c>
      <c r="F834" s="2" t="s">
        <v>2806</v>
      </c>
      <c r="G834" s="2" t="s">
        <v>2789</v>
      </c>
      <c r="H834" s="7"/>
      <c r="I834" s="2" t="s">
        <v>9</v>
      </c>
      <c r="K834" t="e">
        <v>#N/A</v>
      </c>
      <c r="L834" s="2" t="s">
        <v>8546</v>
      </c>
      <c r="M834" t="s">
        <v>8086</v>
      </c>
      <c r="N834" s="4"/>
    </row>
    <row r="835" spans="1:14" ht="39" x14ac:dyDescent="0.3">
      <c r="A835" s="1" t="str">
        <f>HYPERLINK("https://ipmanager.doe.gov/IPManager//ExternalLink.aspx?6ibkph2k9yi6F%2B0Vz7YoTr7J5I%2BY4foYUf1szHEFS8g%3D","Link")</f>
        <v>Link</v>
      </c>
      <c r="B835" s="2" t="s">
        <v>2807</v>
      </c>
      <c r="C835" s="2" t="s">
        <v>2786</v>
      </c>
      <c r="D835" s="2" t="s">
        <v>154</v>
      </c>
      <c r="E835" s="2" t="s">
        <v>2808</v>
      </c>
      <c r="F835" s="2" t="s">
        <v>2809</v>
      </c>
      <c r="G835" s="2" t="s">
        <v>249</v>
      </c>
      <c r="H835" s="7"/>
      <c r="I835" s="2" t="s">
        <v>9</v>
      </c>
      <c r="K835" t="e">
        <v>#N/A</v>
      </c>
      <c r="L835" s="2" t="s">
        <v>8546</v>
      </c>
      <c r="M835" t="s">
        <v>8086</v>
      </c>
      <c r="N835" s="4"/>
    </row>
    <row r="836" spans="1:14" ht="104" x14ac:dyDescent="0.3">
      <c r="A836" s="1" t="str">
        <f>HYPERLINK("https://ipmanager.doe.gov/IPManager//ExternalLink.aspx?6ibkph2k9yi6F%2B0Vz7YoTjnDGhmGHGI7VML1I3FO6dc%3D","Link")</f>
        <v>Link</v>
      </c>
      <c r="B836" s="2" t="s">
        <v>2810</v>
      </c>
      <c r="C836" s="2" t="s">
        <v>2786</v>
      </c>
      <c r="D836" s="2" t="s">
        <v>154</v>
      </c>
      <c r="E836" s="2" t="s">
        <v>2792</v>
      </c>
      <c r="F836" s="2" t="s">
        <v>2811</v>
      </c>
      <c r="G836" s="2" t="s">
        <v>2414</v>
      </c>
      <c r="H836" s="7"/>
      <c r="I836" s="2" t="s">
        <v>9</v>
      </c>
      <c r="J836" t="s">
        <v>2811</v>
      </c>
      <c r="K836" t="s">
        <v>7721</v>
      </c>
      <c r="L836" s="2" t="s">
        <v>8546</v>
      </c>
      <c r="M836" t="s">
        <v>8086</v>
      </c>
      <c r="N836" s="4"/>
    </row>
    <row r="837" spans="1:14" ht="78" x14ac:dyDescent="0.3">
      <c r="A837" s="1" t="str">
        <f>HYPERLINK("https://ipmanager.doe.gov/IPManager//ExternalLink.aspx?6ibkph2k9yi6F%2B0Vz7YoThEBhkR3uHVrcZfrPnX5yOA%3D","Link")</f>
        <v>Link</v>
      </c>
      <c r="B837" s="2" t="s">
        <v>2812</v>
      </c>
      <c r="C837" s="2" t="s">
        <v>2786</v>
      </c>
      <c r="D837" s="2" t="s">
        <v>154</v>
      </c>
      <c r="E837" s="2" t="s">
        <v>2796</v>
      </c>
      <c r="F837" s="2" t="s">
        <v>2813</v>
      </c>
      <c r="G837" s="2" t="s">
        <v>2814</v>
      </c>
      <c r="H837" s="7"/>
      <c r="I837" s="2" t="s">
        <v>9</v>
      </c>
      <c r="K837" t="e">
        <v>#N/A</v>
      </c>
      <c r="L837" s="2" t="s">
        <v>8546</v>
      </c>
      <c r="M837" t="s">
        <v>8086</v>
      </c>
      <c r="N837" s="4"/>
    </row>
    <row r="838" spans="1:14" ht="78" x14ac:dyDescent="0.3">
      <c r="A838" s="1" t="str">
        <f>HYPERLINK("https://ipmanager.doe.gov/IPManager//ExternalLink.aspx?6ibkph2k9yi6F%2B0Vz7YoThEBhkR3uHVr7oNzWHguy6A%3D","Link")</f>
        <v>Link</v>
      </c>
      <c r="B838" s="2" t="s">
        <v>2815</v>
      </c>
      <c r="C838" s="2" t="s">
        <v>2786</v>
      </c>
      <c r="D838" s="2" t="s">
        <v>154</v>
      </c>
      <c r="E838" s="2" t="s">
        <v>2796</v>
      </c>
      <c r="F838" s="2" t="s">
        <v>2798</v>
      </c>
      <c r="G838" s="2" t="s">
        <v>2794</v>
      </c>
      <c r="H838" s="7"/>
      <c r="I838" s="2" t="s">
        <v>9</v>
      </c>
      <c r="K838" t="e">
        <v>#N/A</v>
      </c>
      <c r="L838" s="2" t="s">
        <v>8546</v>
      </c>
      <c r="M838" t="s">
        <v>8086</v>
      </c>
      <c r="N838" s="4"/>
    </row>
    <row r="839" spans="1:14" ht="52" x14ac:dyDescent="0.3">
      <c r="A839" s="1" t="str">
        <f>HYPERLINK("https://ipmanager.doe.gov/IPManager//ExternalLink.aspx?6ibkph2k9yi6F%2B0Vz7YoTipZ798QK%2BbPkgMx3gEo7Hg%3D","Link")</f>
        <v>Link</v>
      </c>
      <c r="B839" s="2" t="s">
        <v>2838</v>
      </c>
      <c r="C839" s="2" t="s">
        <v>2832</v>
      </c>
      <c r="D839" s="2" t="s">
        <v>2839</v>
      </c>
      <c r="E839" s="2" t="s">
        <v>2840</v>
      </c>
      <c r="F839" s="2" t="s">
        <v>2841</v>
      </c>
      <c r="G839" s="2" t="s">
        <v>1937</v>
      </c>
      <c r="H839" s="7"/>
      <c r="I839" s="2" t="s">
        <v>9</v>
      </c>
      <c r="K839" t="e">
        <v>#N/A</v>
      </c>
      <c r="L839" s="2" t="s">
        <v>8547</v>
      </c>
      <c r="M839" t="s">
        <v>8087</v>
      </c>
      <c r="N839" s="4"/>
    </row>
    <row r="840" spans="1:14" ht="39" x14ac:dyDescent="0.3">
      <c r="A840" s="1" t="str">
        <f>HYPERLINK("https://ipmanager.doe.gov/IPManager//ExternalLink.aspx?6ibkph2k9yi6F%2B0Vz7YoTnXVN2REjGcWcp9mpGfPI04%3D","Link")</f>
        <v>Link</v>
      </c>
      <c r="B840" s="2" t="s">
        <v>2842</v>
      </c>
      <c r="C840" s="2" t="s">
        <v>2832</v>
      </c>
      <c r="D840" s="2" t="s">
        <v>2839</v>
      </c>
      <c r="E840" s="2" t="s">
        <v>2843</v>
      </c>
      <c r="F840" s="2" t="s">
        <v>2844</v>
      </c>
      <c r="G840" s="2" t="s">
        <v>2845</v>
      </c>
      <c r="H840" s="7"/>
      <c r="I840" s="2" t="s">
        <v>9</v>
      </c>
      <c r="K840" t="e">
        <v>#N/A</v>
      </c>
      <c r="L840" s="2" t="s">
        <v>8547</v>
      </c>
      <c r="M840" t="s">
        <v>8087</v>
      </c>
      <c r="N840" s="4"/>
    </row>
    <row r="841" spans="1:14" ht="39" x14ac:dyDescent="0.3">
      <c r="A841" s="1" t="str">
        <f>HYPERLINK("https://ipmanager.doe.gov/IPManager//ExternalLink.aspx?6ibkph2k9yi6F%2B0Vz7YoTipZ798QK%2BbPK%2F9Pcv6mw3Y%3D","Link")</f>
        <v>Link</v>
      </c>
      <c r="B841" s="2" t="s">
        <v>2846</v>
      </c>
      <c r="C841" s="2" t="s">
        <v>2832</v>
      </c>
      <c r="D841" s="2" t="s">
        <v>2839</v>
      </c>
      <c r="E841" s="2" t="s">
        <v>2843</v>
      </c>
      <c r="F841" s="2" t="s">
        <v>2847</v>
      </c>
      <c r="G841" s="2" t="s">
        <v>2848</v>
      </c>
      <c r="H841" s="7"/>
      <c r="I841" s="2" t="s">
        <v>9</v>
      </c>
      <c r="K841" t="e">
        <v>#N/A</v>
      </c>
      <c r="L841" s="2" t="s">
        <v>8547</v>
      </c>
      <c r="M841" t="s">
        <v>8087</v>
      </c>
      <c r="N841" s="4"/>
    </row>
    <row r="842" spans="1:14" ht="39" x14ac:dyDescent="0.3">
      <c r="A842" s="1" t="str">
        <f>HYPERLINK("https://ipmanager.doe.gov/IPManager//ExternalLink.aspx?6ibkph2k9yi6F%2B0Vz7YoTipZ798QK%2BbPgCDd0IOON18%3D","Link")</f>
        <v>Link</v>
      </c>
      <c r="B842" s="2" t="s">
        <v>2849</v>
      </c>
      <c r="C842" s="2" t="s">
        <v>2832</v>
      </c>
      <c r="D842" s="2" t="s">
        <v>2839</v>
      </c>
      <c r="E842" s="2" t="s">
        <v>2850</v>
      </c>
      <c r="F842" s="2" t="s">
        <v>2851</v>
      </c>
      <c r="G842" s="2" t="s">
        <v>2852</v>
      </c>
      <c r="H842" s="7"/>
      <c r="I842" s="2" t="s">
        <v>9</v>
      </c>
      <c r="K842" t="e">
        <v>#N/A</v>
      </c>
      <c r="L842" s="2" t="s">
        <v>8547</v>
      </c>
      <c r="M842" t="s">
        <v>8087</v>
      </c>
      <c r="N842" s="4"/>
    </row>
    <row r="843" spans="1:14" ht="39" x14ac:dyDescent="0.3">
      <c r="A843" s="1" t="str">
        <f>HYPERLINK("https://ipmanager.doe.gov/IPManager//ExternalLink.aspx?6ibkph2k9yi6F%2B0Vz7YoTipZ798QK%2BbPRkOqGMJNkNY%3D","Link")</f>
        <v>Link</v>
      </c>
      <c r="B843" s="2" t="s">
        <v>2831</v>
      </c>
      <c r="C843" s="2" t="s">
        <v>2832</v>
      </c>
      <c r="D843" s="2" t="s">
        <v>8</v>
      </c>
      <c r="E843" s="2" t="s">
        <v>2833</v>
      </c>
      <c r="F843" s="2"/>
      <c r="G843" s="2" t="s">
        <v>9</v>
      </c>
      <c r="H843" s="7"/>
      <c r="I843" s="2" t="s">
        <v>9</v>
      </c>
      <c r="K843" t="e">
        <v>#N/A</v>
      </c>
      <c r="L843" s="2" t="s">
        <v>8547</v>
      </c>
      <c r="M843" t="s">
        <v>8087</v>
      </c>
      <c r="N843" s="4"/>
    </row>
    <row r="844" spans="1:14" ht="65" x14ac:dyDescent="0.3">
      <c r="A844" s="1" t="str">
        <f>HYPERLINK("https://ipmanager.doe.gov/IPManager//ExternalLink.aspx?6ibkph2k9yi6F%2B0Vz7YoTipZ798QK%2BbPX5w1jAjfQUU%3D","Link")</f>
        <v>Link</v>
      </c>
      <c r="B844" s="2" t="s">
        <v>2834</v>
      </c>
      <c r="C844" s="2" t="s">
        <v>2832</v>
      </c>
      <c r="D844" s="2" t="s">
        <v>2271</v>
      </c>
      <c r="E844" s="2" t="s">
        <v>2835</v>
      </c>
      <c r="F844" s="2" t="s">
        <v>2836</v>
      </c>
      <c r="G844" s="2" t="s">
        <v>2837</v>
      </c>
      <c r="H844" s="2"/>
      <c r="I844" s="2" t="s">
        <v>9</v>
      </c>
      <c r="K844" t="e">
        <v>#N/A</v>
      </c>
      <c r="L844" s="2" t="s">
        <v>8547</v>
      </c>
      <c r="M844" t="s">
        <v>8087</v>
      </c>
      <c r="N844" s="4"/>
    </row>
    <row r="845" spans="1:14" ht="39" x14ac:dyDescent="0.3">
      <c r="A845" s="1" t="str">
        <f>HYPERLINK("https://ipmanager.doe.gov/IPManager//ExternalLink.aspx?6ibkph2k9yi6F%2B0Vz7YoTipZ798QK%2BbPqXQ0R9waJSk%3D","Link")</f>
        <v>Link</v>
      </c>
      <c r="B845" s="2" t="s">
        <v>2853</v>
      </c>
      <c r="C845" s="2" t="s">
        <v>2854</v>
      </c>
      <c r="D845" s="2" t="s">
        <v>1663</v>
      </c>
      <c r="E845" s="2" t="s">
        <v>2855</v>
      </c>
      <c r="F845" s="2"/>
      <c r="G845" s="2" t="s">
        <v>9</v>
      </c>
      <c r="H845" s="7"/>
      <c r="I845" s="2" t="s">
        <v>9</v>
      </c>
      <c r="K845" t="e">
        <v>#N/A</v>
      </c>
      <c r="L845" s="2" t="s">
        <v>8548</v>
      </c>
      <c r="M845" t="s">
        <v>8088</v>
      </c>
      <c r="N845" s="4"/>
    </row>
    <row r="846" spans="1:14" ht="39" x14ac:dyDescent="0.3">
      <c r="A846" s="1" t="str">
        <f>HYPERLINK("https://ipmanager.doe.gov/IPManager//ExternalLink.aspx?6ibkph2k9yi6F%2B0Vz7YoTipZ798QK%2BbPGAcDNo5%2BsvM%3D","Link")</f>
        <v>Link</v>
      </c>
      <c r="B846" s="2" t="s">
        <v>2856</v>
      </c>
      <c r="C846" s="2" t="s">
        <v>2857</v>
      </c>
      <c r="D846" s="2" t="s">
        <v>2858</v>
      </c>
      <c r="E846" s="2" t="s">
        <v>2859</v>
      </c>
      <c r="F846" s="2" t="s">
        <v>2860</v>
      </c>
      <c r="G846" s="2" t="s">
        <v>2861</v>
      </c>
      <c r="H846" s="7">
        <v>9337767</v>
      </c>
      <c r="I846" s="2" t="s">
        <v>2862</v>
      </c>
      <c r="J846" t="s">
        <v>7577</v>
      </c>
      <c r="K846" t="s">
        <v>7897</v>
      </c>
      <c r="L846" s="2" t="s">
        <v>8549</v>
      </c>
      <c r="M846" t="s">
        <v>8089</v>
      </c>
    </row>
    <row r="847" spans="1:14" ht="26" x14ac:dyDescent="0.3">
      <c r="A847" s="1" t="str">
        <f>HYPERLINK("https://ipmanager.doe.gov/IPManager//ExternalLink.aspx?6ibkph2k9yi6F%2B0Vz7YoTr7J5I%2BY4foYCgL9VHx%2BJko%3D","Link")</f>
        <v>Link</v>
      </c>
      <c r="B847" s="2" t="s">
        <v>2863</v>
      </c>
      <c r="C847" s="2" t="s">
        <v>2857</v>
      </c>
      <c r="D847" s="2" t="s">
        <v>2858</v>
      </c>
      <c r="E847" s="2" t="s">
        <v>2864</v>
      </c>
      <c r="F847" s="2"/>
      <c r="G847" s="2" t="s">
        <v>9</v>
      </c>
      <c r="H847" s="7"/>
      <c r="I847" s="2" t="s">
        <v>9</v>
      </c>
      <c r="K847" t="e">
        <v>#N/A</v>
      </c>
      <c r="L847" s="2" t="s">
        <v>8549</v>
      </c>
      <c r="M847" t="s">
        <v>8089</v>
      </c>
      <c r="N847" s="4"/>
    </row>
    <row r="848" spans="1:14" ht="52" x14ac:dyDescent="0.3">
      <c r="A848" s="1" t="str">
        <f>HYPERLINK("https://ipmanager.doe.gov/IPManager//ExternalLink.aspx?6ibkph2k9yi6F%2B0Vz7YoTipZ798QK%2BbPhetcfsRNkcs%3D","Link")</f>
        <v>Link</v>
      </c>
      <c r="B848" s="2" t="s">
        <v>2865</v>
      </c>
      <c r="C848" s="2" t="s">
        <v>2857</v>
      </c>
      <c r="D848" s="2" t="s">
        <v>2858</v>
      </c>
      <c r="E848" s="2" t="s">
        <v>2866</v>
      </c>
      <c r="F848" s="2"/>
      <c r="G848" s="2" t="s">
        <v>9</v>
      </c>
      <c r="H848" s="7"/>
      <c r="I848" s="2" t="s">
        <v>9</v>
      </c>
      <c r="K848" t="e">
        <v>#N/A</v>
      </c>
      <c r="L848" s="2" t="s">
        <v>8549</v>
      </c>
      <c r="M848" t="s">
        <v>8089</v>
      </c>
      <c r="N848" s="4"/>
    </row>
    <row r="849" spans="1:14" ht="26" x14ac:dyDescent="0.3">
      <c r="A849" s="1" t="str">
        <f>HYPERLINK("https://ipmanager.doe.gov/IPManager//ExternalLink.aspx?6ibkph2k9yi6F%2B0Vz7YoTq6RR9BlGHHirJAqyvxE7GI%3D","Link")</f>
        <v>Link</v>
      </c>
      <c r="B849" s="2" t="s">
        <v>2870</v>
      </c>
      <c r="C849" s="2" t="s">
        <v>2867</v>
      </c>
      <c r="D849" s="2" t="s">
        <v>1763</v>
      </c>
      <c r="E849" s="2" t="s">
        <v>2871</v>
      </c>
      <c r="F849" s="2" t="s">
        <v>2872</v>
      </c>
      <c r="G849" s="2" t="s">
        <v>746</v>
      </c>
      <c r="H849" s="7">
        <v>9087718</v>
      </c>
      <c r="I849" s="2" t="s">
        <v>2873</v>
      </c>
      <c r="J849" t="s">
        <v>7578</v>
      </c>
      <c r="K849" t="e">
        <v>#N/A</v>
      </c>
      <c r="L849" s="2" t="s">
        <v>8550</v>
      </c>
      <c r="M849" t="s">
        <v>8090</v>
      </c>
    </row>
    <row r="850" spans="1:14" ht="26" x14ac:dyDescent="0.3">
      <c r="A850" s="1" t="str">
        <f>HYPERLINK("https://ipmanager.doe.gov/IPManager//ExternalLink.aspx?6ibkph2k9yi6F%2B0Vz7YoTq6RR9BlGHHivzNOVS3QbOE%3D","Link")</f>
        <v>Link</v>
      </c>
      <c r="B850" s="2" t="s">
        <v>2874</v>
      </c>
      <c r="C850" s="2" t="s">
        <v>2867</v>
      </c>
      <c r="D850" s="2" t="s">
        <v>1763</v>
      </c>
      <c r="E850" s="2" t="s">
        <v>2871</v>
      </c>
      <c r="F850" s="2" t="s">
        <v>2875</v>
      </c>
      <c r="G850" s="2" t="s">
        <v>2876</v>
      </c>
      <c r="H850" s="7">
        <v>9590060</v>
      </c>
      <c r="I850" s="2" t="s">
        <v>270</v>
      </c>
      <c r="J850" t="s">
        <v>7579</v>
      </c>
      <c r="K850" t="s">
        <v>7898</v>
      </c>
      <c r="L850" s="2" t="s">
        <v>8550</v>
      </c>
      <c r="M850" t="s">
        <v>8090</v>
      </c>
    </row>
    <row r="851" spans="1:14" ht="26" x14ac:dyDescent="0.3">
      <c r="A851" s="1" t="str">
        <f>HYPERLINK("https://ipmanager.doe.gov/IPManager//ExternalLink.aspx?6ibkph2k9yi6F%2B0Vz7YoTjnDGhmGHGI71mrzXQSPVIg%3D","Link")</f>
        <v>Link</v>
      </c>
      <c r="B851" s="2" t="s">
        <v>2877</v>
      </c>
      <c r="C851" s="2" t="s">
        <v>2867</v>
      </c>
      <c r="D851" s="2" t="s">
        <v>1763</v>
      </c>
      <c r="E851" s="2" t="s">
        <v>2868</v>
      </c>
      <c r="F851" s="2" t="s">
        <v>2869</v>
      </c>
      <c r="G851" s="2" t="s">
        <v>1628</v>
      </c>
      <c r="H851" s="7">
        <v>9318593</v>
      </c>
      <c r="I851" s="2" t="s">
        <v>352</v>
      </c>
      <c r="J851" t="s">
        <v>7580</v>
      </c>
      <c r="K851" t="s">
        <v>7899</v>
      </c>
      <c r="L851" s="2" t="s">
        <v>8550</v>
      </c>
      <c r="M851" t="s">
        <v>8090</v>
      </c>
    </row>
    <row r="852" spans="1:14" ht="52" x14ac:dyDescent="0.3">
      <c r="A852" s="1" t="str">
        <f>HYPERLINK("https://ipmanager.doe.gov/IPManager//ExternalLink.aspx?6ibkph2k9yi6F%2B0Vz7YoTvPUg%2FVZPl3ik14sllJUxXo%3D","Link")</f>
        <v>Link</v>
      </c>
      <c r="B852" s="2" t="s">
        <v>2878</v>
      </c>
      <c r="C852" s="2" t="s">
        <v>2879</v>
      </c>
      <c r="D852" s="2" t="s">
        <v>2880</v>
      </c>
      <c r="E852" s="2" t="s">
        <v>2881</v>
      </c>
      <c r="F852" s="2" t="s">
        <v>2882</v>
      </c>
      <c r="G852" s="2" t="s">
        <v>317</v>
      </c>
      <c r="H852" s="2"/>
      <c r="I852" s="2" t="s">
        <v>9</v>
      </c>
      <c r="K852" t="e">
        <v>#N/A</v>
      </c>
      <c r="L852" s="2" t="s">
        <v>8551</v>
      </c>
      <c r="M852" t="s">
        <v>8091</v>
      </c>
      <c r="N852" s="4"/>
    </row>
    <row r="853" spans="1:14" ht="52" x14ac:dyDescent="0.3">
      <c r="A853" s="1" t="str">
        <f>HYPERLINK("https://ipmanager.doe.gov/IPManager//ExternalLink.aspx?6ibkph2k9yi6F%2B0Vz7YoTo7DPLa3%2F%2FGgWwEv3Daj4eY%3D","Link")</f>
        <v>Link</v>
      </c>
      <c r="B853" s="2" t="s">
        <v>2883</v>
      </c>
      <c r="C853" s="2" t="s">
        <v>2879</v>
      </c>
      <c r="D853" s="2" t="s">
        <v>2880</v>
      </c>
      <c r="E853" s="2" t="s">
        <v>2881</v>
      </c>
      <c r="F853" s="2" t="s">
        <v>2884</v>
      </c>
      <c r="G853" s="2" t="s">
        <v>2885</v>
      </c>
      <c r="H853" s="2"/>
      <c r="I853" s="2" t="s">
        <v>9</v>
      </c>
      <c r="K853" t="e">
        <v>#N/A</v>
      </c>
      <c r="L853" s="2" t="s">
        <v>8551</v>
      </c>
      <c r="M853" t="s">
        <v>8091</v>
      </c>
      <c r="N853" s="4"/>
    </row>
    <row r="854" spans="1:14" ht="39" x14ac:dyDescent="0.3">
      <c r="A854" s="1" t="str">
        <f>HYPERLINK("https://ipmanager.doe.gov/IPManager//ExternalLink.aspx?6ibkph2k9yi6F%2B0Vz7YoTr7J5I%2BY4foYfcCU6d%2FJK7E%3D","Link")</f>
        <v>Link</v>
      </c>
      <c r="B854" s="2" t="s">
        <v>2887</v>
      </c>
      <c r="C854" s="2" t="s">
        <v>2886</v>
      </c>
      <c r="D854" s="2" t="s">
        <v>1474</v>
      </c>
      <c r="E854" s="2" t="s">
        <v>2888</v>
      </c>
      <c r="F854" s="2" t="s">
        <v>2889</v>
      </c>
      <c r="G854" s="2" t="s">
        <v>35</v>
      </c>
      <c r="H854" s="7"/>
      <c r="I854" s="2" t="s">
        <v>9</v>
      </c>
      <c r="K854" t="e">
        <v>#N/A</v>
      </c>
      <c r="L854" s="2" t="s">
        <v>8552</v>
      </c>
      <c r="M854" t="s">
        <v>8092</v>
      </c>
      <c r="N854" s="4"/>
    </row>
    <row r="855" spans="1:14" ht="39" x14ac:dyDescent="0.3">
      <c r="A855" s="1" t="str">
        <f>HYPERLINK("https://ipmanager.doe.gov/IPManager//ExternalLink.aspx?6ibkph2k9yi6F%2B0Vz7YoTgZwfmYxrNyK4HlAt1oL0d8%3D","Link")</f>
        <v>Link</v>
      </c>
      <c r="B855" s="2" t="s">
        <v>2899</v>
      </c>
      <c r="C855" s="2" t="s">
        <v>2891</v>
      </c>
      <c r="D855" s="2" t="s">
        <v>2758</v>
      </c>
      <c r="E855" s="2" t="s">
        <v>2900</v>
      </c>
      <c r="F855" s="2" t="s">
        <v>2901</v>
      </c>
      <c r="G855" s="2" t="s">
        <v>1723</v>
      </c>
      <c r="H855" s="7"/>
      <c r="I855" s="2" t="s">
        <v>9</v>
      </c>
      <c r="J855" t="s">
        <v>7541</v>
      </c>
      <c r="K855" t="s">
        <v>7900</v>
      </c>
      <c r="L855" s="2" t="s">
        <v>8553</v>
      </c>
      <c r="M855" t="s">
        <v>8093</v>
      </c>
      <c r="N855" s="4"/>
    </row>
    <row r="856" spans="1:14" ht="39" x14ac:dyDescent="0.3">
      <c r="A856" s="1" t="str">
        <f>HYPERLINK("https://ipmanager.doe.gov/IPManager//ExternalLink.aspx?6ibkph2k9yi6F%2B0Vz7YoTgZwfmYxrNyKVi3VykUGTHs%3D","Link")</f>
        <v>Link</v>
      </c>
      <c r="B856" s="2" t="s">
        <v>2903</v>
      </c>
      <c r="C856" s="2" t="s">
        <v>2891</v>
      </c>
      <c r="D856" s="2" t="s">
        <v>562</v>
      </c>
      <c r="E856" s="2" t="s">
        <v>2904</v>
      </c>
      <c r="F856" s="2" t="s">
        <v>2905</v>
      </c>
      <c r="G856" s="2" t="s">
        <v>2390</v>
      </c>
      <c r="H856" s="7"/>
      <c r="I856" s="2" t="s">
        <v>9</v>
      </c>
      <c r="K856" t="e">
        <v>#N/A</v>
      </c>
      <c r="L856" s="2" t="s">
        <v>8553</v>
      </c>
      <c r="M856" t="s">
        <v>8093</v>
      </c>
      <c r="N856" s="4"/>
    </row>
    <row r="857" spans="1:14" ht="26" x14ac:dyDescent="0.3">
      <c r="A857" s="1" t="str">
        <f>HYPERLINK("https://ipmanager.doe.gov/IPManager//ExternalLink.aspx?6ibkph2k9yi6F%2B0Vz7YoTgZwfmYxrNyKO6r5kFBQkXM%3D","Link")</f>
        <v>Link</v>
      </c>
      <c r="B857" s="2" t="s">
        <v>2890</v>
      </c>
      <c r="C857" s="2" t="s">
        <v>2891</v>
      </c>
      <c r="D857" s="2" t="s">
        <v>2758</v>
      </c>
      <c r="E857" s="2" t="s">
        <v>2892</v>
      </c>
      <c r="F857" s="2" t="s">
        <v>2893</v>
      </c>
      <c r="G857" s="2" t="s">
        <v>2894</v>
      </c>
      <c r="H857" s="7"/>
      <c r="I857" s="2" t="s">
        <v>9</v>
      </c>
      <c r="K857" t="e">
        <v>#N/A</v>
      </c>
      <c r="L857" s="2" t="s">
        <v>8553</v>
      </c>
      <c r="M857" t="s">
        <v>8093</v>
      </c>
      <c r="N857" s="4"/>
    </row>
    <row r="858" spans="1:14" ht="26" x14ac:dyDescent="0.3">
      <c r="A858" s="1" t="str">
        <f>HYPERLINK("https://ipmanager.doe.gov/IPManager//ExternalLink.aspx?6ibkph2k9yi6F%2B0Vz7YoTjnDGhmGHGI7mJbDeIQ1puI%3D","Link")</f>
        <v>Link</v>
      </c>
      <c r="B858" s="2" t="s">
        <v>2895</v>
      </c>
      <c r="C858" s="2" t="s">
        <v>2891</v>
      </c>
      <c r="D858" s="2" t="s">
        <v>2758</v>
      </c>
      <c r="E858" s="2" t="s">
        <v>2896</v>
      </c>
      <c r="F858" s="2" t="s">
        <v>2897</v>
      </c>
      <c r="G858" s="2" t="s">
        <v>2898</v>
      </c>
      <c r="H858" s="7"/>
      <c r="I858" s="2" t="s">
        <v>9</v>
      </c>
      <c r="K858" t="e">
        <v>#N/A</v>
      </c>
      <c r="L858" s="2" t="s">
        <v>8553</v>
      </c>
      <c r="M858" t="s">
        <v>8093</v>
      </c>
      <c r="N858" s="4"/>
    </row>
    <row r="859" spans="1:14" ht="52" x14ac:dyDescent="0.3">
      <c r="A859" s="1" t="str">
        <f>HYPERLINK("https://ipmanager.doe.gov/IPManager//ExternalLink.aspx?6ibkph2k9yi6F%2B0Vz7YoTr7J5I%2BY4foYKEG0hvxR6RA%3D","Link")</f>
        <v>Link</v>
      </c>
      <c r="B859" s="2" t="s">
        <v>2910</v>
      </c>
      <c r="C859" s="2" t="s">
        <v>2907</v>
      </c>
      <c r="D859" s="2" t="s">
        <v>2911</v>
      </c>
      <c r="E859" s="2" t="s">
        <v>2909</v>
      </c>
      <c r="F859" s="2" t="s">
        <v>2912</v>
      </c>
      <c r="G859" s="2" t="s">
        <v>2913</v>
      </c>
      <c r="H859" s="7"/>
      <c r="I859" s="2" t="s">
        <v>9</v>
      </c>
      <c r="K859" t="e">
        <v>#N/A</v>
      </c>
      <c r="L859" s="2" t="s">
        <v>8554</v>
      </c>
      <c r="M859" t="s">
        <v>8094</v>
      </c>
      <c r="N859" s="4"/>
    </row>
    <row r="860" spans="1:14" ht="65" x14ac:dyDescent="0.3">
      <c r="A860" s="1" t="str">
        <f>HYPERLINK("https://ipmanager.doe.gov/IPManager//ExternalLink.aspx?6ibkph2k9yi6F%2B0Vz7YoTjnDGhmGHGI7S2epZwaBwT8%3D","Link")</f>
        <v>Link</v>
      </c>
      <c r="B860" s="2" t="s">
        <v>2914</v>
      </c>
      <c r="C860" s="2" t="s">
        <v>2907</v>
      </c>
      <c r="D860" s="2" t="s">
        <v>2911</v>
      </c>
      <c r="E860" s="2" t="s">
        <v>2915</v>
      </c>
      <c r="F860" s="2" t="s">
        <v>2916</v>
      </c>
      <c r="G860" s="2" t="s">
        <v>2917</v>
      </c>
      <c r="H860" s="7"/>
      <c r="I860" s="2" t="s">
        <v>9</v>
      </c>
      <c r="K860" t="e">
        <v>#N/A</v>
      </c>
      <c r="L860" s="2" t="s">
        <v>8554</v>
      </c>
      <c r="M860" t="s">
        <v>8094</v>
      </c>
      <c r="N860" s="4"/>
    </row>
    <row r="861" spans="1:14" ht="52" x14ac:dyDescent="0.3">
      <c r="A861" s="1" t="str">
        <f>HYPERLINK("https://ipmanager.doe.gov/IPManager//ExternalLink.aspx?6ibkph2k9yi6F%2B0Vz7YoTipZ798QK%2BbPikTPz6mpm9E%3D","Link")</f>
        <v>Link</v>
      </c>
      <c r="B861" s="2" t="s">
        <v>2906</v>
      </c>
      <c r="C861" s="2" t="s">
        <v>2907</v>
      </c>
      <c r="D861" s="2" t="s">
        <v>2908</v>
      </c>
      <c r="E861" s="2" t="s">
        <v>2909</v>
      </c>
      <c r="F861" s="2"/>
      <c r="G861" s="2" t="s">
        <v>9</v>
      </c>
      <c r="H861" s="7"/>
      <c r="I861" s="2" t="s">
        <v>9</v>
      </c>
      <c r="K861" t="e">
        <v>#N/A</v>
      </c>
      <c r="L861" s="2" t="s">
        <v>8554</v>
      </c>
      <c r="M861" t="s">
        <v>8094</v>
      </c>
      <c r="N861" s="4"/>
    </row>
    <row r="862" spans="1:14" ht="52" x14ac:dyDescent="0.3">
      <c r="A862" s="1" t="str">
        <f>HYPERLINK("https://ipmanager.doe.gov/IPManager//ExternalLink.aspx?6ibkph2k9yi6F%2B0Vz7YoTp68px7nSN2gHjlaWalnw0s%3D","Link")</f>
        <v>Link</v>
      </c>
      <c r="B862" s="2" t="s">
        <v>2918</v>
      </c>
      <c r="C862" s="2" t="s">
        <v>2907</v>
      </c>
      <c r="D862" s="2" t="s">
        <v>2911</v>
      </c>
      <c r="E862" s="2" t="s">
        <v>2919</v>
      </c>
      <c r="F862" s="2"/>
      <c r="G862" s="2" t="s">
        <v>9</v>
      </c>
      <c r="H862" s="7"/>
      <c r="I862" s="2" t="s">
        <v>9</v>
      </c>
      <c r="K862" t="e">
        <v>#N/A</v>
      </c>
      <c r="L862" s="2" t="s">
        <v>8554</v>
      </c>
      <c r="M862" t="s">
        <v>8094</v>
      </c>
      <c r="N862" s="4"/>
    </row>
    <row r="863" spans="1:14" ht="65" x14ac:dyDescent="0.3">
      <c r="A863" s="1" t="str">
        <f>HYPERLINK("https://ipmanager.doe.gov/IPManager//ExternalLink.aspx?6ibkph2k9yi6F%2B0Vz7YoTp68px7nSN2gn0Bzs8mIiOg%3D","Link")</f>
        <v>Link</v>
      </c>
      <c r="B863" s="2" t="s">
        <v>2920</v>
      </c>
      <c r="C863" s="2" t="s">
        <v>2907</v>
      </c>
      <c r="D863" s="2" t="s">
        <v>2911</v>
      </c>
      <c r="E863" s="2" t="s">
        <v>2921</v>
      </c>
      <c r="F863" s="2"/>
      <c r="G863" s="2" t="s">
        <v>9</v>
      </c>
      <c r="H863" s="7"/>
      <c r="I863" s="2" t="s">
        <v>9</v>
      </c>
      <c r="K863" t="e">
        <v>#N/A</v>
      </c>
      <c r="L863" s="2" t="s">
        <v>8554</v>
      </c>
      <c r="M863" t="s">
        <v>8094</v>
      </c>
      <c r="N863" s="4"/>
    </row>
    <row r="864" spans="1:14" ht="65" x14ac:dyDescent="0.3">
      <c r="A864" s="1" t="str">
        <f>HYPERLINK("https://ipmanager.doe.gov/IPManager//ExternalLink.aspx?6ibkph2k9yi6F%2B0Vz7YoTr7J5I%2BY4foYod%2F0kThfO0Y%3D","Link")</f>
        <v>Link</v>
      </c>
      <c r="B864" s="2" t="s">
        <v>2937</v>
      </c>
      <c r="C864" s="2" t="s">
        <v>2923</v>
      </c>
      <c r="D864" s="2" t="s">
        <v>12</v>
      </c>
      <c r="E864" s="2" t="s">
        <v>2938</v>
      </c>
      <c r="F864" s="2" t="s">
        <v>2939</v>
      </c>
      <c r="G864" s="2" t="s">
        <v>2197</v>
      </c>
      <c r="H864" s="7"/>
      <c r="I864" s="2" t="s">
        <v>9</v>
      </c>
      <c r="J864" t="s">
        <v>7542</v>
      </c>
      <c r="K864" t="s">
        <v>7901</v>
      </c>
      <c r="L864" s="2" t="s">
        <v>8555</v>
      </c>
      <c r="M864" t="s">
        <v>8095</v>
      </c>
      <c r="N864" s="4"/>
    </row>
    <row r="865" spans="1:14" ht="91" x14ac:dyDescent="0.3">
      <c r="A865" s="1" t="str">
        <f>HYPERLINK("https://ipmanager.doe.gov/IPManager//ExternalLink.aspx?6ibkph2k9yi6F%2B0Vz7YoTjnDGhmGHGI7Lr3WahpAzm4%3D","Link")</f>
        <v>Link</v>
      </c>
      <c r="B865" s="2" t="s">
        <v>2922</v>
      </c>
      <c r="C865" s="2" t="s">
        <v>2923</v>
      </c>
      <c r="D865" s="2" t="s">
        <v>12</v>
      </c>
      <c r="E865" s="2" t="s">
        <v>2924</v>
      </c>
      <c r="F865" s="2" t="s">
        <v>2925</v>
      </c>
      <c r="G865" s="2" t="s">
        <v>2926</v>
      </c>
      <c r="H865" s="7"/>
      <c r="I865" s="2" t="s">
        <v>9</v>
      </c>
      <c r="J865" t="s">
        <v>2925</v>
      </c>
      <c r="K865" t="s">
        <v>7719</v>
      </c>
      <c r="L865" s="2" t="s">
        <v>8555</v>
      </c>
      <c r="M865" t="s">
        <v>8095</v>
      </c>
      <c r="N865" s="4"/>
    </row>
    <row r="866" spans="1:14" ht="26" x14ac:dyDescent="0.3">
      <c r="A866" s="1" t="str">
        <f>HYPERLINK("https://ipmanager.doe.gov/IPManager//ExternalLink.aspx?6ibkph2k9yi6F%2B0Vz7YoTjnDGhmGHGI7zfHBCuMoBx4%3D","Link")</f>
        <v>Link</v>
      </c>
      <c r="B866" s="2" t="s">
        <v>2927</v>
      </c>
      <c r="C866" s="2" t="s">
        <v>2923</v>
      </c>
      <c r="D866" s="2" t="s">
        <v>12</v>
      </c>
      <c r="E866" s="2" t="s">
        <v>2928</v>
      </c>
      <c r="F866" s="2" t="s">
        <v>7636</v>
      </c>
      <c r="G866" s="2" t="s">
        <v>9</v>
      </c>
      <c r="H866" s="7"/>
      <c r="I866" s="2" t="s">
        <v>9</v>
      </c>
      <c r="K866" t="e">
        <v>#N/A</v>
      </c>
      <c r="L866" s="2" t="s">
        <v>8555</v>
      </c>
      <c r="M866" t="s">
        <v>8095</v>
      </c>
      <c r="N866" s="4"/>
    </row>
    <row r="867" spans="1:14" ht="65" x14ac:dyDescent="0.3">
      <c r="A867" s="1" t="str">
        <f>HYPERLINK("https://ipmanager.doe.gov/IPManager//ExternalLink.aspx?6ibkph2k9yi6F%2B0Vz7YoTo7DPLa3%2F%2FGgzp1SRFMFWN8%3D","Link")</f>
        <v>Link</v>
      </c>
      <c r="B867" s="2" t="s">
        <v>2929</v>
      </c>
      <c r="C867" s="2" t="s">
        <v>2923</v>
      </c>
      <c r="D867" s="2" t="s">
        <v>12</v>
      </c>
      <c r="E867" s="2" t="s">
        <v>2930</v>
      </c>
      <c r="F867" s="2" t="s">
        <v>2931</v>
      </c>
      <c r="G867" s="2" t="s">
        <v>2932</v>
      </c>
      <c r="H867" s="7"/>
      <c r="I867" s="2" t="s">
        <v>9</v>
      </c>
      <c r="K867" t="e">
        <v>#N/A</v>
      </c>
      <c r="L867" s="2" t="s">
        <v>8555</v>
      </c>
      <c r="M867" t="s">
        <v>8095</v>
      </c>
      <c r="N867" s="4"/>
    </row>
    <row r="868" spans="1:14" ht="65" x14ac:dyDescent="0.3">
      <c r="A868" s="1" t="str">
        <f>HYPERLINK("https://ipmanager.doe.gov/IPManager//ExternalLink.aspx?6ibkph2k9yi6F%2B0Vz7YoTjnDGhmGHGI77rbGggXZ7CQ%3D","Link")</f>
        <v>Link</v>
      </c>
      <c r="B868" s="2" t="s">
        <v>2922</v>
      </c>
      <c r="C868" s="2" t="s">
        <v>2923</v>
      </c>
      <c r="D868" s="2" t="s">
        <v>12</v>
      </c>
      <c r="E868" s="2" t="s">
        <v>2930</v>
      </c>
      <c r="F868" s="2" t="s">
        <v>2925</v>
      </c>
      <c r="G868" s="2" t="s">
        <v>2926</v>
      </c>
      <c r="H868" s="7"/>
      <c r="I868" s="2" t="s">
        <v>9</v>
      </c>
      <c r="J868" t="s">
        <v>2925</v>
      </c>
      <c r="K868" t="s">
        <v>7719</v>
      </c>
      <c r="L868" s="2" t="s">
        <v>8555</v>
      </c>
      <c r="M868" t="s">
        <v>8095</v>
      </c>
      <c r="N868" s="4"/>
    </row>
    <row r="869" spans="1:14" ht="39" x14ac:dyDescent="0.3">
      <c r="A869" s="1" t="str">
        <f>HYPERLINK("https://ipmanager.doe.gov/IPManager//ExternalLink.aspx?6ibkph2k9yi6F%2B0Vz7YoTipZ798QK%2BbPE4wKuR9mAD8%3D","Link")</f>
        <v>Link</v>
      </c>
      <c r="B869" s="2" t="s">
        <v>1499</v>
      </c>
      <c r="C869" s="2" t="s">
        <v>2923</v>
      </c>
      <c r="D869" s="2" t="s">
        <v>2933</v>
      </c>
      <c r="E869" s="2" t="s">
        <v>2934</v>
      </c>
      <c r="F869" s="2" t="s">
        <v>2935</v>
      </c>
      <c r="G869" s="2" t="s">
        <v>2936</v>
      </c>
      <c r="H869" s="7"/>
      <c r="I869" s="2" t="s">
        <v>9</v>
      </c>
      <c r="K869" t="e">
        <v>#N/A</v>
      </c>
      <c r="L869" s="2" t="s">
        <v>8555</v>
      </c>
      <c r="M869" t="s">
        <v>8095</v>
      </c>
      <c r="N869" s="4"/>
    </row>
    <row r="870" spans="1:14" ht="39" x14ac:dyDescent="0.3">
      <c r="A870" s="1" t="str">
        <f>HYPERLINK("https://ipmanager.doe.gov/IPManager//ExternalLink.aspx?6ibkph2k9yi6F%2B0Vz7YoTnXVN2REjGcWF9eXIK7qRL4%3D","Link")</f>
        <v>Link</v>
      </c>
      <c r="B870" s="2" t="s">
        <v>2941</v>
      </c>
      <c r="C870" s="2" t="s">
        <v>2942</v>
      </c>
      <c r="D870" s="2" t="s">
        <v>1285</v>
      </c>
      <c r="E870" s="2" t="s">
        <v>2943</v>
      </c>
      <c r="F870" s="2" t="s">
        <v>2944</v>
      </c>
      <c r="G870" s="2" t="s">
        <v>788</v>
      </c>
      <c r="H870" s="7"/>
      <c r="I870" s="2" t="s">
        <v>9</v>
      </c>
      <c r="K870" t="e">
        <v>#N/A</v>
      </c>
      <c r="L870" s="2" t="s">
        <v>8556</v>
      </c>
      <c r="M870" t="s">
        <v>8096</v>
      </c>
      <c r="N870" s="4"/>
    </row>
    <row r="871" spans="1:14" ht="52" x14ac:dyDescent="0.3">
      <c r="A871" s="1" t="str">
        <f>HYPERLINK("https://ipmanager.doe.gov/IPManager//ExternalLink.aspx?6ibkph2k9yi6F%2B0Vz7YoTlNm8snv%2FZpHrPJiXVmMp2A%3D","Link")</f>
        <v>Link</v>
      </c>
      <c r="B871" s="2" t="s">
        <v>2949</v>
      </c>
      <c r="C871" s="2" t="s">
        <v>2942</v>
      </c>
      <c r="D871" s="2" t="s">
        <v>1285</v>
      </c>
      <c r="E871" s="2" t="s">
        <v>2950</v>
      </c>
      <c r="F871" s="2" t="s">
        <v>2951</v>
      </c>
      <c r="G871" s="2" t="s">
        <v>1249</v>
      </c>
      <c r="H871" s="7"/>
      <c r="I871" s="2" t="s">
        <v>9</v>
      </c>
      <c r="K871" t="e">
        <v>#N/A</v>
      </c>
      <c r="L871" s="2" t="s">
        <v>8556</v>
      </c>
      <c r="M871" t="s">
        <v>8096</v>
      </c>
      <c r="N871" s="4"/>
    </row>
    <row r="872" spans="1:14" ht="52" x14ac:dyDescent="0.3">
      <c r="A872" s="1" t="str">
        <f>HYPERLINK("https://ipmanager.doe.gov/IPManager//ExternalLink.aspx?6ibkph2k9yi6F%2B0Vz7YoTnXVN2REjGcWC7DlUfygoao%3D","Link")</f>
        <v>Link</v>
      </c>
      <c r="B872" s="2" t="s">
        <v>2945</v>
      </c>
      <c r="C872" s="2" t="s">
        <v>2942</v>
      </c>
      <c r="D872" s="2" t="s">
        <v>1285</v>
      </c>
      <c r="E872" s="2" t="s">
        <v>2946</v>
      </c>
      <c r="F872" s="2" t="s">
        <v>2947</v>
      </c>
      <c r="G872" s="2" t="s">
        <v>2586</v>
      </c>
      <c r="H872" s="7">
        <v>9407157</v>
      </c>
      <c r="I872" s="2" t="s">
        <v>2948</v>
      </c>
      <c r="J872" t="s">
        <v>7581</v>
      </c>
      <c r="K872" t="s">
        <v>7902</v>
      </c>
      <c r="L872" s="2" t="s">
        <v>8556</v>
      </c>
      <c r="M872" t="s">
        <v>8096</v>
      </c>
    </row>
    <row r="873" spans="1:14" ht="65" x14ac:dyDescent="0.3">
      <c r="A873" s="1" t="str">
        <f>HYPERLINK("https://ipmanager.doe.gov/IPManager//ExternalLink.aspx?6ibkph2k9yi6F%2B0Vz7YoTk2BI6w%2FjZ2fpDy8RGcuzP4%3D","Link")</f>
        <v>Link</v>
      </c>
      <c r="B873" s="2" t="s">
        <v>2952</v>
      </c>
      <c r="C873" s="2" t="s">
        <v>2942</v>
      </c>
      <c r="D873" s="2" t="s">
        <v>154</v>
      </c>
      <c r="E873" s="2" t="s">
        <v>2953</v>
      </c>
      <c r="F873" s="2"/>
      <c r="G873" s="2" t="s">
        <v>9</v>
      </c>
      <c r="H873" s="7"/>
      <c r="I873" s="2" t="s">
        <v>9</v>
      </c>
      <c r="K873" t="e">
        <v>#N/A</v>
      </c>
      <c r="L873" s="2" t="s">
        <v>8556</v>
      </c>
      <c r="M873" t="s">
        <v>8096</v>
      </c>
      <c r="N873" s="4"/>
    </row>
    <row r="874" spans="1:14" ht="52" x14ac:dyDescent="0.3">
      <c r="A874" s="1" t="str">
        <f>HYPERLINK("https://ipmanager.doe.gov/IPManager//ExternalLink.aspx?6ibkph2k9yi6F%2B0Vz7YoTk2BI6w%2FjZ2fO10IHU09evg%3D","Link")</f>
        <v>Link</v>
      </c>
      <c r="B874" s="2" t="s">
        <v>2954</v>
      </c>
      <c r="C874" s="2" t="s">
        <v>2942</v>
      </c>
      <c r="D874" s="2" t="s">
        <v>1285</v>
      </c>
      <c r="E874" s="2" t="s">
        <v>2955</v>
      </c>
      <c r="F874" s="2"/>
      <c r="G874" s="2" t="s">
        <v>9</v>
      </c>
      <c r="H874" s="7"/>
      <c r="I874" s="2" t="s">
        <v>9</v>
      </c>
      <c r="K874" t="e">
        <v>#N/A</v>
      </c>
      <c r="L874" s="2" t="s">
        <v>8556</v>
      </c>
      <c r="M874" t="s">
        <v>8096</v>
      </c>
      <c r="N874" s="4"/>
    </row>
    <row r="875" spans="1:14" ht="39" x14ac:dyDescent="0.3">
      <c r="A875" s="1" t="str">
        <f>HYPERLINK("https://ipmanager.doe.gov/IPManager//ExternalLink.aspx?6ibkph2k9yi6F%2B0Vz7YoTgZwfmYxrNyKzjE0cB7o5Xs%3D","Link")</f>
        <v>Link</v>
      </c>
      <c r="B875" s="2" t="s">
        <v>2963</v>
      </c>
      <c r="C875" s="2" t="s">
        <v>2942</v>
      </c>
      <c r="D875" s="2" t="s">
        <v>1285</v>
      </c>
      <c r="E875" s="2" t="s">
        <v>2964</v>
      </c>
      <c r="F875" s="2"/>
      <c r="G875" s="2" t="s">
        <v>9</v>
      </c>
      <c r="H875" s="7"/>
      <c r="I875" s="2" t="s">
        <v>9</v>
      </c>
      <c r="K875" t="e">
        <v>#N/A</v>
      </c>
      <c r="L875" s="2" t="s">
        <v>8556</v>
      </c>
      <c r="M875" t="s">
        <v>8096</v>
      </c>
      <c r="N875" s="4"/>
    </row>
    <row r="876" spans="1:14" ht="52" x14ac:dyDescent="0.3">
      <c r="A876" s="1" t="str">
        <f>HYPERLINK("https://ipmanager.doe.gov/IPManager//ExternalLink.aspx?6ibkph2k9yi6F%2B0Vz7YoTgZwfmYxrNyK%2BliHMKdr4%2BE%3D","Link")</f>
        <v>Link</v>
      </c>
      <c r="B876" s="2" t="s">
        <v>2965</v>
      </c>
      <c r="C876" s="2" t="s">
        <v>2942</v>
      </c>
      <c r="D876" s="2" t="s">
        <v>1285</v>
      </c>
      <c r="E876" s="2" t="s">
        <v>2966</v>
      </c>
      <c r="F876" s="2"/>
      <c r="G876" s="2" t="s">
        <v>9</v>
      </c>
      <c r="H876" s="7"/>
      <c r="I876" s="2" t="s">
        <v>9</v>
      </c>
      <c r="K876" t="e">
        <v>#N/A</v>
      </c>
      <c r="L876" s="2" t="s">
        <v>8556</v>
      </c>
      <c r="M876" t="s">
        <v>8096</v>
      </c>
      <c r="N876" s="4"/>
    </row>
    <row r="877" spans="1:14" ht="65" x14ac:dyDescent="0.3">
      <c r="A877" s="1" t="str">
        <f>HYPERLINK("https://ipmanager.doe.gov/IPManager//ExternalLink.aspx?6ibkph2k9yi6F%2B0Vz7YoTlNm8snv%2FZpHpZwzIOgDqXU%3D","Link")</f>
        <v>Link</v>
      </c>
      <c r="B877" s="2" t="s">
        <v>2967</v>
      </c>
      <c r="C877" s="2" t="s">
        <v>2942</v>
      </c>
      <c r="D877" s="2" t="s">
        <v>1285</v>
      </c>
      <c r="E877" s="2" t="s">
        <v>2968</v>
      </c>
      <c r="F877" s="2" t="s">
        <v>2969</v>
      </c>
      <c r="G877" s="2" t="s">
        <v>35</v>
      </c>
      <c r="H877" s="7">
        <v>9306391</v>
      </c>
      <c r="I877" s="2" t="s">
        <v>160</v>
      </c>
      <c r="J877" t="s">
        <v>7582</v>
      </c>
      <c r="K877" t="s">
        <v>7903</v>
      </c>
      <c r="L877" s="2" t="s">
        <v>8556</v>
      </c>
      <c r="M877" t="s">
        <v>8096</v>
      </c>
    </row>
    <row r="878" spans="1:14" ht="39" x14ac:dyDescent="0.3">
      <c r="A878" s="1" t="str">
        <f>HYPERLINK("https://ipmanager.doe.gov/IPManager//ExternalLink.aspx?6ibkph2k9yi6F%2B0Vz7YoTipZ798QK%2BbPfWLM3dOdvx8%3D","Link")</f>
        <v>Link</v>
      </c>
      <c r="B878" s="2" t="s">
        <v>2956</v>
      </c>
      <c r="C878" s="2" t="s">
        <v>2942</v>
      </c>
      <c r="D878" s="2" t="s">
        <v>2957</v>
      </c>
      <c r="E878" s="2" t="s">
        <v>2958</v>
      </c>
      <c r="F878" s="2" t="s">
        <v>2959</v>
      </c>
      <c r="G878" s="2" t="s">
        <v>1834</v>
      </c>
      <c r="H878" s="7"/>
      <c r="I878" s="2" t="s">
        <v>9</v>
      </c>
      <c r="K878" t="e">
        <v>#N/A</v>
      </c>
      <c r="L878" s="2" t="s">
        <v>8556</v>
      </c>
      <c r="M878" t="s">
        <v>8096</v>
      </c>
      <c r="N878" s="4"/>
    </row>
    <row r="879" spans="1:14" ht="52" x14ac:dyDescent="0.3">
      <c r="A879" s="1" t="str">
        <f>HYPERLINK("https://ipmanager.doe.gov/IPManager//ExternalLink.aspx?6ibkph2k9yi6F%2B0Vz7YoTgZwfmYxrNyKpP8o4bzM7GI%3D","Link")</f>
        <v>Link</v>
      </c>
      <c r="B879" s="2" t="s">
        <v>2960</v>
      </c>
      <c r="C879" s="2" t="s">
        <v>2942</v>
      </c>
      <c r="D879" s="2" t="s">
        <v>2957</v>
      </c>
      <c r="E879" s="2" t="s">
        <v>2961</v>
      </c>
      <c r="F879" s="2" t="s">
        <v>2962</v>
      </c>
      <c r="G879" s="2" t="s">
        <v>2894</v>
      </c>
      <c r="H879" s="7"/>
      <c r="I879" s="2" t="s">
        <v>9</v>
      </c>
      <c r="K879" t="e">
        <v>#N/A</v>
      </c>
      <c r="L879" s="2" t="s">
        <v>8556</v>
      </c>
      <c r="M879" t="s">
        <v>8096</v>
      </c>
      <c r="N879" s="4"/>
    </row>
    <row r="880" spans="1:14" ht="26" x14ac:dyDescent="0.3">
      <c r="A880" s="1" t="str">
        <f>HYPERLINK("https://ipmanager.doe.gov/IPManager//ExternalLink.aspx?6ibkph2k9yi6F%2B0Vz7YoTgZwfmYxrNyK61Xaog5RkZI%3D","Link")</f>
        <v>Link</v>
      </c>
      <c r="B880" s="2" t="s">
        <v>2970</v>
      </c>
      <c r="C880" s="2" t="s">
        <v>2971</v>
      </c>
      <c r="D880" s="2" t="s">
        <v>308</v>
      </c>
      <c r="E880" s="2" t="s">
        <v>2972</v>
      </c>
      <c r="F880" s="2"/>
      <c r="G880" s="2" t="s">
        <v>9</v>
      </c>
      <c r="H880" s="7"/>
      <c r="I880" s="2" t="s">
        <v>9</v>
      </c>
      <c r="K880" t="e">
        <v>#N/A</v>
      </c>
      <c r="L880" s="2" t="s">
        <v>8557</v>
      </c>
      <c r="M880" t="s">
        <v>8097</v>
      </c>
      <c r="N880" s="4"/>
    </row>
    <row r="881" spans="1:14" ht="65" x14ac:dyDescent="0.3">
      <c r="A881" s="1" t="str">
        <f>HYPERLINK("https://ipmanager.doe.gov/IPManager//ExternalLink.aspx?6ibkph2k9yi6F%2B0Vz7YoTjnDGhmGHGI7n6YAE6bQV04%3D","Link")</f>
        <v>Link</v>
      </c>
      <c r="B881" s="2" t="s">
        <v>2984</v>
      </c>
      <c r="C881" s="2" t="s">
        <v>2974</v>
      </c>
      <c r="D881" s="2" t="s">
        <v>348</v>
      </c>
      <c r="E881" s="2" t="s">
        <v>2985</v>
      </c>
      <c r="F881" s="2" t="s">
        <v>2986</v>
      </c>
      <c r="G881" s="2" t="s">
        <v>2987</v>
      </c>
      <c r="H881" s="7"/>
      <c r="I881" s="2" t="s">
        <v>9</v>
      </c>
      <c r="K881" t="e">
        <v>#N/A</v>
      </c>
      <c r="L881" s="2" t="s">
        <v>8558</v>
      </c>
      <c r="M881" t="s">
        <v>8098</v>
      </c>
      <c r="N881" s="4"/>
    </row>
    <row r="882" spans="1:14" ht="52" x14ac:dyDescent="0.3">
      <c r="A882" s="1" t="str">
        <f>HYPERLINK("https://ipmanager.doe.gov/IPManager//ExternalLink.aspx?6ibkph2k9yi6F%2B0Vz7YoTjnDGhmGHGI7wttj3cJZyk0%3D","Link")</f>
        <v>Link</v>
      </c>
      <c r="B882" s="2" t="s">
        <v>2997</v>
      </c>
      <c r="C882" s="2" t="s">
        <v>2974</v>
      </c>
      <c r="D882" s="2" t="s">
        <v>348</v>
      </c>
      <c r="E882" s="2" t="s">
        <v>2989</v>
      </c>
      <c r="F882" s="2" t="s">
        <v>2998</v>
      </c>
      <c r="G882" s="2" t="s">
        <v>855</v>
      </c>
      <c r="H882" s="7"/>
      <c r="I882" s="2" t="s">
        <v>9</v>
      </c>
      <c r="J882" t="s">
        <v>2998</v>
      </c>
      <c r="K882" t="s">
        <v>7691</v>
      </c>
      <c r="L882" s="2" t="s">
        <v>8558</v>
      </c>
      <c r="M882" t="s">
        <v>8098</v>
      </c>
      <c r="N882" s="4"/>
    </row>
    <row r="883" spans="1:14" ht="39" x14ac:dyDescent="0.3">
      <c r="A883" s="1" t="str">
        <f>HYPERLINK("https://ipmanager.doe.gov/IPManager//ExternalLink.aspx?6ibkph2k9yi6F%2B0Vz7YoTjnDGhmGHGI7Ss%2FjzKJ5Mxs%3D","Link")</f>
        <v>Link</v>
      </c>
      <c r="B883" s="2" t="s">
        <v>2999</v>
      </c>
      <c r="C883" s="2" t="s">
        <v>2974</v>
      </c>
      <c r="D883" s="2" t="s">
        <v>348</v>
      </c>
      <c r="E883" s="2" t="s">
        <v>3000</v>
      </c>
      <c r="F883" s="2" t="s">
        <v>3001</v>
      </c>
      <c r="G883" s="2" t="s">
        <v>3002</v>
      </c>
      <c r="H883" s="7"/>
      <c r="I883" s="2" t="s">
        <v>9</v>
      </c>
      <c r="K883" t="e">
        <v>#N/A</v>
      </c>
      <c r="L883" s="2" t="s">
        <v>8558</v>
      </c>
      <c r="M883" t="s">
        <v>8098</v>
      </c>
      <c r="N883" s="4"/>
    </row>
    <row r="884" spans="1:14" ht="52" x14ac:dyDescent="0.3">
      <c r="A884" s="1" t="str">
        <f>HYPERLINK("https://ipmanager.doe.gov/IPManager//ExternalLink.aspx?6ibkph2k9yi6F%2B0Vz7YoTlNm8snv%2FZpHsFQH34USVec%3D","Link")</f>
        <v>Link</v>
      </c>
      <c r="B884" s="2" t="s">
        <v>2973</v>
      </c>
      <c r="C884" s="2" t="s">
        <v>2974</v>
      </c>
      <c r="D884" s="2" t="s">
        <v>348</v>
      </c>
      <c r="E884" s="2" t="s">
        <v>2975</v>
      </c>
      <c r="F884" s="2"/>
      <c r="G884" s="2" t="s">
        <v>9</v>
      </c>
      <c r="H884" s="7"/>
      <c r="I884" s="2" t="s">
        <v>9</v>
      </c>
      <c r="K884" t="e">
        <v>#N/A</v>
      </c>
      <c r="L884" s="2" t="s">
        <v>8558</v>
      </c>
      <c r="M884" t="s">
        <v>8098</v>
      </c>
      <c r="N884" s="4"/>
    </row>
    <row r="885" spans="1:14" ht="39" x14ac:dyDescent="0.3">
      <c r="A885" s="1" t="str">
        <f>HYPERLINK("https://ipmanager.doe.gov/IPManager//ExternalLink.aspx?6ibkph2k9yi6F%2B0Vz7YoTipZ798QK%2BbPGtCZe2MrfaI%3D","Link")</f>
        <v>Link</v>
      </c>
      <c r="B885" s="2" t="s">
        <v>2976</v>
      </c>
      <c r="C885" s="2" t="s">
        <v>2974</v>
      </c>
      <c r="D885" s="2" t="s">
        <v>348</v>
      </c>
      <c r="E885" s="2" t="s">
        <v>2977</v>
      </c>
      <c r="F885" s="2"/>
      <c r="G885" s="2" t="s">
        <v>9</v>
      </c>
      <c r="H885" s="7"/>
      <c r="I885" s="2" t="s">
        <v>9</v>
      </c>
      <c r="K885" t="e">
        <v>#N/A</v>
      </c>
      <c r="L885" s="2" t="s">
        <v>8558</v>
      </c>
      <c r="M885" t="s">
        <v>8098</v>
      </c>
      <c r="N885" s="4"/>
    </row>
    <row r="886" spans="1:14" ht="26" x14ac:dyDescent="0.3">
      <c r="A886" s="1" t="str">
        <f>HYPERLINK("https://ipmanager.doe.gov/IPManager//ExternalLink.aspx?6ibkph2k9yi6F%2B0Vz7YoTr7J5I%2BY4foYMal7mj0rX2g%3D","Link")</f>
        <v>Link</v>
      </c>
      <c r="B886" s="2" t="s">
        <v>2978</v>
      </c>
      <c r="C886" s="2" t="s">
        <v>2974</v>
      </c>
      <c r="D886" s="2" t="s">
        <v>348</v>
      </c>
      <c r="E886" s="2" t="s">
        <v>2979</v>
      </c>
      <c r="F886" s="2"/>
      <c r="G886" s="2" t="s">
        <v>9</v>
      </c>
      <c r="H886" s="7"/>
      <c r="I886" s="2" t="s">
        <v>9</v>
      </c>
      <c r="K886" t="e">
        <v>#N/A</v>
      </c>
      <c r="L886" s="2" t="s">
        <v>8558</v>
      </c>
      <c r="M886" t="s">
        <v>8098</v>
      </c>
      <c r="N886" s="4"/>
    </row>
    <row r="887" spans="1:14" ht="39" x14ac:dyDescent="0.3">
      <c r="A887" s="1" t="str">
        <f>HYPERLINK("https://ipmanager.doe.gov/IPManager//ExternalLink.aspx?6ibkph2k9yi6F%2B0Vz7YoTr7J5I%2BY4foYBI3ZBAFf%2BGY%3D","Link")</f>
        <v>Link</v>
      </c>
      <c r="B887" s="2" t="s">
        <v>2980</v>
      </c>
      <c r="C887" s="2" t="s">
        <v>2974</v>
      </c>
      <c r="D887" s="2" t="s">
        <v>348</v>
      </c>
      <c r="E887" s="2" t="s">
        <v>2981</v>
      </c>
      <c r="F887" s="2"/>
      <c r="G887" s="2" t="s">
        <v>9</v>
      </c>
      <c r="H887" s="7"/>
      <c r="I887" s="2" t="s">
        <v>9</v>
      </c>
      <c r="K887" t="e">
        <v>#N/A</v>
      </c>
      <c r="L887" s="2" t="s">
        <v>8558</v>
      </c>
      <c r="M887" t="s">
        <v>8098</v>
      </c>
      <c r="N887" s="4"/>
    </row>
    <row r="888" spans="1:14" ht="65" x14ac:dyDescent="0.3">
      <c r="A888" s="1" t="str">
        <f>HYPERLINK("https://ipmanager.doe.gov/IPManager//ExternalLink.aspx?6ibkph2k9yi6F%2B0Vz7YoTgZwfmYxrNyK1proIgEqJ9k%3D","Link")</f>
        <v>Link</v>
      </c>
      <c r="B888" s="2" t="s">
        <v>2982</v>
      </c>
      <c r="C888" s="2" t="s">
        <v>2974</v>
      </c>
      <c r="D888" s="2" t="s">
        <v>348</v>
      </c>
      <c r="E888" s="2" t="s">
        <v>2983</v>
      </c>
      <c r="F888" s="2"/>
      <c r="G888" s="2" t="s">
        <v>9</v>
      </c>
      <c r="H888" s="7"/>
      <c r="I888" s="2" t="s">
        <v>9</v>
      </c>
      <c r="K888" t="e">
        <v>#N/A</v>
      </c>
      <c r="L888" s="2" t="s">
        <v>8558</v>
      </c>
      <c r="M888" t="s">
        <v>8098</v>
      </c>
      <c r="N888" s="4"/>
    </row>
    <row r="889" spans="1:14" ht="65" x14ac:dyDescent="0.3">
      <c r="A889" s="1" t="str">
        <f>HYPERLINK("https://ipmanager.doe.gov/IPManager//ExternalLink.aspx?6ibkph2k9yi6F%2B0Vz7YoTjnDGhmGHGI7hhPgEMlOd%2Fs%3D","Link")</f>
        <v>Link</v>
      </c>
      <c r="B889" s="2" t="s">
        <v>2982</v>
      </c>
      <c r="C889" s="2" t="s">
        <v>2974</v>
      </c>
      <c r="D889" s="2" t="s">
        <v>348</v>
      </c>
      <c r="E889" s="2" t="s">
        <v>2983</v>
      </c>
      <c r="F889" s="2"/>
      <c r="G889" s="2" t="s">
        <v>9</v>
      </c>
      <c r="H889" s="7"/>
      <c r="I889" s="2" t="s">
        <v>9</v>
      </c>
      <c r="K889" t="e">
        <v>#N/A</v>
      </c>
      <c r="L889" s="2" t="s">
        <v>8558</v>
      </c>
      <c r="M889" t="s">
        <v>8098</v>
      </c>
      <c r="N889" s="4"/>
    </row>
    <row r="890" spans="1:14" ht="52" x14ac:dyDescent="0.3">
      <c r="A890" s="1" t="str">
        <f>HYPERLINK("https://ipmanager.doe.gov/IPManager//ExternalLink.aspx?6ibkph2k9yi6F%2B0Vz7YoTjnDGhmGHGI7F03aZWGxVZ4%3D","Link")</f>
        <v>Link</v>
      </c>
      <c r="B890" s="2" t="s">
        <v>2988</v>
      </c>
      <c r="C890" s="2" t="s">
        <v>2974</v>
      </c>
      <c r="D890" s="2" t="s">
        <v>348</v>
      </c>
      <c r="E890" s="2" t="s">
        <v>2989</v>
      </c>
      <c r="F890" s="2" t="s">
        <v>2990</v>
      </c>
      <c r="G890" s="2" t="s">
        <v>855</v>
      </c>
      <c r="H890" s="7">
        <v>10158229</v>
      </c>
      <c r="I890" s="2" t="s">
        <v>2991</v>
      </c>
      <c r="J890" t="s">
        <v>7583</v>
      </c>
      <c r="K890" t="s">
        <v>7904</v>
      </c>
      <c r="L890" s="2" t="s">
        <v>8558</v>
      </c>
      <c r="M890" t="s">
        <v>8098</v>
      </c>
    </row>
    <row r="891" spans="1:14" ht="65" x14ac:dyDescent="0.3">
      <c r="A891" s="1" t="str">
        <f>HYPERLINK("https://ipmanager.doe.gov/IPManager//ExternalLink.aspx?6ibkph2k9yi6F%2B0Vz7YoTjnDGhmGHGI7ezJiV9TeYwc%3D","Link")</f>
        <v>Link</v>
      </c>
      <c r="B891" s="2" t="s">
        <v>2993</v>
      </c>
      <c r="C891" s="2" t="s">
        <v>2974</v>
      </c>
      <c r="D891" s="2" t="s">
        <v>348</v>
      </c>
      <c r="E891" s="2" t="s">
        <v>2994</v>
      </c>
      <c r="F891" s="2"/>
      <c r="G891" s="2" t="s">
        <v>9</v>
      </c>
      <c r="H891" s="7"/>
      <c r="I891" s="2" t="s">
        <v>9</v>
      </c>
      <c r="K891" t="e">
        <v>#N/A</v>
      </c>
      <c r="L891" s="2" t="s">
        <v>8558</v>
      </c>
      <c r="M891" t="s">
        <v>8098</v>
      </c>
      <c r="N891" s="4"/>
    </row>
    <row r="892" spans="1:14" ht="65" x14ac:dyDescent="0.3">
      <c r="A892" s="1" t="str">
        <f>HYPERLINK("https://ipmanager.doe.gov/IPManager//ExternalLink.aspx?6ibkph2k9yi6F%2B0Vz7YoTjnDGhmGHGI7TBYNhiXHy%2B8%3D","Link")</f>
        <v>Link</v>
      </c>
      <c r="B892" s="2" t="s">
        <v>2980</v>
      </c>
      <c r="C892" s="2" t="s">
        <v>2974</v>
      </c>
      <c r="D892" s="2" t="s">
        <v>348</v>
      </c>
      <c r="E892" s="2" t="s">
        <v>2994</v>
      </c>
      <c r="F892" s="2"/>
      <c r="G892" s="2" t="s">
        <v>9</v>
      </c>
      <c r="H892" s="7"/>
      <c r="I892" s="2" t="s">
        <v>9</v>
      </c>
      <c r="K892" t="e">
        <v>#N/A</v>
      </c>
      <c r="L892" s="2" t="s">
        <v>8558</v>
      </c>
      <c r="M892" t="s">
        <v>8098</v>
      </c>
      <c r="N892" s="4"/>
    </row>
    <row r="893" spans="1:14" ht="26" x14ac:dyDescent="0.3">
      <c r="A893" s="1" t="str">
        <f>HYPERLINK("https://ipmanager.doe.gov/IPManager//ExternalLink.aspx?6ibkph2k9yi6F%2B0Vz7YoTjnDGhmGHGI7wsmNcc163VM%3D","Link")</f>
        <v>Link</v>
      </c>
      <c r="B893" s="2" t="s">
        <v>2995</v>
      </c>
      <c r="C893" s="2" t="s">
        <v>2974</v>
      </c>
      <c r="D893" s="2" t="s">
        <v>348</v>
      </c>
      <c r="E893" s="2" t="s">
        <v>2996</v>
      </c>
      <c r="F893" s="2"/>
      <c r="G893" s="2" t="s">
        <v>9</v>
      </c>
      <c r="H893" s="7"/>
      <c r="I893" s="2" t="s">
        <v>9</v>
      </c>
      <c r="K893" t="e">
        <v>#N/A</v>
      </c>
      <c r="L893" s="2" t="s">
        <v>8558</v>
      </c>
      <c r="M893" t="s">
        <v>8098</v>
      </c>
      <c r="N893" s="4"/>
    </row>
    <row r="894" spans="1:14" ht="26" x14ac:dyDescent="0.3">
      <c r="A894" s="1" t="str">
        <f>HYPERLINK("https://ipmanager.doe.gov/IPManager//ExternalLink.aspx?6ibkph2k9yi6F%2B0Vz7YoTkqAgjuWMa9Qg9WtqWzfS%2Bg%3D","Link")</f>
        <v>Link</v>
      </c>
      <c r="B894" s="2" t="s">
        <v>3009</v>
      </c>
      <c r="C894" s="2" t="s">
        <v>3004</v>
      </c>
      <c r="D894" s="2" t="s">
        <v>3005</v>
      </c>
      <c r="E894" s="2" t="s">
        <v>3010</v>
      </c>
      <c r="F894" s="2" t="s">
        <v>3011</v>
      </c>
      <c r="G894" s="2" t="s">
        <v>3012</v>
      </c>
      <c r="H894" s="8">
        <v>9197065</v>
      </c>
      <c r="I894" s="2" t="s">
        <v>455</v>
      </c>
      <c r="J894" t="s">
        <v>7584</v>
      </c>
      <c r="K894" t="s">
        <v>7905</v>
      </c>
      <c r="L894" s="2" t="s">
        <v>8559</v>
      </c>
      <c r="M894" t="s">
        <v>8099</v>
      </c>
    </row>
    <row r="895" spans="1:14" ht="39" x14ac:dyDescent="0.3">
      <c r="A895" s="1" t="str">
        <f>HYPERLINK("https://ipmanager.doe.gov/IPManager//ExternalLink.aspx?6ibkph2k9yi6F%2B0Vz7YoTo7DPLa3%2F%2FGgzDubQPk25wU%3D","Link")</f>
        <v>Link</v>
      </c>
      <c r="B895" s="2" t="s">
        <v>3013</v>
      </c>
      <c r="C895" s="2" t="s">
        <v>3004</v>
      </c>
      <c r="D895" s="2" t="s">
        <v>3005</v>
      </c>
      <c r="E895" s="2" t="s">
        <v>1689</v>
      </c>
      <c r="F895" s="2" t="s">
        <v>1690</v>
      </c>
      <c r="G895" s="2" t="s">
        <v>2211</v>
      </c>
      <c r="H895" s="7"/>
      <c r="I895" s="2" t="s">
        <v>9</v>
      </c>
      <c r="J895" t="s">
        <v>7479</v>
      </c>
      <c r="K895" t="s">
        <v>7832</v>
      </c>
      <c r="L895" s="2" t="s">
        <v>8559</v>
      </c>
      <c r="M895" t="s">
        <v>8099</v>
      </c>
      <c r="N895" s="4"/>
    </row>
    <row r="896" spans="1:14" ht="26" x14ac:dyDescent="0.3">
      <c r="A896" s="1" t="str">
        <f>HYPERLINK("https://ipmanager.doe.gov/IPManager//ExternalLink.aspx?6ibkph2k9yi6F%2B0Vz7YoTjnDGhmGHGI7O2xa6kbW8tc%3D","Link")</f>
        <v>Link</v>
      </c>
      <c r="B896" s="2" t="s">
        <v>3014</v>
      </c>
      <c r="C896" s="2" t="s">
        <v>3004</v>
      </c>
      <c r="D896" s="2" t="s">
        <v>3005</v>
      </c>
      <c r="E896" s="2" t="s">
        <v>3015</v>
      </c>
      <c r="F896" s="2" t="s">
        <v>3016</v>
      </c>
      <c r="G896" s="2" t="s">
        <v>3017</v>
      </c>
      <c r="H896" s="7">
        <v>9590421</v>
      </c>
      <c r="I896" s="2" t="s">
        <v>270</v>
      </c>
      <c r="J896" t="s">
        <v>7585</v>
      </c>
      <c r="K896" t="s">
        <v>7906</v>
      </c>
      <c r="L896" s="2" t="s">
        <v>8559</v>
      </c>
      <c r="M896" t="s">
        <v>8099</v>
      </c>
    </row>
    <row r="897" spans="1:14" ht="39" x14ac:dyDescent="0.3">
      <c r="A897" s="1" t="str">
        <f>HYPERLINK("https://ipmanager.doe.gov/IPManager//ExternalLink.aspx?6ibkph2k9yi6F%2B0Vz7YoTvE8yjoHgvp6S3OiXvncalc%3D","Link")</f>
        <v>Link</v>
      </c>
      <c r="B897" s="2" t="s">
        <v>3003</v>
      </c>
      <c r="C897" s="2" t="s">
        <v>3004</v>
      </c>
      <c r="D897" s="2" t="s">
        <v>3005</v>
      </c>
      <c r="E897" s="2" t="s">
        <v>3006</v>
      </c>
      <c r="F897" s="2" t="s">
        <v>3007</v>
      </c>
      <c r="G897" s="2" t="s">
        <v>1672</v>
      </c>
      <c r="H897" s="2"/>
      <c r="I897" s="2" t="s">
        <v>9</v>
      </c>
      <c r="K897" t="e">
        <v>#N/A</v>
      </c>
      <c r="L897" s="2" t="s">
        <v>8559</v>
      </c>
      <c r="M897" t="s">
        <v>8099</v>
      </c>
      <c r="N897" s="4"/>
    </row>
    <row r="898" spans="1:14" ht="78" x14ac:dyDescent="0.3">
      <c r="A898" s="1" t="str">
        <f>HYPERLINK("https://ipmanager.doe.gov/IPManager//ExternalLink.aspx?6ibkph2k9yi6F%2B0Vz7YoTjnDGhmGHGI7vvbxq4BpUhU%3D","Link")</f>
        <v>Link</v>
      </c>
      <c r="B898" s="2" t="s">
        <v>3018</v>
      </c>
      <c r="C898" s="2" t="s">
        <v>3019</v>
      </c>
      <c r="D898" s="2" t="s">
        <v>3020</v>
      </c>
      <c r="E898" s="2" t="s">
        <v>3021</v>
      </c>
      <c r="F898" s="2" t="s">
        <v>3022</v>
      </c>
      <c r="G898" s="2" t="s">
        <v>2940</v>
      </c>
      <c r="H898" s="7"/>
      <c r="I898" s="2" t="s">
        <v>9</v>
      </c>
      <c r="K898" t="e">
        <v>#N/A</v>
      </c>
      <c r="L898" s="2" t="s">
        <v>8560</v>
      </c>
      <c r="M898" t="s">
        <v>8100</v>
      </c>
      <c r="N898" s="4"/>
    </row>
    <row r="899" spans="1:14" ht="52" x14ac:dyDescent="0.3">
      <c r="A899" s="1" t="str">
        <f>HYPERLINK("https://ipmanager.doe.gov/IPManager//ExternalLink.aspx?6ibkph2k9yi6F%2B0Vz7YoTjnDGhmGHGI7fOpIPFru6%2Bk%3D","Link")</f>
        <v>Link</v>
      </c>
      <c r="B899" s="2" t="s">
        <v>3027</v>
      </c>
      <c r="C899" s="2" t="s">
        <v>3025</v>
      </c>
      <c r="D899" s="2" t="s">
        <v>2908</v>
      </c>
      <c r="E899" s="2" t="s">
        <v>3028</v>
      </c>
      <c r="F899" s="2" t="s">
        <v>2654</v>
      </c>
      <c r="G899" s="2" t="s">
        <v>2326</v>
      </c>
      <c r="H899" s="7"/>
      <c r="I899" s="2" t="s">
        <v>9</v>
      </c>
      <c r="K899" t="e">
        <v>#N/A</v>
      </c>
      <c r="L899" s="2" t="s">
        <v>8561</v>
      </c>
      <c r="M899" t="s">
        <v>8101</v>
      </c>
      <c r="N899" s="4"/>
    </row>
    <row r="900" spans="1:14" ht="52" x14ac:dyDescent="0.3">
      <c r="A900" s="1" t="str">
        <f>HYPERLINK("https://ipmanager.doe.gov/IPManager//ExternalLink.aspx?6ibkph2k9yi6F%2B0Vz7YoTvPUg%2FVZPl3i1bM6Jmm%2BadQ%3D","Link")</f>
        <v>Link</v>
      </c>
      <c r="B900" s="2" t="s">
        <v>3024</v>
      </c>
      <c r="C900" s="2" t="s">
        <v>3025</v>
      </c>
      <c r="D900" s="2" t="s">
        <v>2908</v>
      </c>
      <c r="E900" s="2" t="s">
        <v>3026</v>
      </c>
      <c r="F900" s="2"/>
      <c r="G900" s="2" t="s">
        <v>9</v>
      </c>
      <c r="H900" s="7"/>
      <c r="I900" s="2" t="s">
        <v>9</v>
      </c>
      <c r="K900" t="e">
        <v>#N/A</v>
      </c>
      <c r="L900" s="2" t="s">
        <v>8561</v>
      </c>
      <c r="M900" t="s">
        <v>8101</v>
      </c>
      <c r="N900" s="4"/>
    </row>
    <row r="901" spans="1:14" ht="26" x14ac:dyDescent="0.3">
      <c r="A901" s="1" t="str">
        <f>HYPERLINK("https://ipmanager.doe.gov/IPManager//ExternalLink.aspx?6ibkph2k9yi6F%2B0Vz7YoTjnDGhmGHGI7I08kC5%2FJGxc%3D","Link")</f>
        <v>Link</v>
      </c>
      <c r="B901" s="2" t="s">
        <v>3029</v>
      </c>
      <c r="C901" s="2" t="s">
        <v>3030</v>
      </c>
      <c r="D901" s="2" t="s">
        <v>3031</v>
      </c>
      <c r="E901" s="2" t="s">
        <v>3032</v>
      </c>
      <c r="F901" s="2" t="s">
        <v>3033</v>
      </c>
      <c r="G901" s="2" t="s">
        <v>3034</v>
      </c>
      <c r="H901" s="8">
        <v>9054530</v>
      </c>
      <c r="I901" s="2" t="s">
        <v>3035</v>
      </c>
      <c r="J901" t="s">
        <v>7586</v>
      </c>
      <c r="K901" t="s">
        <v>7907</v>
      </c>
      <c r="L901" s="2" t="s">
        <v>8562</v>
      </c>
      <c r="M901" t="s">
        <v>8102</v>
      </c>
    </row>
    <row r="902" spans="1:14" ht="65" x14ac:dyDescent="0.3">
      <c r="A902" s="1" t="str">
        <f>HYPERLINK("https://ipmanager.doe.gov/IPManager//ExternalLink.aspx?6ibkph2k9yi6F%2B0Vz7YoTipZ798QK%2BbPWh8WOXfnQxY%3D","Link")</f>
        <v>Link</v>
      </c>
      <c r="B902" s="2" t="s">
        <v>3036</v>
      </c>
      <c r="C902" s="2" t="s">
        <v>3037</v>
      </c>
      <c r="D902" s="2" t="s">
        <v>3038</v>
      </c>
      <c r="E902" s="2" t="s">
        <v>3039</v>
      </c>
      <c r="F902" s="2" t="s">
        <v>7609</v>
      </c>
      <c r="G902" s="2" t="s">
        <v>3040</v>
      </c>
      <c r="H902" s="2"/>
      <c r="I902" s="2" t="s">
        <v>9</v>
      </c>
      <c r="J902" t="s">
        <v>2636</v>
      </c>
      <c r="K902" t="s">
        <v>7888</v>
      </c>
      <c r="L902" s="2" t="s">
        <v>8563</v>
      </c>
      <c r="M902" t="s">
        <v>8103</v>
      </c>
      <c r="N902" s="4"/>
    </row>
    <row r="903" spans="1:14" ht="65" x14ac:dyDescent="0.3">
      <c r="A903" s="1" t="str">
        <f>HYPERLINK("https://ipmanager.doe.gov/IPManager//ExternalLink.aspx?6ibkph2k9yi6F%2B0Vz7YoTlNm8snv%2FZpHduii1vAAXno%3D","Link")</f>
        <v>Link</v>
      </c>
      <c r="B903" s="2" t="s">
        <v>3041</v>
      </c>
      <c r="C903" s="2" t="s">
        <v>3037</v>
      </c>
      <c r="D903" s="2" t="s">
        <v>3038</v>
      </c>
      <c r="E903" s="2" t="s">
        <v>3042</v>
      </c>
      <c r="F903" s="2" t="s">
        <v>7610</v>
      </c>
      <c r="G903" s="2" t="s">
        <v>3043</v>
      </c>
      <c r="H903" s="2"/>
      <c r="I903" s="2" t="s">
        <v>9</v>
      </c>
      <c r="J903" t="s">
        <v>4462</v>
      </c>
      <c r="K903" t="s">
        <v>7908</v>
      </c>
      <c r="L903" s="2" t="s">
        <v>8563</v>
      </c>
      <c r="M903" t="s">
        <v>8103</v>
      </c>
      <c r="N903" s="4"/>
    </row>
    <row r="904" spans="1:14" ht="65" x14ac:dyDescent="0.3">
      <c r="A904" s="1" t="str">
        <f>HYPERLINK("https://ipmanager.doe.gov/IPManager//ExternalLink.aspx?6ibkph2k9yi6F%2B0Vz7YoTjnDGhmGHGI7EMsVSpqovlI%3D","Link")</f>
        <v>Link</v>
      </c>
      <c r="B904" s="2" t="s">
        <v>3044</v>
      </c>
      <c r="C904" s="2" t="s">
        <v>3037</v>
      </c>
      <c r="D904" s="2" t="s">
        <v>3038</v>
      </c>
      <c r="E904" s="2" t="s">
        <v>3045</v>
      </c>
      <c r="F904" s="2" t="s">
        <v>7611</v>
      </c>
      <c r="G904" s="2" t="s">
        <v>3046</v>
      </c>
      <c r="H904" s="2"/>
      <c r="I904" s="2" t="s">
        <v>9</v>
      </c>
      <c r="J904" t="s">
        <v>1438</v>
      </c>
      <c r="K904" t="s">
        <v>7810</v>
      </c>
      <c r="L904" s="2" t="s">
        <v>8563</v>
      </c>
      <c r="M904" t="s">
        <v>8103</v>
      </c>
      <c r="N904" s="4"/>
    </row>
    <row r="905" spans="1:14" ht="52" x14ac:dyDescent="0.3">
      <c r="A905" s="1" t="str">
        <f>HYPERLINK("https://ipmanager.doe.gov/IPManager//ExternalLink.aspx?6ibkph2k9yi6F%2B0Vz7YoTjnDGhmGHGI7gFSsr72%2BXBw%3D","Link")</f>
        <v>Link</v>
      </c>
      <c r="B905" s="2" t="s">
        <v>3047</v>
      </c>
      <c r="C905" s="2" t="s">
        <v>3037</v>
      </c>
      <c r="D905" s="2" t="s">
        <v>3038</v>
      </c>
      <c r="E905" s="2" t="s">
        <v>3048</v>
      </c>
      <c r="F905" s="2" t="s">
        <v>3049</v>
      </c>
      <c r="G905" s="2" t="s">
        <v>1313</v>
      </c>
      <c r="H905" s="2"/>
      <c r="I905" s="2" t="s">
        <v>9</v>
      </c>
      <c r="J905" t="s">
        <v>1804</v>
      </c>
      <c r="K905" t="s">
        <v>7842</v>
      </c>
      <c r="L905" s="2" t="s">
        <v>8563</v>
      </c>
      <c r="M905" t="s">
        <v>8103</v>
      </c>
      <c r="N905" s="4"/>
    </row>
    <row r="906" spans="1:14" ht="78" x14ac:dyDescent="0.3">
      <c r="A906" s="1" t="str">
        <f>HYPERLINK("https://ipmanager.doe.gov/IPManager//ExternalLink.aspx?6ibkph2k9yi6F%2B0Vz7YoTjnDGhmGHGI7wb0P7U3oUow%3D","Link")</f>
        <v>Link</v>
      </c>
      <c r="B906" s="2" t="s">
        <v>3050</v>
      </c>
      <c r="C906" s="2" t="s">
        <v>3037</v>
      </c>
      <c r="D906" s="2" t="s">
        <v>3038</v>
      </c>
      <c r="E906" s="2" t="s">
        <v>3051</v>
      </c>
      <c r="F906" s="2" t="s">
        <v>7612</v>
      </c>
      <c r="G906" s="2" t="s">
        <v>3052</v>
      </c>
      <c r="H906" s="2"/>
      <c r="I906" s="2" t="s">
        <v>9</v>
      </c>
      <c r="J906" t="s">
        <v>4591</v>
      </c>
      <c r="K906" t="s">
        <v>7909</v>
      </c>
      <c r="L906" s="2" t="s">
        <v>8563</v>
      </c>
      <c r="M906" t="s">
        <v>8103</v>
      </c>
      <c r="N906" s="4"/>
    </row>
    <row r="907" spans="1:14" ht="26" x14ac:dyDescent="0.3">
      <c r="A907" s="1" t="str">
        <f>HYPERLINK("https://ipmanager.doe.gov/IPManager//ExternalLink.aspx?6ibkph2k9yi6F%2B0Vz7YoTjnDGhmGHGI7%2F4x2KOhICjM%3D","Link")</f>
        <v>Link</v>
      </c>
      <c r="B907" s="2" t="s">
        <v>3053</v>
      </c>
      <c r="C907" s="2" t="s">
        <v>3054</v>
      </c>
      <c r="D907" s="2" t="s">
        <v>1807</v>
      </c>
      <c r="E907" s="2" t="s">
        <v>1815</v>
      </c>
      <c r="F907" s="2" t="s">
        <v>3055</v>
      </c>
      <c r="G907" s="2" t="s">
        <v>1652</v>
      </c>
      <c r="H907" s="7">
        <v>8888049</v>
      </c>
      <c r="I907" s="2" t="s">
        <v>3056</v>
      </c>
      <c r="J907" t="s">
        <v>7587</v>
      </c>
      <c r="K907" t="e">
        <v>#N/A</v>
      </c>
      <c r="L907" s="2" t="s">
        <v>8412</v>
      </c>
      <c r="M907" t="s">
        <v>8104</v>
      </c>
    </row>
    <row r="908" spans="1:14" ht="39" x14ac:dyDescent="0.3">
      <c r="A908" s="1" t="str">
        <f>HYPERLINK("https://ipmanager.doe.gov/IPManager//ExternalLink.aspx?6ibkph2k9yi6F%2B0Vz7YoTjnDGhmGHGI7zSZDp9gD00w%3D","Link")</f>
        <v>Link</v>
      </c>
      <c r="B908" s="2" t="s">
        <v>3057</v>
      </c>
      <c r="C908" s="2" t="s">
        <v>3058</v>
      </c>
      <c r="D908" s="2" t="s">
        <v>3059</v>
      </c>
      <c r="E908" s="2" t="s">
        <v>3060</v>
      </c>
      <c r="F908" s="2"/>
      <c r="G908" s="2" t="s">
        <v>9</v>
      </c>
      <c r="H908" s="7"/>
      <c r="I908" s="2" t="s">
        <v>9</v>
      </c>
      <c r="K908" t="e">
        <v>#N/A</v>
      </c>
      <c r="L908" s="2" t="s">
        <v>8564</v>
      </c>
      <c r="M908" t="s">
        <v>8105</v>
      </c>
      <c r="N908" s="4"/>
    </row>
    <row r="909" spans="1:14" ht="39" x14ac:dyDescent="0.3">
      <c r="A909" s="1" t="str">
        <f>HYPERLINK("https://ipmanager.doe.gov/IPManager//ExternalLink.aspx?6ibkph2k9yi6F%2B0Vz7YoTq6RR9BlGHHiFOc4li1J8g0%3D","Link")</f>
        <v>Link</v>
      </c>
      <c r="B909" s="2" t="s">
        <v>3061</v>
      </c>
      <c r="C909" s="2" t="s">
        <v>3058</v>
      </c>
      <c r="D909" s="2" t="s">
        <v>3062</v>
      </c>
      <c r="E909" s="2" t="s">
        <v>3063</v>
      </c>
      <c r="F909" s="2" t="s">
        <v>3064</v>
      </c>
      <c r="G909" s="2" t="s">
        <v>1407</v>
      </c>
      <c r="H909" s="7">
        <v>9249934</v>
      </c>
      <c r="I909" s="2" t="s">
        <v>577</v>
      </c>
      <c r="J909" t="s">
        <v>7588</v>
      </c>
      <c r="K909" t="s">
        <v>7910</v>
      </c>
      <c r="L909" s="2" t="s">
        <v>8564</v>
      </c>
      <c r="M909" t="s">
        <v>8105</v>
      </c>
    </row>
    <row r="910" spans="1:14" ht="39" x14ac:dyDescent="0.3">
      <c r="A910" s="1" t="str">
        <f>HYPERLINK("https://ipmanager.doe.gov/IPManager//ExternalLink.aspx?6ibkph2k9yi6F%2B0Vz7YoTipZ798QK%2BbPzcxonETd%2FpY%3D","Link")</f>
        <v>Link</v>
      </c>
      <c r="B910" s="2" t="s">
        <v>3065</v>
      </c>
      <c r="C910" s="2" t="s">
        <v>3058</v>
      </c>
      <c r="D910" s="2" t="s">
        <v>3066</v>
      </c>
      <c r="E910" s="2" t="s">
        <v>3067</v>
      </c>
      <c r="F910" s="2"/>
      <c r="G910" s="2" t="s">
        <v>9</v>
      </c>
      <c r="H910" s="7"/>
      <c r="I910" s="2" t="s">
        <v>9</v>
      </c>
      <c r="K910" t="e">
        <v>#N/A</v>
      </c>
      <c r="L910" s="2" t="s">
        <v>8564</v>
      </c>
      <c r="M910" t="s">
        <v>8105</v>
      </c>
      <c r="N910" s="4"/>
    </row>
    <row r="911" spans="1:14" ht="52" x14ac:dyDescent="0.3">
      <c r="A911" s="1" t="str">
        <f>HYPERLINK("https://ipmanager.doe.gov/IPManager//ExternalLink.aspx?6ibkph2k9yi6F%2B0Vz7YoTgZwfmYxrNyKp6Y19uC5QJo%3D","Link")</f>
        <v>Link</v>
      </c>
      <c r="B911" s="2" t="s">
        <v>3068</v>
      </c>
      <c r="C911" s="2" t="s">
        <v>3058</v>
      </c>
      <c r="D911" s="2" t="s">
        <v>3062</v>
      </c>
      <c r="E911" s="2" t="s">
        <v>3069</v>
      </c>
      <c r="F911" s="2"/>
      <c r="G911" s="2" t="s">
        <v>9</v>
      </c>
      <c r="H911" s="7"/>
      <c r="I911" s="2" t="s">
        <v>9</v>
      </c>
      <c r="K911" t="e">
        <v>#N/A</v>
      </c>
      <c r="L911" s="2" t="s">
        <v>8564</v>
      </c>
      <c r="M911" t="s">
        <v>8105</v>
      </c>
      <c r="N911" s="4"/>
    </row>
    <row r="912" spans="1:14" ht="52" x14ac:dyDescent="0.3">
      <c r="A912" s="1" t="str">
        <f>HYPERLINK("https://ipmanager.doe.gov/IPManager//ExternalLink.aspx?6ibkph2k9yi6F%2B0Vz7YoTjnDGhmGHGI7wpg4lAHZmqA%3D","Link")</f>
        <v>Link</v>
      </c>
      <c r="B912" s="2" t="s">
        <v>3070</v>
      </c>
      <c r="C912" s="2" t="s">
        <v>3058</v>
      </c>
      <c r="D912" s="2" t="s">
        <v>3062</v>
      </c>
      <c r="E912" s="2" t="s">
        <v>3071</v>
      </c>
      <c r="F912" s="2"/>
      <c r="G912" s="2" t="s">
        <v>9</v>
      </c>
      <c r="H912" s="7"/>
      <c r="I912" s="2" t="s">
        <v>9</v>
      </c>
      <c r="K912" t="e">
        <v>#N/A</v>
      </c>
      <c r="L912" s="2" t="s">
        <v>8564</v>
      </c>
      <c r="M912" t="s">
        <v>8105</v>
      </c>
      <c r="N912" s="4"/>
    </row>
    <row r="913" spans="1:14" ht="52" x14ac:dyDescent="0.3">
      <c r="A913" s="1" t="str">
        <f>HYPERLINK("https://ipmanager.doe.gov/IPManager//ExternalLink.aspx?6ibkph2k9yi6F%2B0Vz7YoTlNm8snv%2FZpHPOn2m1gvpPY%3D","Link")</f>
        <v>Link</v>
      </c>
      <c r="B913" s="2" t="s">
        <v>3072</v>
      </c>
      <c r="C913" s="2" t="s">
        <v>3058</v>
      </c>
      <c r="D913" s="2" t="s">
        <v>3062</v>
      </c>
      <c r="E913" s="2" t="s">
        <v>3071</v>
      </c>
      <c r="F913" s="2"/>
      <c r="G913" s="2" t="s">
        <v>9</v>
      </c>
      <c r="H913" s="7"/>
      <c r="I913" s="2" t="s">
        <v>9</v>
      </c>
      <c r="K913" t="e">
        <v>#N/A</v>
      </c>
      <c r="L913" s="2" t="s">
        <v>8564</v>
      </c>
      <c r="M913" t="s">
        <v>8105</v>
      </c>
      <c r="N913" s="4"/>
    </row>
    <row r="914" spans="1:14" ht="78" x14ac:dyDescent="0.3">
      <c r="A914" s="1" t="str">
        <f>HYPERLINK("https://ipmanager.doe.gov/IPManager//ExternalLink.aspx?6ibkph2k9yi6F%2B0Vz7YoTlNm8snv%2FZpHsoCSDHsZAMc%3D","Link")</f>
        <v>Link</v>
      </c>
      <c r="B914" s="2" t="s">
        <v>3073</v>
      </c>
      <c r="C914" s="2" t="s">
        <v>3074</v>
      </c>
      <c r="D914" s="2" t="s">
        <v>3075</v>
      </c>
      <c r="E914" s="2" t="s">
        <v>3076</v>
      </c>
      <c r="F914" s="2" t="s">
        <v>3077</v>
      </c>
      <c r="G914" s="2" t="s">
        <v>1217</v>
      </c>
      <c r="H914" s="7">
        <v>9724668</v>
      </c>
      <c r="I914" s="2" t="s">
        <v>3078</v>
      </c>
      <c r="J914" t="s">
        <v>7589</v>
      </c>
      <c r="K914" t="e">
        <v>#N/A</v>
      </c>
      <c r="L914" s="2" t="s">
        <v>8478</v>
      </c>
      <c r="M914" t="s">
        <v>8106</v>
      </c>
    </row>
    <row r="915" spans="1:14" ht="78" x14ac:dyDescent="0.3">
      <c r="A915" s="1" t="str">
        <f>HYPERLINK("https://ipmanager.doe.gov/IPManager//ExternalLink.aspx?6ibkph2k9yi6F%2B0Vz7YoTlNm8snv%2FZpHANMUgPnFZHY%3D","Link")</f>
        <v>Link</v>
      </c>
      <c r="B915" s="2" t="s">
        <v>3079</v>
      </c>
      <c r="C915" s="2" t="s">
        <v>3074</v>
      </c>
      <c r="D915" s="2" t="s">
        <v>1188</v>
      </c>
      <c r="E915" s="2" t="s">
        <v>3080</v>
      </c>
      <c r="F915" s="2" t="s">
        <v>3081</v>
      </c>
      <c r="G915" s="2" t="s">
        <v>3082</v>
      </c>
      <c r="H915" s="7"/>
      <c r="I915" s="2" t="s">
        <v>9</v>
      </c>
      <c r="J915" t="s">
        <v>7543</v>
      </c>
      <c r="K915" t="s">
        <v>7911</v>
      </c>
      <c r="L915" s="2" t="s">
        <v>8478</v>
      </c>
      <c r="M915" t="s">
        <v>8106</v>
      </c>
      <c r="N915" s="4"/>
    </row>
    <row r="916" spans="1:14" ht="78" x14ac:dyDescent="0.3">
      <c r="A916" s="1" t="str">
        <f>HYPERLINK("https://ipmanager.doe.gov/IPManager//ExternalLink.aspx?6ibkph2k9yi6F%2B0Vz7YoTvPUg%2FVZPl3iVbq6lbjzFek%3D","Link")</f>
        <v>Link</v>
      </c>
      <c r="B916" s="2" t="s">
        <v>3087</v>
      </c>
      <c r="C916" s="2" t="s">
        <v>3074</v>
      </c>
      <c r="D916" s="2" t="s">
        <v>3075</v>
      </c>
      <c r="E916" s="2" t="s">
        <v>3076</v>
      </c>
      <c r="F916" s="2" t="s">
        <v>1216</v>
      </c>
      <c r="G916" s="2" t="s">
        <v>1217</v>
      </c>
      <c r="H916" s="7">
        <v>9102691</v>
      </c>
      <c r="I916" s="2" t="s">
        <v>1218</v>
      </c>
      <c r="J916" t="s">
        <v>7448</v>
      </c>
      <c r="K916" t="s">
        <v>7592</v>
      </c>
      <c r="L916" s="2" t="s">
        <v>8478</v>
      </c>
      <c r="M916" t="s">
        <v>8106</v>
      </c>
    </row>
    <row r="917" spans="1:14" ht="78" x14ac:dyDescent="0.3">
      <c r="A917" s="1" t="str">
        <f>HYPERLINK("https://ipmanager.doe.gov/IPManager//ExternalLink.aspx?6ibkph2k9yi6F%2B0Vz7YoThEBhkR3uHVrGAe4gSe6wF4%3D","Link")</f>
        <v>Link</v>
      </c>
      <c r="B917" s="2" t="s">
        <v>3088</v>
      </c>
      <c r="C917" s="2" t="s">
        <v>3074</v>
      </c>
      <c r="D917" s="2" t="s">
        <v>3075</v>
      </c>
      <c r="E917" s="2" t="s">
        <v>3076</v>
      </c>
      <c r="F917" s="2" t="s">
        <v>3089</v>
      </c>
      <c r="G917" s="2" t="s">
        <v>3082</v>
      </c>
      <c r="H917" s="7">
        <v>9102691</v>
      </c>
      <c r="I917" s="2" t="s">
        <v>1218</v>
      </c>
      <c r="J917" t="s">
        <v>3089</v>
      </c>
      <c r="K917" t="s">
        <v>7592</v>
      </c>
      <c r="L917" s="2" t="s">
        <v>8478</v>
      </c>
      <c r="M917" t="s">
        <v>8106</v>
      </c>
    </row>
    <row r="918" spans="1:14" ht="78" x14ac:dyDescent="0.3">
      <c r="A918" s="1" t="str">
        <f>HYPERLINK("https://ipmanager.doe.gov/IPManager//ExternalLink.aspx?6ibkph2k9yi6F%2B0Vz7YoThEBhkR3uHVrPvCDG%2FczYYY%3D","Link")</f>
        <v>Link</v>
      </c>
      <c r="B918" s="2" t="s">
        <v>3090</v>
      </c>
      <c r="C918" s="2" t="s">
        <v>3074</v>
      </c>
      <c r="D918" s="2" t="s">
        <v>3075</v>
      </c>
      <c r="E918" s="2" t="s">
        <v>3091</v>
      </c>
      <c r="F918" s="2"/>
      <c r="G918" s="2" t="s">
        <v>9</v>
      </c>
      <c r="H918" s="7"/>
      <c r="I918" s="2" t="s">
        <v>9</v>
      </c>
      <c r="K918" t="e">
        <v>#N/A</v>
      </c>
      <c r="L918" s="2" t="s">
        <v>8478</v>
      </c>
      <c r="M918" t="s">
        <v>8106</v>
      </c>
      <c r="N918" s="4"/>
    </row>
    <row r="919" spans="1:14" ht="78" x14ac:dyDescent="0.3">
      <c r="A919" s="1" t="str">
        <f>HYPERLINK("https://ipmanager.doe.gov/IPManager//ExternalLink.aspx?6ibkph2k9yi6F%2B0Vz7YoTr7J5I%2BY4foYksuHClu2NcI%3D","Link")</f>
        <v>Link</v>
      </c>
      <c r="B919" s="2" t="s">
        <v>3085</v>
      </c>
      <c r="C919" s="2" t="s">
        <v>3074</v>
      </c>
      <c r="D919" s="2" t="s">
        <v>3075</v>
      </c>
      <c r="E919" s="2" t="s">
        <v>3076</v>
      </c>
      <c r="F919" s="2" t="s">
        <v>3086</v>
      </c>
      <c r="G919" s="2" t="s">
        <v>1217</v>
      </c>
      <c r="H919" s="7"/>
      <c r="I919" s="2" t="s">
        <v>9</v>
      </c>
      <c r="J919" t="s">
        <v>3086</v>
      </c>
      <c r="K919" t="s">
        <v>7739</v>
      </c>
      <c r="L919" s="2" t="s">
        <v>8478</v>
      </c>
      <c r="M919" t="s">
        <v>8106</v>
      </c>
      <c r="N919" s="4"/>
    </row>
    <row r="920" spans="1:14" ht="78" x14ac:dyDescent="0.3">
      <c r="A920" s="1" t="str">
        <f>HYPERLINK("https://ipmanager.doe.gov/IPManager//ExternalLink.aspx?6ibkph2k9yi6F%2B0Vz7YoTk2BI6w%2FjZ2fzdQHAG4MQag%3D","Link")</f>
        <v>Link</v>
      </c>
      <c r="B920" s="2" t="s">
        <v>3083</v>
      </c>
      <c r="C920" s="2" t="s">
        <v>3074</v>
      </c>
      <c r="D920" s="2" t="s">
        <v>1188</v>
      </c>
      <c r="E920" s="2" t="s">
        <v>3080</v>
      </c>
      <c r="F920" s="2" t="s">
        <v>3084</v>
      </c>
      <c r="G920" s="2" t="s">
        <v>3082</v>
      </c>
      <c r="H920" s="7"/>
      <c r="I920" s="2" t="s">
        <v>9</v>
      </c>
      <c r="J920" t="s">
        <v>3084</v>
      </c>
      <c r="K920" t="s">
        <v>7673</v>
      </c>
      <c r="L920" s="2" t="s">
        <v>8478</v>
      </c>
      <c r="M920" t="s">
        <v>8106</v>
      </c>
      <c r="N920" s="4"/>
    </row>
    <row r="921" spans="1:14" ht="39" x14ac:dyDescent="0.3">
      <c r="A921" s="1" t="str">
        <f>HYPERLINK("https://ipmanager.doe.gov/IPManager//ExternalLink.aspx?6ibkph2k9yi6F%2B0Vz7YoThEBhkR3uHVra4DWi7Wl%2Fd8%3D","Link")</f>
        <v>Link</v>
      </c>
      <c r="B921" s="2" t="s">
        <v>3092</v>
      </c>
      <c r="C921" s="2" t="s">
        <v>3093</v>
      </c>
      <c r="D921" s="2" t="s">
        <v>3094</v>
      </c>
      <c r="E921" s="2" t="s">
        <v>3095</v>
      </c>
      <c r="F921" s="2" t="s">
        <v>3096</v>
      </c>
      <c r="G921" s="2" t="s">
        <v>3097</v>
      </c>
      <c r="H921" s="7">
        <v>9452380</v>
      </c>
      <c r="I921" s="2" t="s">
        <v>2649</v>
      </c>
      <c r="J921" t="s">
        <v>7590</v>
      </c>
      <c r="K921" t="s">
        <v>7912</v>
      </c>
      <c r="L921" s="2" t="s">
        <v>8421</v>
      </c>
      <c r="M921" s="10" t="s">
        <v>8423</v>
      </c>
    </row>
    <row r="922" spans="1:14" ht="52" x14ac:dyDescent="0.3">
      <c r="A922" s="1" t="str">
        <f>HYPERLINK("https://ipmanager.doe.gov/IPManager//ExternalLink.aspx?6ibkph2k9yi6F%2B0Vz7YoTipZ798QK%2BbPwMQnaw1ZDd4%3D","Link")</f>
        <v>Link</v>
      </c>
      <c r="B922" s="2" t="s">
        <v>3107</v>
      </c>
      <c r="C922" s="2" t="s">
        <v>3099</v>
      </c>
      <c r="D922" s="2" t="s">
        <v>3108</v>
      </c>
      <c r="E922" s="2" t="s">
        <v>3109</v>
      </c>
      <c r="F922" s="2" t="s">
        <v>3110</v>
      </c>
      <c r="G922" s="2" t="s">
        <v>3056</v>
      </c>
      <c r="H922" s="7"/>
      <c r="I922" s="2" t="s">
        <v>9</v>
      </c>
      <c r="K922" t="e">
        <v>#N/A</v>
      </c>
      <c r="L922" s="2" t="s">
        <v>8565</v>
      </c>
      <c r="M922" t="s">
        <v>8107</v>
      </c>
      <c r="N922" s="4"/>
    </row>
    <row r="923" spans="1:14" ht="65" x14ac:dyDescent="0.3">
      <c r="A923" s="1" t="str">
        <f>HYPERLINK("https://ipmanager.doe.gov/IPManager//ExternalLink.aspx?6ibkph2k9yi6F%2B0Vz7YoTjnDGhmGHGI7ung9ffD4ocI%3D","Link")</f>
        <v>Link</v>
      </c>
      <c r="B923" s="2" t="s">
        <v>3098</v>
      </c>
      <c r="C923" s="2" t="s">
        <v>3099</v>
      </c>
      <c r="D923" s="2" t="s">
        <v>1336</v>
      </c>
      <c r="E923" s="2" t="s">
        <v>3100</v>
      </c>
      <c r="F923" s="2" t="s">
        <v>3101</v>
      </c>
      <c r="G923" s="2" t="s">
        <v>3102</v>
      </c>
      <c r="H923" s="7">
        <v>10035127</v>
      </c>
      <c r="I923" s="2" t="s">
        <v>3103</v>
      </c>
      <c r="J923" t="s">
        <v>7591</v>
      </c>
      <c r="K923" t="s">
        <v>7913</v>
      </c>
      <c r="L923" s="2" t="s">
        <v>8565</v>
      </c>
      <c r="M923" t="s">
        <v>8107</v>
      </c>
    </row>
    <row r="924" spans="1:14" ht="39" x14ac:dyDescent="0.3">
      <c r="A924" s="1" t="str">
        <f>HYPERLINK("https://ipmanager.doe.gov/IPManager//ExternalLink.aspx?6ibkph2k9yi6F%2B0Vz7YoTvPUg%2FVZPl3i%2F25up2zE4xQ%3D","Link")</f>
        <v>Link</v>
      </c>
      <c r="B924" s="2" t="s">
        <v>3104</v>
      </c>
      <c r="C924" s="2" t="s">
        <v>3099</v>
      </c>
      <c r="D924" s="2" t="s">
        <v>1336</v>
      </c>
      <c r="E924" s="2" t="s">
        <v>3105</v>
      </c>
      <c r="F924" s="2"/>
      <c r="G924" s="2" t="s">
        <v>9</v>
      </c>
      <c r="H924" s="7"/>
      <c r="I924" s="2" t="s">
        <v>9</v>
      </c>
      <c r="K924" t="e">
        <v>#N/A</v>
      </c>
      <c r="L924" s="2" t="s">
        <v>8565</v>
      </c>
      <c r="M924" t="s">
        <v>8107</v>
      </c>
      <c r="N924" s="4"/>
    </row>
    <row r="925" spans="1:14" ht="39" x14ac:dyDescent="0.3">
      <c r="A925" s="1" t="str">
        <f>HYPERLINK("https://ipmanager.doe.gov/IPManager//ExternalLink.aspx?6ibkph2k9yi6F%2B0Vz7YoTvPUg%2FVZPl3iVunLzPzx8v4%3D","Link")</f>
        <v>Link</v>
      </c>
      <c r="B925" s="2" t="s">
        <v>3118</v>
      </c>
      <c r="C925" s="2" t="s">
        <v>3099</v>
      </c>
      <c r="D925" s="2" t="s">
        <v>1336</v>
      </c>
      <c r="E925" s="2" t="s">
        <v>3119</v>
      </c>
      <c r="F925" s="2"/>
      <c r="G925" s="2" t="s">
        <v>9</v>
      </c>
      <c r="H925" s="7"/>
      <c r="I925" s="2" t="s">
        <v>9</v>
      </c>
      <c r="K925" t="e">
        <v>#N/A</v>
      </c>
      <c r="L925" s="2" t="s">
        <v>8565</v>
      </c>
      <c r="M925" t="s">
        <v>8107</v>
      </c>
      <c r="N925" s="4"/>
    </row>
    <row r="926" spans="1:14" ht="65" x14ac:dyDescent="0.3">
      <c r="A926" s="1" t="str">
        <f>HYPERLINK("https://ipmanager.doe.gov/IPManager//ExternalLink.aspx?6ibkph2k9yi6F%2B0Vz7YoTr7J5I%2BY4foYhLVjfV4%2FBhI%3D","Link")</f>
        <v>Link</v>
      </c>
      <c r="B926" s="2" t="s">
        <v>3111</v>
      </c>
      <c r="C926" s="2" t="s">
        <v>3099</v>
      </c>
      <c r="D926" s="2" t="s">
        <v>1336</v>
      </c>
      <c r="E926" s="2" t="s">
        <v>3100</v>
      </c>
      <c r="F926" s="2" t="s">
        <v>3112</v>
      </c>
      <c r="G926" s="2" t="s">
        <v>3113</v>
      </c>
      <c r="H926" s="7"/>
      <c r="I926" s="2" t="s">
        <v>9</v>
      </c>
      <c r="K926" t="e">
        <v>#N/A</v>
      </c>
      <c r="L926" s="2" t="s">
        <v>8565</v>
      </c>
      <c r="M926" t="s">
        <v>8107</v>
      </c>
      <c r="N926" s="4"/>
    </row>
    <row r="927" spans="1:14" ht="65" x14ac:dyDescent="0.3">
      <c r="A927" s="1" t="str">
        <f>HYPERLINK("https://ipmanager.doe.gov/IPManager//ExternalLink.aspx?6ibkph2k9yi6F%2B0Vz7YoTjnDGhmGHGI7FR2%2BLjMDbws%3D","Link")</f>
        <v>Link</v>
      </c>
      <c r="B927" s="2" t="s">
        <v>3114</v>
      </c>
      <c r="C927" s="2" t="s">
        <v>3099</v>
      </c>
      <c r="D927" s="2" t="s">
        <v>1336</v>
      </c>
      <c r="E927" s="2" t="s">
        <v>3100</v>
      </c>
      <c r="F927" s="2" t="s">
        <v>3115</v>
      </c>
      <c r="G927" s="2" t="s">
        <v>461</v>
      </c>
      <c r="H927" s="7"/>
      <c r="I927" s="2" t="s">
        <v>9</v>
      </c>
      <c r="J927" t="s">
        <v>3115</v>
      </c>
      <c r="K927" t="s">
        <v>7746</v>
      </c>
      <c r="L927" s="2" t="s">
        <v>8565</v>
      </c>
      <c r="M927" t="s">
        <v>8107</v>
      </c>
      <c r="N927" s="4"/>
    </row>
    <row r="928" spans="1:14" ht="39" x14ac:dyDescent="0.3">
      <c r="A928" s="1" t="str">
        <f>HYPERLINK("https://ipmanager.doe.gov/IPManager//ExternalLink.aspx?6ibkph2k9yi6F%2B0Vz7YoTsTAnuFk5EoALtuUl0D3BqQ%3D","Link")</f>
        <v>Link</v>
      </c>
      <c r="B928" s="2" t="s">
        <v>3116</v>
      </c>
      <c r="C928" s="2" t="s">
        <v>3099</v>
      </c>
      <c r="D928" s="2" t="s">
        <v>1336</v>
      </c>
      <c r="E928" s="2" t="s">
        <v>3105</v>
      </c>
      <c r="F928" s="2" t="s">
        <v>3117</v>
      </c>
      <c r="G928" s="2" t="s">
        <v>3106</v>
      </c>
      <c r="H928" s="7"/>
      <c r="I928" s="2" t="s">
        <v>9</v>
      </c>
      <c r="K928" t="e">
        <v>#N/A</v>
      </c>
      <c r="L928" s="2" t="s">
        <v>8565</v>
      </c>
      <c r="M928" t="s">
        <v>8107</v>
      </c>
      <c r="N928" s="4"/>
    </row>
    <row r="929" spans="1:14" ht="39" x14ac:dyDescent="0.3">
      <c r="A929" s="1" t="str">
        <f>HYPERLINK("https://ipmanager.doe.gov/IPManager//ExternalLink.aspx?6ibkph2k9yi6F%2B0Vz7YoTvE8yjoHgvp6%2BFPF22ucEVY%3D","Link")</f>
        <v>Link</v>
      </c>
      <c r="B929" s="2" t="s">
        <v>3120</v>
      </c>
      <c r="C929" s="2" t="s">
        <v>3121</v>
      </c>
      <c r="D929" s="2" t="s">
        <v>2933</v>
      </c>
      <c r="E929" s="2" t="s">
        <v>3122</v>
      </c>
      <c r="F929" s="2" t="s">
        <v>3123</v>
      </c>
      <c r="G929" s="2" t="s">
        <v>3124</v>
      </c>
      <c r="H929" s="7">
        <v>9550341</v>
      </c>
      <c r="I929" s="2" t="s">
        <v>3125</v>
      </c>
      <c r="J929" t="s">
        <v>7593</v>
      </c>
      <c r="K929" t="s">
        <v>7914</v>
      </c>
      <c r="L929" s="2" t="s">
        <v>8566</v>
      </c>
      <c r="M929" t="s">
        <v>8108</v>
      </c>
    </row>
    <row r="930" spans="1:14" x14ac:dyDescent="0.3">
      <c r="A930" s="1" t="str">
        <f>HYPERLINK("https://ipmanager.doe.gov/IPManager//ExternalLink.aspx?6ibkph2k9yi6F%2B0Vz7YoTvPUg%2FVZPl3iMDSJG5YlfOg%3D","Link")</f>
        <v>Link</v>
      </c>
      <c r="B930" s="2" t="s">
        <v>3132</v>
      </c>
      <c r="C930" s="2" t="s">
        <v>3121</v>
      </c>
      <c r="D930" s="2" t="s">
        <v>2933</v>
      </c>
      <c r="E930" s="2" t="s">
        <v>3133</v>
      </c>
      <c r="F930" s="2" t="s">
        <v>3134</v>
      </c>
      <c r="G930" s="2" t="s">
        <v>3135</v>
      </c>
      <c r="H930" s="7">
        <v>8075827</v>
      </c>
      <c r="I930" s="2" t="s">
        <v>3136</v>
      </c>
      <c r="J930" t="s">
        <v>7594</v>
      </c>
      <c r="K930" t="s">
        <v>7915</v>
      </c>
      <c r="L930" s="2" t="s">
        <v>8566</v>
      </c>
      <c r="M930" t="s">
        <v>8108</v>
      </c>
    </row>
    <row r="931" spans="1:14" ht="26" x14ac:dyDescent="0.3">
      <c r="A931" s="1" t="str">
        <f>HYPERLINK("https://ipmanager.doe.gov/IPManager//ExternalLink.aspx?6ibkph2k9yi6F%2B0Vz7YoTjnDGhmGHGI7AIorrvbB%2F4c%3D","Link")</f>
        <v>Link</v>
      </c>
      <c r="B931" s="2" t="s">
        <v>3126</v>
      </c>
      <c r="C931" s="2" t="s">
        <v>3121</v>
      </c>
      <c r="D931" s="2" t="s">
        <v>2933</v>
      </c>
      <c r="E931" s="2" t="s">
        <v>3127</v>
      </c>
      <c r="F931" s="2" t="s">
        <v>3128</v>
      </c>
      <c r="G931" s="2" t="s">
        <v>35</v>
      </c>
      <c r="H931" s="7"/>
      <c r="I931" s="2" t="s">
        <v>9</v>
      </c>
      <c r="K931" t="e">
        <v>#N/A</v>
      </c>
      <c r="L931" s="2" t="s">
        <v>8566</v>
      </c>
      <c r="M931" t="s">
        <v>8108</v>
      </c>
      <c r="N931" s="4"/>
    </row>
    <row r="932" spans="1:14" ht="26" x14ac:dyDescent="0.3">
      <c r="A932" s="1" t="str">
        <f>HYPERLINK("https://ipmanager.doe.gov/IPManager//ExternalLink.aspx?6ibkph2k9yi6F%2B0Vz7YoTvPUg%2FVZPl3ibBi5SKn9iOo%3D","Link")</f>
        <v>Link</v>
      </c>
      <c r="B932" s="2" t="s">
        <v>3129</v>
      </c>
      <c r="C932" s="2" t="s">
        <v>3121</v>
      </c>
      <c r="D932" s="2" t="s">
        <v>2933</v>
      </c>
      <c r="E932" s="2" t="s">
        <v>3130</v>
      </c>
      <c r="F932" s="2" t="s">
        <v>3131</v>
      </c>
      <c r="G932" s="2" t="s">
        <v>35</v>
      </c>
      <c r="H932" s="7"/>
      <c r="I932" s="2" t="s">
        <v>9</v>
      </c>
      <c r="K932" t="e">
        <v>#N/A</v>
      </c>
      <c r="L932" s="2" t="s">
        <v>8566</v>
      </c>
      <c r="M932" t="s">
        <v>8108</v>
      </c>
      <c r="N932" s="4"/>
    </row>
    <row r="933" spans="1:14" ht="52" x14ac:dyDescent="0.3">
      <c r="A933" s="1" t="str">
        <f>HYPERLINK("https://ipmanager.doe.gov/IPManager//ExternalLink.aspx?6ibkph2k9yi6F%2B0Vz7YoTvPUg%2FVZPl3isEThnOBAmzM%3D","Link")</f>
        <v>Link</v>
      </c>
      <c r="B933" s="2" t="s">
        <v>3142</v>
      </c>
      <c r="C933" s="2" t="s">
        <v>3138</v>
      </c>
      <c r="D933" s="2" t="s">
        <v>2019</v>
      </c>
      <c r="E933" s="2" t="s">
        <v>3143</v>
      </c>
      <c r="F933" s="2"/>
      <c r="G933" s="2" t="s">
        <v>9</v>
      </c>
      <c r="H933" s="7"/>
      <c r="I933" s="2" t="s">
        <v>9</v>
      </c>
      <c r="K933" t="e">
        <v>#N/A</v>
      </c>
      <c r="L933" s="2" t="s">
        <v>8567</v>
      </c>
      <c r="M933" t="s">
        <v>8109</v>
      </c>
      <c r="N933" s="4"/>
    </row>
    <row r="934" spans="1:14" ht="39" x14ac:dyDescent="0.3">
      <c r="A934" s="1" t="str">
        <f>HYPERLINK("https://ipmanager.doe.gov/IPManager//ExternalLink.aspx?6ibkph2k9yi6F%2B0Vz7YoTp68px7nSN2g7uKl0kjcsDs%3D","Link")</f>
        <v>Link</v>
      </c>
      <c r="B934" s="2" t="s">
        <v>3152</v>
      </c>
      <c r="C934" s="2" t="s">
        <v>3138</v>
      </c>
      <c r="D934" s="2" t="s">
        <v>2019</v>
      </c>
      <c r="E934" s="2" t="s">
        <v>3153</v>
      </c>
      <c r="F934" s="2"/>
      <c r="G934" s="2" t="s">
        <v>9</v>
      </c>
      <c r="H934" s="7"/>
      <c r="I934" s="2" t="s">
        <v>9</v>
      </c>
      <c r="K934" t="e">
        <v>#N/A</v>
      </c>
      <c r="L934" s="2" t="s">
        <v>8567</v>
      </c>
      <c r="M934" t="s">
        <v>8109</v>
      </c>
      <c r="N934" s="4"/>
    </row>
    <row r="935" spans="1:14" ht="52" x14ac:dyDescent="0.3">
      <c r="A935" s="1" t="str">
        <f>HYPERLINK("https://ipmanager.doe.gov/IPManager//ExternalLink.aspx?6ibkph2k9yi6F%2B0Vz7YoTgZwfmYxrNyKQFmIHHErfxI%3D","Link")</f>
        <v>Link</v>
      </c>
      <c r="B935" s="2" t="s">
        <v>3154</v>
      </c>
      <c r="C935" s="2" t="s">
        <v>3138</v>
      </c>
      <c r="D935" s="2" t="s">
        <v>2019</v>
      </c>
      <c r="E935" s="2" t="s">
        <v>3148</v>
      </c>
      <c r="F935" s="2"/>
      <c r="G935" s="2" t="s">
        <v>9</v>
      </c>
      <c r="H935" s="7"/>
      <c r="I935" s="2" t="s">
        <v>9</v>
      </c>
      <c r="K935" t="e">
        <v>#N/A</v>
      </c>
      <c r="L935" s="2" t="s">
        <v>8567</v>
      </c>
      <c r="M935" t="s">
        <v>8109</v>
      </c>
      <c r="N935" s="4"/>
    </row>
    <row r="936" spans="1:14" ht="39" x14ac:dyDescent="0.3">
      <c r="A936" s="1" t="str">
        <f>HYPERLINK("https://ipmanager.doe.gov/IPManager//ExternalLink.aspx?6ibkph2k9yi6F%2B0Vz7YoTjnDGhmGHGI76ONfKG%2BwSHc%3D","Link")</f>
        <v>Link</v>
      </c>
      <c r="B936" s="2" t="s">
        <v>3155</v>
      </c>
      <c r="C936" s="2" t="s">
        <v>3138</v>
      </c>
      <c r="D936" s="2" t="s">
        <v>2019</v>
      </c>
      <c r="E936" s="2" t="s">
        <v>3156</v>
      </c>
      <c r="F936" s="2"/>
      <c r="G936" s="2" t="s">
        <v>9</v>
      </c>
      <c r="H936" s="7"/>
      <c r="I936" s="2" t="s">
        <v>9</v>
      </c>
      <c r="K936" t="e">
        <v>#N/A</v>
      </c>
      <c r="L936" s="2" t="s">
        <v>8567</v>
      </c>
      <c r="M936" t="s">
        <v>8109</v>
      </c>
      <c r="N936" s="4"/>
    </row>
    <row r="937" spans="1:14" ht="52" x14ac:dyDescent="0.3">
      <c r="A937" s="1" t="str">
        <f>HYPERLINK("https://ipmanager.doe.gov/IPManager//ExternalLink.aspx?6ibkph2k9yi6F%2B0Vz7YoTgZwfmYxrNyKLw%2F8xMB0c%2BY%3D","Link")</f>
        <v>Link</v>
      </c>
      <c r="B937" s="2" t="s">
        <v>3157</v>
      </c>
      <c r="C937" s="2" t="s">
        <v>3138</v>
      </c>
      <c r="D937" s="2" t="s">
        <v>2019</v>
      </c>
      <c r="E937" s="2" t="s">
        <v>3158</v>
      </c>
      <c r="F937" s="2"/>
      <c r="G937" s="2" t="s">
        <v>9</v>
      </c>
      <c r="H937" s="7"/>
      <c r="I937" s="2" t="s">
        <v>9</v>
      </c>
      <c r="K937" t="e">
        <v>#N/A</v>
      </c>
      <c r="L937" s="2" t="s">
        <v>8567</v>
      </c>
      <c r="M937" t="s">
        <v>8109</v>
      </c>
      <c r="N937" s="4"/>
    </row>
    <row r="938" spans="1:14" ht="39" x14ac:dyDescent="0.3">
      <c r="A938" s="1" t="str">
        <f>HYPERLINK("https://ipmanager.doe.gov/IPManager//ExternalLink.aspx?6ibkph2k9yi6F%2B0Vz7YoTgZwfmYxrNyKIA46VUufmTA%3D","Link")</f>
        <v>Link</v>
      </c>
      <c r="B938" s="2" t="s">
        <v>3159</v>
      </c>
      <c r="C938" s="2" t="s">
        <v>3138</v>
      </c>
      <c r="D938" s="2" t="s">
        <v>2019</v>
      </c>
      <c r="E938" s="2" t="s">
        <v>3160</v>
      </c>
      <c r="F938" s="2"/>
      <c r="G938" s="2" t="s">
        <v>9</v>
      </c>
      <c r="H938" s="7"/>
      <c r="I938" s="2" t="s">
        <v>9</v>
      </c>
      <c r="K938" t="e">
        <v>#N/A</v>
      </c>
      <c r="L938" s="2" t="s">
        <v>8567</v>
      </c>
      <c r="M938" t="s">
        <v>8109</v>
      </c>
      <c r="N938" s="4"/>
    </row>
    <row r="939" spans="1:14" ht="39" x14ac:dyDescent="0.3">
      <c r="A939" s="1" t="str">
        <f>HYPERLINK("https://ipmanager.doe.gov/IPManager//ExternalLink.aspx?6ibkph2k9yi6F%2B0Vz7YoTo7DPLa3%2F%2FGgIsbMVd1OMmc%3D","Link")</f>
        <v>Link</v>
      </c>
      <c r="B939" s="2" t="s">
        <v>3164</v>
      </c>
      <c r="C939" s="2" t="s">
        <v>3138</v>
      </c>
      <c r="D939" s="2" t="s">
        <v>2019</v>
      </c>
      <c r="E939" s="2" t="s">
        <v>3165</v>
      </c>
      <c r="F939" s="2" t="s">
        <v>3166</v>
      </c>
      <c r="G939" s="2" t="s">
        <v>1253</v>
      </c>
      <c r="H939" s="7">
        <v>9476546</v>
      </c>
      <c r="I939" s="2" t="s">
        <v>3167</v>
      </c>
      <c r="J939" t="s">
        <v>7595</v>
      </c>
      <c r="K939" t="s">
        <v>7916</v>
      </c>
      <c r="L939" s="2" t="s">
        <v>8567</v>
      </c>
      <c r="M939" t="s">
        <v>8109</v>
      </c>
    </row>
    <row r="940" spans="1:14" ht="39" x14ac:dyDescent="0.3">
      <c r="A940" s="1" t="str">
        <f>HYPERLINK("https://ipmanager.doe.gov/IPManager//ExternalLink.aspx?6ibkph2k9yi6F%2B0Vz7YoTgZwfmYxrNyK40emg8pKwJ8%3D","Link")</f>
        <v>Link</v>
      </c>
      <c r="B940" s="2" t="s">
        <v>3168</v>
      </c>
      <c r="C940" s="2" t="s">
        <v>3138</v>
      </c>
      <c r="D940" s="2" t="s">
        <v>2019</v>
      </c>
      <c r="E940" s="2" t="s">
        <v>3169</v>
      </c>
      <c r="F940" s="2"/>
      <c r="G940" s="2" t="s">
        <v>9</v>
      </c>
      <c r="H940" s="7"/>
      <c r="I940" s="2" t="s">
        <v>9</v>
      </c>
      <c r="K940" t="e">
        <v>#N/A</v>
      </c>
      <c r="L940" s="2" t="s">
        <v>8567</v>
      </c>
      <c r="M940" t="s">
        <v>8109</v>
      </c>
      <c r="N940" s="4"/>
    </row>
    <row r="941" spans="1:14" ht="52" x14ac:dyDescent="0.3">
      <c r="A941" s="1" t="str">
        <f>HYPERLINK("https://ipmanager.doe.gov/IPManager//ExternalLink.aspx?6ibkph2k9yi6F%2B0Vz7YoTgZwfmYxrNyKNnTiHItcXuw%3D","Link")</f>
        <v>Link</v>
      </c>
      <c r="B941" s="2" t="s">
        <v>3171</v>
      </c>
      <c r="C941" s="2" t="s">
        <v>3138</v>
      </c>
      <c r="D941" s="2" t="s">
        <v>2019</v>
      </c>
      <c r="E941" s="2" t="s">
        <v>3172</v>
      </c>
      <c r="F941" s="2"/>
      <c r="G941" s="2" t="s">
        <v>9</v>
      </c>
      <c r="H941" s="7"/>
      <c r="I941" s="2" t="s">
        <v>9</v>
      </c>
      <c r="K941" t="e">
        <v>#N/A</v>
      </c>
      <c r="L941" s="2" t="s">
        <v>8567</v>
      </c>
      <c r="M941" t="s">
        <v>8109</v>
      </c>
      <c r="N941" s="4"/>
    </row>
    <row r="942" spans="1:14" ht="39" x14ac:dyDescent="0.3">
      <c r="A942" s="1" t="str">
        <f>HYPERLINK("https://ipmanager.doe.gov/IPManager//ExternalLink.aspx?6ibkph2k9yi6F%2B0Vz7YoTlNm8snv%2FZpH6Hq%2Bl2hBeAM%3D","Link")</f>
        <v>Link</v>
      </c>
      <c r="B942" s="2" t="s">
        <v>3177</v>
      </c>
      <c r="C942" s="2" t="s">
        <v>3138</v>
      </c>
      <c r="D942" s="2" t="s">
        <v>2019</v>
      </c>
      <c r="E942" s="2" t="s">
        <v>3174</v>
      </c>
      <c r="F942" s="2"/>
      <c r="G942" s="2" t="s">
        <v>3176</v>
      </c>
      <c r="H942" s="7"/>
      <c r="I942" s="2" t="s">
        <v>9</v>
      </c>
      <c r="K942" t="e">
        <v>#N/A</v>
      </c>
      <c r="L942" s="2" t="s">
        <v>8567</v>
      </c>
      <c r="M942" t="s">
        <v>8109</v>
      </c>
      <c r="N942" s="4"/>
    </row>
    <row r="943" spans="1:14" ht="39" x14ac:dyDescent="0.3">
      <c r="A943" s="1" t="str">
        <f>HYPERLINK("https://ipmanager.doe.gov/IPManager//ExternalLink.aspx?6ibkph2k9yi6F%2B0Vz7YoTvPUg%2FVZPl3idakjjn9L0zI%3D","Link")</f>
        <v>Link</v>
      </c>
      <c r="B943" s="2" t="s">
        <v>3137</v>
      </c>
      <c r="C943" s="2" t="s">
        <v>3138</v>
      </c>
      <c r="D943" s="2" t="s">
        <v>2019</v>
      </c>
      <c r="E943" s="2" t="s">
        <v>3139</v>
      </c>
      <c r="F943" s="2" t="s">
        <v>3140</v>
      </c>
      <c r="G943" s="2" t="s">
        <v>3141</v>
      </c>
      <c r="H943" s="7"/>
      <c r="I943" s="2" t="s">
        <v>9</v>
      </c>
      <c r="K943" t="e">
        <v>#N/A</v>
      </c>
      <c r="L943" s="2" t="s">
        <v>8567</v>
      </c>
      <c r="M943" t="s">
        <v>8109</v>
      </c>
      <c r="N943" s="4"/>
    </row>
    <row r="944" spans="1:14" ht="52" x14ac:dyDescent="0.3">
      <c r="A944" s="1" t="str">
        <f>HYPERLINK("https://ipmanager.doe.gov/IPManager//ExternalLink.aspx?6ibkph2k9yi6F%2B0Vz7YoTq6RR9BlGHHiulyk4yAXP8A%3D","Link")</f>
        <v>Link</v>
      </c>
      <c r="B944" s="2" t="s">
        <v>3146</v>
      </c>
      <c r="C944" s="2" t="s">
        <v>3138</v>
      </c>
      <c r="D944" s="2" t="s">
        <v>2019</v>
      </c>
      <c r="E944" s="2" t="s">
        <v>3143</v>
      </c>
      <c r="F944" s="2" t="s">
        <v>3144</v>
      </c>
      <c r="G944" s="2" t="s">
        <v>3145</v>
      </c>
      <c r="H944" s="7"/>
      <c r="I944" s="2" t="s">
        <v>9</v>
      </c>
      <c r="K944" t="e">
        <v>#N/A</v>
      </c>
      <c r="L944" s="2" t="s">
        <v>8567</v>
      </c>
      <c r="M944" t="s">
        <v>8109</v>
      </c>
      <c r="N944" s="4"/>
    </row>
    <row r="945" spans="1:14" ht="52" x14ac:dyDescent="0.3">
      <c r="A945" s="1" t="str">
        <f>HYPERLINK("https://ipmanager.doe.gov/IPManager//ExternalLink.aspx?6ibkph2k9yi6F%2B0Vz7YoThEBhkR3uHVrSvmvQZhxVJs%3D","Link")</f>
        <v>Link</v>
      </c>
      <c r="B945" s="2" t="s">
        <v>3147</v>
      </c>
      <c r="C945" s="2" t="s">
        <v>3138</v>
      </c>
      <c r="D945" s="2" t="s">
        <v>2019</v>
      </c>
      <c r="E945" s="2" t="s">
        <v>3148</v>
      </c>
      <c r="F945" s="2" t="s">
        <v>3149</v>
      </c>
      <c r="G945" s="2" t="s">
        <v>3150</v>
      </c>
      <c r="H945" s="7"/>
      <c r="I945" s="2" t="s">
        <v>9</v>
      </c>
      <c r="K945" t="e">
        <v>#N/A</v>
      </c>
      <c r="L945" s="2" t="s">
        <v>8567</v>
      </c>
      <c r="M945" t="s">
        <v>8109</v>
      </c>
      <c r="N945" s="4"/>
    </row>
    <row r="946" spans="1:14" ht="39" x14ac:dyDescent="0.3">
      <c r="A946" s="1" t="str">
        <f>HYPERLINK("https://ipmanager.doe.gov/IPManager//ExternalLink.aspx?6ibkph2k9yi6F%2B0Vz7YoTgZwfmYxrNyKgU9HGrUDFA0%3D","Link")</f>
        <v>Link</v>
      </c>
      <c r="B946" s="2" t="s">
        <v>3161</v>
      </c>
      <c r="C946" s="2" t="s">
        <v>3138</v>
      </c>
      <c r="D946" s="2" t="s">
        <v>2019</v>
      </c>
      <c r="E946" s="2" t="s">
        <v>3162</v>
      </c>
      <c r="F946" s="2" t="s">
        <v>3163</v>
      </c>
      <c r="G946" s="2" t="s">
        <v>3150</v>
      </c>
      <c r="H946" s="7"/>
      <c r="I946" s="2" t="s">
        <v>9</v>
      </c>
      <c r="K946" t="e">
        <v>#N/A</v>
      </c>
      <c r="L946" s="2" t="s">
        <v>8567</v>
      </c>
      <c r="M946" t="s">
        <v>8109</v>
      </c>
      <c r="N946" s="4"/>
    </row>
    <row r="947" spans="1:14" ht="39" x14ac:dyDescent="0.3">
      <c r="A947" s="1" t="str">
        <f>HYPERLINK("https://ipmanager.doe.gov/IPManager//ExternalLink.aspx?6ibkph2k9yi6F%2B0Vz7YoTr7J5I%2BY4foY%2FW9EpuLBI3c%3D","Link")</f>
        <v>Link</v>
      </c>
      <c r="B947" s="2" t="s">
        <v>3173</v>
      </c>
      <c r="C947" s="2" t="s">
        <v>3138</v>
      </c>
      <c r="D947" s="2" t="s">
        <v>2019</v>
      </c>
      <c r="E947" s="2" t="s">
        <v>3174</v>
      </c>
      <c r="F947" s="2" t="s">
        <v>3175</v>
      </c>
      <c r="G947" s="2" t="s">
        <v>3176</v>
      </c>
      <c r="H947" s="7"/>
      <c r="I947" s="2" t="s">
        <v>9</v>
      </c>
      <c r="K947" t="e">
        <v>#N/A</v>
      </c>
      <c r="L947" s="2" t="s">
        <v>8567</v>
      </c>
      <c r="M947" t="s">
        <v>8109</v>
      </c>
      <c r="N947" s="4"/>
    </row>
    <row r="948" spans="1:14" ht="39" x14ac:dyDescent="0.3">
      <c r="A948" s="1" t="str">
        <f>HYPERLINK("https://ipmanager.doe.gov/IPManager//ExternalLink.aspx?6ibkph2k9yi6F%2B0Vz7YoTo7DPLa3%2F%2FGgcKgf32xy32M%3D","Link")</f>
        <v>Link</v>
      </c>
      <c r="B948" s="2" t="s">
        <v>3178</v>
      </c>
      <c r="C948" s="2" t="s">
        <v>3138</v>
      </c>
      <c r="D948" s="2" t="s">
        <v>2019</v>
      </c>
      <c r="E948" s="2" t="s">
        <v>3179</v>
      </c>
      <c r="F948" s="2" t="s">
        <v>3180</v>
      </c>
      <c r="G948" s="2" t="s">
        <v>3181</v>
      </c>
      <c r="H948" s="7"/>
      <c r="I948" s="2" t="s">
        <v>9</v>
      </c>
      <c r="K948" t="e">
        <v>#N/A</v>
      </c>
      <c r="L948" s="2" t="s">
        <v>8567</v>
      </c>
      <c r="M948" t="s">
        <v>8109</v>
      </c>
      <c r="N948" s="4"/>
    </row>
    <row r="949" spans="1:14" ht="26" x14ac:dyDescent="0.3">
      <c r="A949" s="1" t="str">
        <f>HYPERLINK("https://ipmanager.doe.gov/IPManager//ExternalLink.aspx?6ibkph2k9yi6F%2B0Vz7YoTjnDGhmGHGI7I4axgiUX998%3D","Link")</f>
        <v>Link</v>
      </c>
      <c r="B949" s="2" t="s">
        <v>3188</v>
      </c>
      <c r="C949" s="2" t="s">
        <v>3183</v>
      </c>
      <c r="D949" s="2" t="s">
        <v>3184</v>
      </c>
      <c r="E949" s="2" t="s">
        <v>3189</v>
      </c>
      <c r="F949" s="2" t="s">
        <v>3190</v>
      </c>
      <c r="G949" s="2" t="s">
        <v>1422</v>
      </c>
      <c r="H949" s="7">
        <v>9217538</v>
      </c>
      <c r="I949" s="2" t="s">
        <v>249</v>
      </c>
      <c r="J949" t="s">
        <v>7596</v>
      </c>
      <c r="K949" t="s">
        <v>7917</v>
      </c>
      <c r="L949" s="2" t="s">
        <v>8568</v>
      </c>
      <c r="M949" t="s">
        <v>8110</v>
      </c>
    </row>
    <row r="950" spans="1:14" ht="26" x14ac:dyDescent="0.3">
      <c r="A950" s="1" t="str">
        <f>HYPERLINK("https://ipmanager.doe.gov/IPManager//ExternalLink.aspx?6ibkph2k9yi6F%2B0Vz7YoTgZwfmYxrNyKAdBSFy19p7c%3D","Link")</f>
        <v>Link</v>
      </c>
      <c r="B950" s="2" t="s">
        <v>3199</v>
      </c>
      <c r="C950" s="2" t="s">
        <v>3183</v>
      </c>
      <c r="D950" s="2" t="s">
        <v>3184</v>
      </c>
      <c r="E950" s="2" t="s">
        <v>3200</v>
      </c>
      <c r="F950" s="2" t="s">
        <v>3194</v>
      </c>
      <c r="G950" s="2" t="s">
        <v>1054</v>
      </c>
      <c r="H950" s="7"/>
      <c r="I950" s="2" t="s">
        <v>9</v>
      </c>
      <c r="J950" t="s">
        <v>7544</v>
      </c>
      <c r="K950" t="s">
        <v>7918</v>
      </c>
      <c r="L950" s="2" t="s">
        <v>8568</v>
      </c>
      <c r="M950" t="s">
        <v>8110</v>
      </c>
      <c r="N950" s="4"/>
    </row>
    <row r="951" spans="1:14" ht="39" x14ac:dyDescent="0.3">
      <c r="A951" s="1" t="str">
        <f>HYPERLINK("https://ipmanager.doe.gov/IPManager//ExternalLink.aspx?6ibkph2k9yi6F%2B0Vz7YoTjnDGhmGHGI7jtsCzyBK9X8%3D","Link")</f>
        <v>Link</v>
      </c>
      <c r="B951" s="2" t="s">
        <v>3203</v>
      </c>
      <c r="C951" s="2" t="s">
        <v>3183</v>
      </c>
      <c r="D951" s="2" t="s">
        <v>3184</v>
      </c>
      <c r="E951" s="2" t="s">
        <v>3204</v>
      </c>
      <c r="F951" s="2"/>
      <c r="G951" s="2" t="s">
        <v>9</v>
      </c>
      <c r="H951" s="7"/>
      <c r="I951" s="2" t="s">
        <v>9</v>
      </c>
      <c r="K951" t="e">
        <v>#N/A</v>
      </c>
      <c r="L951" s="2" t="s">
        <v>8568</v>
      </c>
      <c r="M951" t="s">
        <v>8110</v>
      </c>
      <c r="N951" s="4"/>
    </row>
    <row r="952" spans="1:14" ht="39" x14ac:dyDescent="0.3">
      <c r="A952" s="1" t="str">
        <f>HYPERLINK("https://ipmanager.doe.gov/IPManager//ExternalLink.aspx?6ibkph2k9yi6F%2B0Vz7YoTo7DPLa3%2F%2FGggwhzQVjsagk%3D","Link")</f>
        <v>Link</v>
      </c>
      <c r="B952" s="2" t="s">
        <v>3208</v>
      </c>
      <c r="C952" s="2" t="s">
        <v>3183</v>
      </c>
      <c r="D952" s="2" t="s">
        <v>3184</v>
      </c>
      <c r="E952" s="2" t="s">
        <v>3204</v>
      </c>
      <c r="F952" s="2" t="s">
        <v>3209</v>
      </c>
      <c r="G952" s="2" t="s">
        <v>1194</v>
      </c>
      <c r="H952" s="7"/>
      <c r="I952" s="2" t="s">
        <v>9</v>
      </c>
      <c r="J952" t="s">
        <v>7545</v>
      </c>
      <c r="K952" t="s">
        <v>7919</v>
      </c>
      <c r="L952" s="2" t="s">
        <v>8568</v>
      </c>
      <c r="M952" t="s">
        <v>8110</v>
      </c>
      <c r="N952" s="4"/>
    </row>
    <row r="953" spans="1:14" ht="39" x14ac:dyDescent="0.3">
      <c r="A953" s="1" t="str">
        <f>HYPERLINK("https://ipmanager.doe.gov/IPManager//ExternalLink.aspx?6ibkph2k9yi6F%2B0Vz7YoTnXVN2REjGcWuuQxIn3Fyls%3D","Link")</f>
        <v>Link</v>
      </c>
      <c r="B953" s="2" t="s">
        <v>3212</v>
      </c>
      <c r="C953" s="2" t="s">
        <v>3183</v>
      </c>
      <c r="D953" s="2" t="s">
        <v>3184</v>
      </c>
      <c r="E953" s="2" t="s">
        <v>3213</v>
      </c>
      <c r="F953" s="2"/>
      <c r="G953" s="2" t="s">
        <v>9</v>
      </c>
      <c r="H953" s="7"/>
      <c r="I953" s="2" t="s">
        <v>9</v>
      </c>
      <c r="K953" t="e">
        <v>#N/A</v>
      </c>
      <c r="L953" s="2" t="s">
        <v>8568</v>
      </c>
      <c r="M953" t="s">
        <v>8110</v>
      </c>
      <c r="N953" s="4"/>
    </row>
    <row r="954" spans="1:14" ht="39" x14ac:dyDescent="0.3">
      <c r="A954" s="1" t="str">
        <f>HYPERLINK("https://ipmanager.doe.gov/IPManager//ExternalLink.aspx?6ibkph2k9yi6F%2B0Vz7YoTjnDGhmGHGI7nFg0zgK6F5s%3D","Link")</f>
        <v>Link</v>
      </c>
      <c r="B954" s="2" t="s">
        <v>3182</v>
      </c>
      <c r="C954" s="2" t="s">
        <v>3183</v>
      </c>
      <c r="D954" s="2" t="s">
        <v>3184</v>
      </c>
      <c r="E954" s="2" t="s">
        <v>3185</v>
      </c>
      <c r="F954" s="2" t="s">
        <v>3186</v>
      </c>
      <c r="G954" s="2" t="s">
        <v>3187</v>
      </c>
      <c r="H954" s="7"/>
      <c r="I954" s="2" t="s">
        <v>9</v>
      </c>
      <c r="K954" t="e">
        <v>#N/A</v>
      </c>
      <c r="L954" s="2" t="s">
        <v>8568</v>
      </c>
      <c r="M954" t="s">
        <v>8110</v>
      </c>
      <c r="N954" s="4"/>
    </row>
    <row r="955" spans="1:14" ht="39" x14ac:dyDescent="0.3">
      <c r="A955" s="1" t="str">
        <f>HYPERLINK("https://ipmanager.doe.gov/IPManager//ExternalLink.aspx?6ibkph2k9yi6F%2B0Vz7YoTgZwfmYxrNyKu42mEuNbucA%3D","Link")</f>
        <v>Link</v>
      </c>
      <c r="B955" s="2" t="s">
        <v>3191</v>
      </c>
      <c r="C955" s="2" t="s">
        <v>3183</v>
      </c>
      <c r="D955" s="2" t="s">
        <v>3184</v>
      </c>
      <c r="E955" s="2" t="s">
        <v>3192</v>
      </c>
      <c r="F955" s="2" t="s">
        <v>3193</v>
      </c>
      <c r="G955" s="2" t="s">
        <v>206</v>
      </c>
      <c r="H955" s="7"/>
      <c r="I955" s="2" t="s">
        <v>9</v>
      </c>
      <c r="K955" t="e">
        <v>#N/A</v>
      </c>
      <c r="L955" s="2" t="s">
        <v>8568</v>
      </c>
      <c r="M955" t="s">
        <v>8110</v>
      </c>
      <c r="N955" s="4"/>
    </row>
    <row r="956" spans="1:14" ht="39" x14ac:dyDescent="0.3">
      <c r="A956" s="1" t="str">
        <f>HYPERLINK("https://ipmanager.doe.gov/IPManager//ExternalLink.aspx?6ibkph2k9yi6F%2B0Vz7YoTjnDGhmGHGI7BSdsy%2B4o2j0%3D","Link")</f>
        <v>Link</v>
      </c>
      <c r="B956" s="2" t="s">
        <v>3195</v>
      </c>
      <c r="C956" s="2" t="s">
        <v>3183</v>
      </c>
      <c r="D956" s="2" t="s">
        <v>3184</v>
      </c>
      <c r="E956" s="2" t="s">
        <v>3196</v>
      </c>
      <c r="F956" s="2" t="s">
        <v>3197</v>
      </c>
      <c r="G956" s="2" t="s">
        <v>3198</v>
      </c>
      <c r="H956" s="7"/>
      <c r="I956" s="2" t="s">
        <v>9</v>
      </c>
      <c r="K956" t="e">
        <v>#N/A</v>
      </c>
      <c r="L956" s="2" t="s">
        <v>8568</v>
      </c>
      <c r="M956" t="s">
        <v>8110</v>
      </c>
      <c r="N956" s="4"/>
    </row>
    <row r="957" spans="1:14" ht="39" x14ac:dyDescent="0.3">
      <c r="A957" s="1" t="str">
        <f>HYPERLINK("https://ipmanager.doe.gov/IPManager//ExternalLink.aspx?6ibkph2k9yi6F%2B0Vz7YoTgZwfmYxrNyKs%2FS%2B6oWjaZU%3D","Link")</f>
        <v>Link</v>
      </c>
      <c r="B957" s="2" t="s">
        <v>3201</v>
      </c>
      <c r="C957" s="2" t="s">
        <v>3183</v>
      </c>
      <c r="D957" s="2" t="s">
        <v>3184</v>
      </c>
      <c r="E957" s="2" t="s">
        <v>3196</v>
      </c>
      <c r="F957" s="2" t="s">
        <v>3202</v>
      </c>
      <c r="G957" s="2" t="s">
        <v>3198</v>
      </c>
      <c r="H957" s="7"/>
      <c r="I957" s="2" t="s">
        <v>9</v>
      </c>
      <c r="J957" t="s">
        <v>3202</v>
      </c>
      <c r="K957" t="s">
        <v>7722</v>
      </c>
      <c r="L957" s="2" t="s">
        <v>8568</v>
      </c>
      <c r="M957" t="s">
        <v>8110</v>
      </c>
      <c r="N957" s="4"/>
    </row>
    <row r="958" spans="1:14" ht="39" x14ac:dyDescent="0.3">
      <c r="A958" s="1" t="str">
        <f>HYPERLINK("https://ipmanager.doe.gov/IPManager//ExternalLink.aspx?6ibkph2k9yi6F%2B0Vz7YoTp68px7nSN2gZ%2B04JH8t390%3D","Link")</f>
        <v>Link</v>
      </c>
      <c r="B958" s="2" t="s">
        <v>3205</v>
      </c>
      <c r="C958" s="2" t="s">
        <v>3183</v>
      </c>
      <c r="D958" s="2" t="s">
        <v>3184</v>
      </c>
      <c r="E958" s="2" t="s">
        <v>3196</v>
      </c>
      <c r="F958" s="2" t="s">
        <v>3206</v>
      </c>
      <c r="G958" s="2" t="s">
        <v>3207</v>
      </c>
      <c r="H958" s="7"/>
      <c r="I958" s="2" t="s">
        <v>9</v>
      </c>
      <c r="K958" t="e">
        <v>#N/A</v>
      </c>
      <c r="L958" s="2" t="s">
        <v>8568</v>
      </c>
      <c r="M958" t="s">
        <v>8110</v>
      </c>
      <c r="N958" s="4"/>
    </row>
    <row r="959" spans="1:14" ht="39" x14ac:dyDescent="0.3">
      <c r="A959" s="1" t="str">
        <f>HYPERLINK("https://ipmanager.doe.gov/IPManager//ExternalLink.aspx?6ibkph2k9yi6F%2B0Vz7YoTp68px7nSN2gsmWXufW0gCY%3D","Link")</f>
        <v>Link</v>
      </c>
      <c r="B959" s="2" t="s">
        <v>3210</v>
      </c>
      <c r="C959" s="2" t="s">
        <v>3183</v>
      </c>
      <c r="D959" s="2" t="s">
        <v>3184</v>
      </c>
      <c r="E959" s="2" t="s">
        <v>3185</v>
      </c>
      <c r="F959" s="2" t="s">
        <v>3211</v>
      </c>
      <c r="G959" s="2" t="s">
        <v>3187</v>
      </c>
      <c r="H959" s="7"/>
      <c r="I959" s="2" t="s">
        <v>9</v>
      </c>
      <c r="J959" t="s">
        <v>3211</v>
      </c>
      <c r="K959" t="s">
        <v>7876</v>
      </c>
      <c r="L959" s="2" t="s">
        <v>8568</v>
      </c>
      <c r="M959" t="s">
        <v>8110</v>
      </c>
      <c r="N959" s="4"/>
    </row>
    <row r="960" spans="1:14" ht="65" x14ac:dyDescent="0.3">
      <c r="A960" s="1" t="str">
        <f>HYPERLINK("https://ipmanager.doe.gov/IPManager//ExternalLink.aspx?6ibkph2k9yi6F%2B0Vz7YoTnXVN2REjGcW6jKXp3FrPO4%3D","Link")</f>
        <v>Link</v>
      </c>
      <c r="B960" s="2" t="s">
        <v>3214</v>
      </c>
      <c r="C960" s="2" t="s">
        <v>3215</v>
      </c>
      <c r="D960" s="2" t="s">
        <v>3216</v>
      </c>
      <c r="E960" s="2" t="s">
        <v>3217</v>
      </c>
      <c r="F960" s="2"/>
      <c r="G960" s="2" t="s">
        <v>9</v>
      </c>
      <c r="H960" s="7"/>
      <c r="I960" s="2" t="s">
        <v>9</v>
      </c>
      <c r="K960" t="e">
        <v>#N/A</v>
      </c>
      <c r="L960" s="2" t="s">
        <v>8569</v>
      </c>
      <c r="M960" t="s">
        <v>8111</v>
      </c>
      <c r="N960" s="4"/>
    </row>
    <row r="961" spans="1:14" ht="39" x14ac:dyDescent="0.3">
      <c r="A961" s="1" t="str">
        <f>HYPERLINK("https://ipmanager.doe.gov/IPManager//ExternalLink.aspx?6ibkph2k9yi6F%2B0Vz7YoTgZwfmYxrNyKvAHzb0fQS38%3D","Link")</f>
        <v>Link</v>
      </c>
      <c r="B961" s="2" t="s">
        <v>3218</v>
      </c>
      <c r="C961" s="2" t="s">
        <v>3215</v>
      </c>
      <c r="D961" s="2" t="s">
        <v>3216</v>
      </c>
      <c r="E961" s="2" t="s">
        <v>3219</v>
      </c>
      <c r="F961" s="2"/>
      <c r="G961" s="2" t="s">
        <v>9</v>
      </c>
      <c r="H961" s="7"/>
      <c r="I961" s="2" t="s">
        <v>9</v>
      </c>
      <c r="K961" t="e">
        <v>#N/A</v>
      </c>
      <c r="L961" s="2" t="s">
        <v>8569</v>
      </c>
      <c r="M961" t="s">
        <v>8111</v>
      </c>
      <c r="N961" s="4"/>
    </row>
    <row r="962" spans="1:14" ht="39" x14ac:dyDescent="0.3">
      <c r="A962" s="1" t="str">
        <f>HYPERLINK("https://ipmanager.doe.gov/IPManager//ExternalLink.aspx?6ibkph2k9yi6F%2B0Vz7YoTo7DPLa3%2F%2FGgJ5Ds5BtiAT0%3D","Link")</f>
        <v>Link</v>
      </c>
      <c r="B962" s="2" t="s">
        <v>3220</v>
      </c>
      <c r="C962" s="2" t="s">
        <v>3215</v>
      </c>
      <c r="D962" s="2" t="s">
        <v>3216</v>
      </c>
      <c r="E962" s="2" t="s">
        <v>3221</v>
      </c>
      <c r="F962" s="2"/>
      <c r="G962" s="2" t="s">
        <v>9</v>
      </c>
      <c r="H962" s="7"/>
      <c r="I962" s="2" t="s">
        <v>9</v>
      </c>
      <c r="K962" t="e">
        <v>#N/A</v>
      </c>
      <c r="L962" s="2" t="s">
        <v>8569</v>
      </c>
      <c r="M962" t="s">
        <v>8111</v>
      </c>
      <c r="N962" s="4"/>
    </row>
    <row r="963" spans="1:14" ht="52" x14ac:dyDescent="0.3">
      <c r="A963" s="1" t="str">
        <f>HYPERLINK("https://ipmanager.doe.gov/IPManager//ExternalLink.aspx?6ibkph2k9yi6F%2B0Vz7YoTjnDGhmGHGI7eNJYWfFL8h8%3D","Link")</f>
        <v>Link</v>
      </c>
      <c r="B963" s="2" t="s">
        <v>3226</v>
      </c>
      <c r="C963" s="2" t="s">
        <v>3223</v>
      </c>
      <c r="D963" s="2" t="s">
        <v>2271</v>
      </c>
      <c r="E963" s="2" t="s">
        <v>3224</v>
      </c>
      <c r="F963" s="2"/>
      <c r="G963" s="2" t="s">
        <v>9</v>
      </c>
      <c r="H963" s="7"/>
      <c r="I963" s="2" t="s">
        <v>9</v>
      </c>
      <c r="K963" t="e">
        <v>#N/A</v>
      </c>
      <c r="L963" s="2" t="s">
        <v>8570</v>
      </c>
      <c r="M963" t="s">
        <v>8112</v>
      </c>
      <c r="N963" s="4"/>
    </row>
    <row r="964" spans="1:14" ht="52" x14ac:dyDescent="0.3">
      <c r="A964" s="1" t="str">
        <f>HYPERLINK("https://ipmanager.doe.gov/IPManager//ExternalLink.aspx?6ibkph2k9yi6F%2B0Vz7YoTjnDGhmGHGI70sqviYRSweo%3D","Link")</f>
        <v>Link</v>
      </c>
      <c r="B964" s="2" t="s">
        <v>3222</v>
      </c>
      <c r="C964" s="2" t="s">
        <v>3223</v>
      </c>
      <c r="D964" s="2" t="s">
        <v>2271</v>
      </c>
      <c r="E964" s="2" t="s">
        <v>3224</v>
      </c>
      <c r="F964" s="2" t="s">
        <v>3225</v>
      </c>
      <c r="G964" s="2" t="s">
        <v>1863</v>
      </c>
      <c r="H964" s="2"/>
      <c r="I964" s="2" t="s">
        <v>9</v>
      </c>
      <c r="K964" t="e">
        <v>#N/A</v>
      </c>
      <c r="L964" s="2" t="s">
        <v>8570</v>
      </c>
      <c r="M964" t="s">
        <v>8112</v>
      </c>
      <c r="N964" s="4"/>
    </row>
    <row r="965" spans="1:14" ht="52" x14ac:dyDescent="0.3">
      <c r="A965" s="1" t="str">
        <f>HYPERLINK("https://ipmanager.doe.gov/IPManager//ExternalLink.aspx?6ibkph2k9yi6F%2B0Vz7YoTr7J5I%2BY4foYwvaKHfr7QN0%3D","Link")</f>
        <v>Link</v>
      </c>
      <c r="B965" s="2" t="s">
        <v>3227</v>
      </c>
      <c r="C965" s="2" t="s">
        <v>3223</v>
      </c>
      <c r="D965" s="2" t="s">
        <v>2271</v>
      </c>
      <c r="E965" s="2" t="s">
        <v>3224</v>
      </c>
      <c r="F965" s="2" t="s">
        <v>3228</v>
      </c>
      <c r="G965" s="2" t="s">
        <v>3229</v>
      </c>
      <c r="H965" s="2"/>
      <c r="I965" s="2" t="s">
        <v>9</v>
      </c>
      <c r="J965" t="s">
        <v>3228</v>
      </c>
      <c r="K965" t="s">
        <v>7920</v>
      </c>
      <c r="L965" s="2" t="s">
        <v>8570</v>
      </c>
      <c r="M965" t="s">
        <v>8112</v>
      </c>
      <c r="N965" s="4"/>
    </row>
    <row r="966" spans="1:14" ht="52" x14ac:dyDescent="0.3">
      <c r="A966" s="1" t="str">
        <f>HYPERLINK("https://ipmanager.doe.gov/IPManager//ExternalLink.aspx?6ibkph2k9yi6F%2B0Vz7YoTp68px7nSN2ggNq8WwBt8sg%3D","Link")</f>
        <v>Link</v>
      </c>
      <c r="B966" s="2" t="s">
        <v>3230</v>
      </c>
      <c r="C966" s="2" t="s">
        <v>3223</v>
      </c>
      <c r="D966" s="2" t="s">
        <v>2271</v>
      </c>
      <c r="E966" s="2" t="s">
        <v>3224</v>
      </c>
      <c r="F966" s="2" t="s">
        <v>3231</v>
      </c>
      <c r="G966" s="2" t="s">
        <v>3232</v>
      </c>
      <c r="H966" s="2"/>
      <c r="I966" s="2" t="s">
        <v>9</v>
      </c>
      <c r="J966" t="s">
        <v>3231</v>
      </c>
      <c r="K966" t="s">
        <v>7921</v>
      </c>
      <c r="L966" s="2" t="s">
        <v>8570</v>
      </c>
      <c r="M966" t="s">
        <v>8112</v>
      </c>
      <c r="N966" s="4"/>
    </row>
    <row r="967" spans="1:14" ht="52" x14ac:dyDescent="0.3">
      <c r="A967" s="1" t="str">
        <f>HYPERLINK("https://ipmanager.doe.gov/IPManager//ExternalLink.aspx?6ibkph2k9yi6F%2B0Vz7YoTsTAnuFk5EoAKvNZSeYmL60%3D","Link")</f>
        <v>Link</v>
      </c>
      <c r="B967" s="2" t="s">
        <v>3234</v>
      </c>
      <c r="C967" s="2" t="s">
        <v>3223</v>
      </c>
      <c r="D967" s="2" t="s">
        <v>2271</v>
      </c>
      <c r="E967" s="2" t="s">
        <v>3224</v>
      </c>
      <c r="F967" s="2" t="s">
        <v>3233</v>
      </c>
      <c r="G967" s="2" t="s">
        <v>3235</v>
      </c>
      <c r="H967" s="2"/>
      <c r="I967" s="2" t="s">
        <v>9</v>
      </c>
      <c r="K967" t="e">
        <v>#N/A</v>
      </c>
      <c r="L967" s="2" t="s">
        <v>8570</v>
      </c>
      <c r="M967" t="s">
        <v>8112</v>
      </c>
      <c r="N967" s="4"/>
    </row>
    <row r="968" spans="1:14" ht="78" x14ac:dyDescent="0.3">
      <c r="A968" s="1" t="str">
        <f>HYPERLINK("https://ipmanager.doe.gov/IPManager//ExternalLink.aspx?6ibkph2k9yi6F%2B0Vz7YoTvPUg%2FVZPl3i1cxNaJbFFRU%3D","Link")</f>
        <v>Link</v>
      </c>
      <c r="B968" s="2" t="s">
        <v>3236</v>
      </c>
      <c r="C968" s="2" t="s">
        <v>3237</v>
      </c>
      <c r="D968" s="2" t="s">
        <v>3238</v>
      </c>
      <c r="E968" s="2" t="s">
        <v>3239</v>
      </c>
      <c r="F968" s="2"/>
      <c r="G968" s="2" t="s">
        <v>9</v>
      </c>
      <c r="H968" s="7"/>
      <c r="I968" s="2" t="s">
        <v>9</v>
      </c>
      <c r="K968" t="e">
        <v>#N/A</v>
      </c>
      <c r="L968" s="2" t="s">
        <v>8571</v>
      </c>
      <c r="M968" t="s">
        <v>8113</v>
      </c>
      <c r="N968" s="4"/>
    </row>
    <row r="969" spans="1:14" ht="65" x14ac:dyDescent="0.3">
      <c r="A969" s="1" t="str">
        <f>HYPERLINK("https://ipmanager.doe.gov/IPManager//ExternalLink.aspx?6ibkph2k9yi6F%2B0Vz7YoTvPUg%2FVZPl3iTHZ18YCIROE%3D","Link")</f>
        <v>Link</v>
      </c>
      <c r="B969" s="2" t="s">
        <v>3240</v>
      </c>
      <c r="C969" s="2" t="s">
        <v>3237</v>
      </c>
      <c r="D969" s="2" t="s">
        <v>3238</v>
      </c>
      <c r="E969" s="2" t="s">
        <v>3241</v>
      </c>
      <c r="F969" s="2"/>
      <c r="G969" s="2" t="s">
        <v>9</v>
      </c>
      <c r="H969" s="7"/>
      <c r="I969" s="2" t="s">
        <v>9</v>
      </c>
      <c r="K969" t="e">
        <v>#N/A</v>
      </c>
      <c r="L969" s="2" t="s">
        <v>8571</v>
      </c>
      <c r="M969" t="s">
        <v>8113</v>
      </c>
      <c r="N969" s="4"/>
    </row>
    <row r="970" spans="1:14" ht="52" x14ac:dyDescent="0.3">
      <c r="A970" s="1" t="str">
        <f>HYPERLINK("https://ipmanager.doe.gov/IPManager//ExternalLink.aspx?6ibkph2k9yi6F%2B0Vz7YoTjnDGhmGHGI747%2F2QDabcvg%3D","Link")</f>
        <v>Link</v>
      </c>
      <c r="B970" s="2" t="s">
        <v>3242</v>
      </c>
      <c r="C970" s="2" t="s">
        <v>3237</v>
      </c>
      <c r="D970" s="2" t="s">
        <v>3238</v>
      </c>
      <c r="E970" s="2" t="s">
        <v>3243</v>
      </c>
      <c r="F970" s="2"/>
      <c r="G970" s="2" t="s">
        <v>9</v>
      </c>
      <c r="H970" s="7"/>
      <c r="I970" s="2" t="s">
        <v>9</v>
      </c>
      <c r="K970" t="e">
        <v>#N/A</v>
      </c>
      <c r="L970" s="2" t="s">
        <v>8571</v>
      </c>
      <c r="M970" t="s">
        <v>8113</v>
      </c>
      <c r="N970" s="4"/>
    </row>
    <row r="971" spans="1:14" ht="39" x14ac:dyDescent="0.3">
      <c r="A971" s="1" t="str">
        <f>HYPERLINK("https://ipmanager.doe.gov/IPManager//ExternalLink.aspx?6ibkph2k9yi6F%2B0Vz7YoTr7J5I%2BY4foYJYQa%2B1Fbn3I%3D","Link")</f>
        <v>Link</v>
      </c>
      <c r="B971" s="2" t="s">
        <v>3244</v>
      </c>
      <c r="C971" s="2" t="s">
        <v>3237</v>
      </c>
      <c r="D971" s="2" t="s">
        <v>3238</v>
      </c>
      <c r="E971" s="2" t="s">
        <v>3245</v>
      </c>
      <c r="F971" s="2"/>
      <c r="G971" s="2" t="s">
        <v>9</v>
      </c>
      <c r="H971" s="7"/>
      <c r="I971" s="2" t="s">
        <v>9</v>
      </c>
      <c r="K971" t="e">
        <v>#N/A</v>
      </c>
      <c r="L971" s="2" t="s">
        <v>8571</v>
      </c>
      <c r="M971" t="s">
        <v>8113</v>
      </c>
      <c r="N971" s="4"/>
    </row>
    <row r="972" spans="1:14" ht="52" x14ac:dyDescent="0.3">
      <c r="A972" s="1" t="str">
        <f>HYPERLINK("https://ipmanager.doe.gov/IPManager//ExternalLink.aspx?6ibkph2k9yi6F%2B0Vz7YoTjnDGhmGHGI7N6Rlug7vipk%3D","Link")</f>
        <v>Link</v>
      </c>
      <c r="B972" s="2" t="s">
        <v>3246</v>
      </c>
      <c r="C972" s="2" t="s">
        <v>3237</v>
      </c>
      <c r="D972" s="2" t="s">
        <v>3238</v>
      </c>
      <c r="E972" s="2" t="s">
        <v>3247</v>
      </c>
      <c r="F972" s="2"/>
      <c r="G972" s="2" t="s">
        <v>9</v>
      </c>
      <c r="H972" s="7"/>
      <c r="I972" s="2" t="s">
        <v>9</v>
      </c>
      <c r="K972" t="e">
        <v>#N/A</v>
      </c>
      <c r="L972" s="2" t="s">
        <v>8571</v>
      </c>
      <c r="M972" t="s">
        <v>8113</v>
      </c>
      <c r="N972" s="4"/>
    </row>
    <row r="973" spans="1:14" ht="52" x14ac:dyDescent="0.3">
      <c r="A973" s="1" t="str">
        <f>HYPERLINK("https://ipmanager.doe.gov/IPManager//ExternalLink.aspx?6ibkph2k9yi6F%2B0Vz7YoTjnDGhmGHGI7dm8iKNiyhJk%3D","Link")</f>
        <v>Link</v>
      </c>
      <c r="B973" s="2" t="s">
        <v>3248</v>
      </c>
      <c r="C973" s="2" t="s">
        <v>3237</v>
      </c>
      <c r="D973" s="2" t="s">
        <v>3238</v>
      </c>
      <c r="E973" s="2" t="s">
        <v>3249</v>
      </c>
      <c r="F973" s="2"/>
      <c r="G973" s="2" t="s">
        <v>9</v>
      </c>
      <c r="H973" s="7"/>
      <c r="I973" s="2" t="s">
        <v>9</v>
      </c>
      <c r="K973" t="e">
        <v>#N/A</v>
      </c>
      <c r="L973" s="2" t="s">
        <v>8571</v>
      </c>
      <c r="M973" t="s">
        <v>8113</v>
      </c>
      <c r="N973" s="4"/>
    </row>
    <row r="974" spans="1:14" ht="52" x14ac:dyDescent="0.3">
      <c r="A974" s="1" t="str">
        <f>HYPERLINK("https://ipmanager.doe.gov/IPManager//ExternalLink.aspx?6ibkph2k9yi6F%2B0Vz7YoTgZwfmYxrNyKZ5WeVQ%2BCG0A%3D","Link")</f>
        <v>Link</v>
      </c>
      <c r="B974" s="2" t="s">
        <v>3250</v>
      </c>
      <c r="C974" s="2" t="s">
        <v>3237</v>
      </c>
      <c r="D974" s="2" t="s">
        <v>3238</v>
      </c>
      <c r="E974" s="2" t="s">
        <v>3251</v>
      </c>
      <c r="F974" s="2"/>
      <c r="G974" s="2" t="s">
        <v>9</v>
      </c>
      <c r="H974" s="7"/>
      <c r="I974" s="2" t="s">
        <v>9</v>
      </c>
      <c r="K974" t="e">
        <v>#N/A</v>
      </c>
      <c r="L974" s="2" t="s">
        <v>8571</v>
      </c>
      <c r="M974" t="s">
        <v>8113</v>
      </c>
      <c r="N974" s="4"/>
    </row>
    <row r="975" spans="1:14" ht="52" x14ac:dyDescent="0.3">
      <c r="A975" s="1" t="str">
        <f>HYPERLINK("https://ipmanager.doe.gov/IPManager//ExternalLink.aspx?6ibkph2k9yi6F%2B0Vz7YoTgZwfmYxrNyKhyMe6laXUlA%3D","Link")</f>
        <v>Link</v>
      </c>
      <c r="B975" s="2" t="s">
        <v>3252</v>
      </c>
      <c r="C975" s="2" t="s">
        <v>3237</v>
      </c>
      <c r="D975" s="2" t="s">
        <v>3238</v>
      </c>
      <c r="E975" s="2" t="s">
        <v>3253</v>
      </c>
      <c r="F975" s="2"/>
      <c r="G975" s="2" t="s">
        <v>9</v>
      </c>
      <c r="H975" s="7"/>
      <c r="I975" s="2" t="s">
        <v>9</v>
      </c>
      <c r="K975" t="e">
        <v>#N/A</v>
      </c>
      <c r="L975" s="2" t="s">
        <v>8571</v>
      </c>
      <c r="M975" t="s">
        <v>8113</v>
      </c>
      <c r="N975" s="4"/>
    </row>
    <row r="976" spans="1:14" ht="39" x14ac:dyDescent="0.3">
      <c r="A976" s="1" t="str">
        <f>HYPERLINK("https://ipmanager.doe.gov/IPManager//ExternalLink.aspx?6ibkph2k9yi6F%2B0Vz7YoTgZwfmYxrNyK%2BxPd%2Ff4WFpA%3D","Link")</f>
        <v>Link</v>
      </c>
      <c r="B976" s="2" t="s">
        <v>3255</v>
      </c>
      <c r="C976" s="2" t="s">
        <v>3237</v>
      </c>
      <c r="D976" s="2" t="s">
        <v>3238</v>
      </c>
      <c r="E976" s="2" t="s">
        <v>3245</v>
      </c>
      <c r="F976" s="2"/>
      <c r="G976" s="2" t="s">
        <v>9</v>
      </c>
      <c r="H976" s="7"/>
      <c r="I976" s="2" t="s">
        <v>9</v>
      </c>
      <c r="K976" t="e">
        <v>#N/A</v>
      </c>
      <c r="L976" s="2" t="s">
        <v>8571</v>
      </c>
      <c r="M976" t="s">
        <v>8113</v>
      </c>
      <c r="N976" s="4"/>
    </row>
    <row r="977" spans="1:14" ht="26" x14ac:dyDescent="0.3">
      <c r="A977" s="1" t="str">
        <f>HYPERLINK("https://ipmanager.doe.gov/IPManager//ExternalLink.aspx?6ibkph2k9yi6F%2B0Vz7YoTjnDGhmGHGI7fCnkRFzPUZw%3D","Link")</f>
        <v>Link</v>
      </c>
      <c r="B977" s="2" t="s">
        <v>3256</v>
      </c>
      <c r="C977" s="2" t="s">
        <v>3237</v>
      </c>
      <c r="D977" s="2" t="s">
        <v>3238</v>
      </c>
      <c r="E977" s="2" t="s">
        <v>3257</v>
      </c>
      <c r="F977" s="2"/>
      <c r="G977" s="2" t="s">
        <v>9</v>
      </c>
      <c r="H977" s="7"/>
      <c r="I977" s="2" t="s">
        <v>9</v>
      </c>
      <c r="K977" t="e">
        <v>#N/A</v>
      </c>
      <c r="L977" s="2" t="s">
        <v>8571</v>
      </c>
      <c r="M977" t="s">
        <v>8113</v>
      </c>
      <c r="N977" s="4"/>
    </row>
    <row r="978" spans="1:14" ht="39" x14ac:dyDescent="0.3">
      <c r="A978" s="1" t="str">
        <f>HYPERLINK("https://ipmanager.doe.gov/IPManager//ExternalLink.aspx?6ibkph2k9yi6F%2B0Vz7YoTjnDGhmGHGI7303ngyQFYM4%3D","Link")</f>
        <v>Link</v>
      </c>
      <c r="B978" s="2" t="s">
        <v>3258</v>
      </c>
      <c r="C978" s="2" t="s">
        <v>3237</v>
      </c>
      <c r="D978" s="2" t="s">
        <v>3238</v>
      </c>
      <c r="E978" s="2" t="s">
        <v>3259</v>
      </c>
      <c r="F978" s="2"/>
      <c r="G978" s="2" t="s">
        <v>9</v>
      </c>
      <c r="H978" s="7"/>
      <c r="I978" s="2" t="s">
        <v>9</v>
      </c>
      <c r="K978" t="e">
        <v>#N/A</v>
      </c>
      <c r="L978" s="2" t="s">
        <v>8571</v>
      </c>
      <c r="M978" t="s">
        <v>8113</v>
      </c>
      <c r="N978" s="4"/>
    </row>
    <row r="979" spans="1:14" ht="39" x14ac:dyDescent="0.3">
      <c r="A979" s="1" t="str">
        <f>HYPERLINK("https://ipmanager.doe.gov/IPManager//ExternalLink.aspx?6ibkph2k9yi6F%2B0Vz7YoTlNm8snv%2FZpH24s56vPfQ1I%3D","Link")</f>
        <v>Link</v>
      </c>
      <c r="B979" s="2" t="s">
        <v>3260</v>
      </c>
      <c r="C979" s="2" t="s">
        <v>3237</v>
      </c>
      <c r="D979" s="2" t="s">
        <v>3238</v>
      </c>
      <c r="E979" s="2" t="s">
        <v>3261</v>
      </c>
      <c r="F979" s="2"/>
      <c r="G979" s="2" t="s">
        <v>9</v>
      </c>
      <c r="H979" s="7"/>
      <c r="I979" s="2" t="s">
        <v>9</v>
      </c>
      <c r="K979" t="e">
        <v>#N/A</v>
      </c>
      <c r="L979" s="2" t="s">
        <v>8571</v>
      </c>
      <c r="M979" t="s">
        <v>8113</v>
      </c>
      <c r="N979" s="4"/>
    </row>
    <row r="980" spans="1:14" ht="52" x14ac:dyDescent="0.3">
      <c r="A980" s="1" t="str">
        <f>HYPERLINK("https://ipmanager.doe.gov/IPManager//ExternalLink.aspx?6ibkph2k9yi6F%2B0Vz7YoTlNm8snv%2FZpHro3UVo5p6Vw%3D","Link")</f>
        <v>Link</v>
      </c>
      <c r="B980" s="2" t="s">
        <v>3262</v>
      </c>
      <c r="C980" s="2" t="s">
        <v>3237</v>
      </c>
      <c r="D980" s="2" t="s">
        <v>3238</v>
      </c>
      <c r="E980" s="2" t="s">
        <v>3263</v>
      </c>
      <c r="F980" s="2"/>
      <c r="G980" s="2" t="s">
        <v>9</v>
      </c>
      <c r="H980" s="7"/>
      <c r="I980" s="2" t="s">
        <v>9</v>
      </c>
      <c r="K980" t="e">
        <v>#N/A</v>
      </c>
      <c r="L980" s="2" t="s">
        <v>8571</v>
      </c>
      <c r="M980" t="s">
        <v>8113</v>
      </c>
      <c r="N980" s="4"/>
    </row>
    <row r="981" spans="1:14" ht="39" x14ac:dyDescent="0.3">
      <c r="A981" s="1" t="str">
        <f>HYPERLINK("https://ipmanager.doe.gov/IPManager//ExternalLink.aspx?6ibkph2k9yi6F%2B0Vz7YoTipZ798QK%2BbPpKmVHsguhpQ%3D","Link")</f>
        <v>Link</v>
      </c>
      <c r="B981" s="2" t="s">
        <v>3264</v>
      </c>
      <c r="C981" s="2" t="s">
        <v>3237</v>
      </c>
      <c r="D981" s="2" t="s">
        <v>3238</v>
      </c>
      <c r="E981" s="2" t="s">
        <v>3265</v>
      </c>
      <c r="F981" s="2"/>
      <c r="G981" s="2" t="s">
        <v>9</v>
      </c>
      <c r="H981" s="7"/>
      <c r="I981" s="2" t="s">
        <v>9</v>
      </c>
      <c r="K981" t="e">
        <v>#N/A</v>
      </c>
      <c r="L981" s="2" t="s">
        <v>8571</v>
      </c>
      <c r="M981" t="s">
        <v>8113</v>
      </c>
      <c r="N981" s="4"/>
    </row>
    <row r="982" spans="1:14" ht="65" x14ac:dyDescent="0.3">
      <c r="A982" s="1" t="str">
        <f>HYPERLINK("https://ipmanager.doe.gov/IPManager//ExternalLink.aspx?6ibkph2k9yi6F%2B0Vz7YoTipZ798QK%2BbPAQG5%2FV%2FsFZw%3D","Link")</f>
        <v>Link</v>
      </c>
      <c r="B982" s="2" t="s">
        <v>3266</v>
      </c>
      <c r="C982" s="2" t="s">
        <v>3237</v>
      </c>
      <c r="D982" s="2" t="s">
        <v>3238</v>
      </c>
      <c r="E982" s="2" t="s">
        <v>3267</v>
      </c>
      <c r="F982" s="2"/>
      <c r="G982" s="2" t="s">
        <v>9</v>
      </c>
      <c r="H982" s="7"/>
      <c r="I982" s="2" t="s">
        <v>9</v>
      </c>
      <c r="K982" t="e">
        <v>#N/A</v>
      </c>
      <c r="L982" s="2" t="s">
        <v>8571</v>
      </c>
      <c r="M982" t="s">
        <v>8113</v>
      </c>
      <c r="N982" s="4"/>
    </row>
    <row r="983" spans="1:14" ht="39" x14ac:dyDescent="0.3">
      <c r="A983" s="1" t="str">
        <f>HYPERLINK("https://ipmanager.doe.gov/IPManager//ExternalLink.aspx?6ibkph2k9yi6F%2B0Vz7YoTk2BI6w%2FjZ2flI8Lx5K6PCw%3D","Link")</f>
        <v>Link</v>
      </c>
      <c r="B983" s="2" t="s">
        <v>3268</v>
      </c>
      <c r="C983" s="2" t="s">
        <v>3237</v>
      </c>
      <c r="D983" s="2" t="s">
        <v>3238</v>
      </c>
      <c r="E983" s="2" t="s">
        <v>3269</v>
      </c>
      <c r="F983" s="2"/>
      <c r="G983" s="2" t="s">
        <v>9</v>
      </c>
      <c r="H983" s="7"/>
      <c r="I983" s="2" t="s">
        <v>9</v>
      </c>
      <c r="K983" t="e">
        <v>#N/A</v>
      </c>
      <c r="L983" s="2" t="s">
        <v>8571</v>
      </c>
      <c r="M983" t="s">
        <v>8113</v>
      </c>
      <c r="N983" s="4"/>
    </row>
    <row r="984" spans="1:14" ht="39" x14ac:dyDescent="0.3">
      <c r="A984" s="1" t="str">
        <f>HYPERLINK("https://ipmanager.doe.gov/IPManager//ExternalLink.aspx?6ibkph2k9yi6F%2B0Vz7YoTipZ798QK%2BbPoC9u5tM5uH8%3D","Link")</f>
        <v>Link</v>
      </c>
      <c r="B984" s="2" t="s">
        <v>3270</v>
      </c>
      <c r="C984" s="2" t="s">
        <v>3237</v>
      </c>
      <c r="D984" s="2" t="s">
        <v>3238</v>
      </c>
      <c r="E984" s="2" t="s">
        <v>3271</v>
      </c>
      <c r="F984" s="2"/>
      <c r="G984" s="2" t="s">
        <v>9</v>
      </c>
      <c r="H984" s="7"/>
      <c r="I984" s="2" t="s">
        <v>9</v>
      </c>
      <c r="K984" t="e">
        <v>#N/A</v>
      </c>
      <c r="L984" s="2" t="s">
        <v>8571</v>
      </c>
      <c r="M984" t="s">
        <v>8113</v>
      </c>
      <c r="N984" s="4"/>
    </row>
    <row r="985" spans="1:14" ht="39" x14ac:dyDescent="0.3">
      <c r="A985" s="1" t="str">
        <f>HYPERLINK("https://ipmanager.doe.gov/IPManager//ExternalLink.aspx?6ibkph2k9yi6F%2B0Vz7YoTvPUg%2FVZPl3iZxuOhrxRtwE%3D","Link")</f>
        <v>Link</v>
      </c>
      <c r="B985" s="2" t="s">
        <v>3272</v>
      </c>
      <c r="C985" s="2" t="s">
        <v>3237</v>
      </c>
      <c r="D985" s="2" t="s">
        <v>3238</v>
      </c>
      <c r="E985" s="2" t="s">
        <v>3273</v>
      </c>
      <c r="F985" s="2"/>
      <c r="G985" s="2" t="s">
        <v>9</v>
      </c>
      <c r="H985" s="7"/>
      <c r="I985" s="2" t="s">
        <v>9</v>
      </c>
      <c r="K985" t="e">
        <v>#N/A</v>
      </c>
      <c r="L985" s="2" t="s">
        <v>8571</v>
      </c>
      <c r="M985" t="s">
        <v>8113</v>
      </c>
      <c r="N985" s="4"/>
    </row>
    <row r="986" spans="1:14" ht="39" x14ac:dyDescent="0.3">
      <c r="A986" s="1" t="str">
        <f>HYPERLINK("https://ipmanager.doe.gov/IPManager//ExternalLink.aspx?6ibkph2k9yi6F%2B0Vz7YoTvPUg%2FVZPl3iTiQV%2F8Pd6TE%3D","Link")</f>
        <v>Link</v>
      </c>
      <c r="B986" s="2" t="s">
        <v>3275</v>
      </c>
      <c r="C986" s="2" t="s">
        <v>3237</v>
      </c>
      <c r="D986" s="2" t="s">
        <v>3238</v>
      </c>
      <c r="E986" s="2" t="s">
        <v>3276</v>
      </c>
      <c r="F986" s="2"/>
      <c r="G986" s="2" t="s">
        <v>9</v>
      </c>
      <c r="H986" s="7"/>
      <c r="I986" s="2" t="s">
        <v>9</v>
      </c>
      <c r="K986" t="e">
        <v>#N/A</v>
      </c>
      <c r="L986" s="2" t="s">
        <v>8571</v>
      </c>
      <c r="M986" t="s">
        <v>8113</v>
      </c>
      <c r="N986" s="4"/>
    </row>
    <row r="987" spans="1:14" ht="52" x14ac:dyDescent="0.3">
      <c r="A987" s="1" t="str">
        <f>HYPERLINK("https://ipmanager.doe.gov/IPManager//ExternalLink.aspx?6ibkph2k9yi6F%2B0Vz7YoTvPUg%2FVZPl3icoDv8I2FViU%3D","Link")</f>
        <v>Link</v>
      </c>
      <c r="B987" s="2" t="s">
        <v>3277</v>
      </c>
      <c r="C987" s="2" t="s">
        <v>3237</v>
      </c>
      <c r="D987" s="2" t="s">
        <v>3238</v>
      </c>
      <c r="E987" s="2" t="s">
        <v>3278</v>
      </c>
      <c r="F987" s="2"/>
      <c r="G987" s="2" t="s">
        <v>9</v>
      </c>
      <c r="H987" s="7"/>
      <c r="I987" s="2" t="s">
        <v>9</v>
      </c>
      <c r="K987" t="e">
        <v>#N/A</v>
      </c>
      <c r="L987" s="2" t="s">
        <v>8571</v>
      </c>
      <c r="M987" t="s">
        <v>8113</v>
      </c>
      <c r="N987" s="4"/>
    </row>
    <row r="988" spans="1:14" ht="52" x14ac:dyDescent="0.3">
      <c r="A988" s="1" t="str">
        <f>HYPERLINK("https://ipmanager.doe.gov/IPManager//ExternalLink.aspx?6ibkph2k9yi6F%2B0Vz7YoTvPUg%2FVZPl3iLlK%2FzR%2F1uOk%3D","Link")</f>
        <v>Link</v>
      </c>
      <c r="B988" s="2" t="s">
        <v>3279</v>
      </c>
      <c r="C988" s="2" t="s">
        <v>3237</v>
      </c>
      <c r="D988" s="2" t="s">
        <v>3238</v>
      </c>
      <c r="E988" s="2" t="s">
        <v>3280</v>
      </c>
      <c r="F988" s="2"/>
      <c r="G988" s="2" t="s">
        <v>9</v>
      </c>
      <c r="H988" s="7"/>
      <c r="I988" s="2" t="s">
        <v>9</v>
      </c>
      <c r="K988" t="e">
        <v>#N/A</v>
      </c>
      <c r="L988" s="2" t="s">
        <v>8571</v>
      </c>
      <c r="M988" t="s">
        <v>8113</v>
      </c>
      <c r="N988" s="4"/>
    </row>
    <row r="989" spans="1:14" ht="39" x14ac:dyDescent="0.3">
      <c r="A989" s="1" t="str">
        <f>HYPERLINK("https://ipmanager.doe.gov/IPManager//ExternalLink.aspx?6ibkph2k9yi6F%2B0Vz7YoTvPUg%2FVZPl3iGOx1%2FKdFSyM%3D","Link")</f>
        <v>Link</v>
      </c>
      <c r="B989" s="2" t="s">
        <v>3281</v>
      </c>
      <c r="C989" s="2" t="s">
        <v>3237</v>
      </c>
      <c r="D989" s="2" t="s">
        <v>3238</v>
      </c>
      <c r="E989" s="2" t="s">
        <v>3259</v>
      </c>
      <c r="F989" s="2"/>
      <c r="G989" s="2" t="s">
        <v>9</v>
      </c>
      <c r="H989" s="7"/>
      <c r="I989" s="2" t="s">
        <v>9</v>
      </c>
      <c r="K989" t="e">
        <v>#N/A</v>
      </c>
      <c r="L989" s="2" t="s">
        <v>8571</v>
      </c>
      <c r="M989" t="s">
        <v>8113</v>
      </c>
      <c r="N989" s="4"/>
    </row>
    <row r="990" spans="1:14" ht="52" x14ac:dyDescent="0.3">
      <c r="A990" s="1" t="str">
        <f>HYPERLINK("https://ipmanager.doe.gov/IPManager//ExternalLink.aspx?6ibkph2k9yi6F%2B0Vz7YoTjnDGhmGHGI770zYOyWvQ1A%3D","Link")</f>
        <v>Link</v>
      </c>
      <c r="B990" s="2" t="s">
        <v>3283</v>
      </c>
      <c r="C990" s="2" t="s">
        <v>3284</v>
      </c>
      <c r="D990" s="2" t="s">
        <v>3285</v>
      </c>
      <c r="E990" s="2" t="s">
        <v>3286</v>
      </c>
      <c r="F990" s="2"/>
      <c r="G990" s="2" t="s">
        <v>9</v>
      </c>
      <c r="H990" s="7"/>
      <c r="I990" s="2" t="s">
        <v>9</v>
      </c>
      <c r="K990" t="e">
        <v>#N/A</v>
      </c>
      <c r="L990" s="2" t="s">
        <v>8424</v>
      </c>
      <c r="M990" t="s">
        <v>8425</v>
      </c>
      <c r="N990" s="4"/>
    </row>
    <row r="991" spans="1:14" ht="52" x14ac:dyDescent="0.3">
      <c r="A991" s="1" t="str">
        <f>HYPERLINK("https://ipmanager.doe.gov/IPManager//ExternalLink.aspx?6ibkph2k9yi6F%2B0Vz7YoTjnDGhmGHGI7i4oOqGaC3ec%3D","Link")</f>
        <v>Link</v>
      </c>
      <c r="B991" s="2" t="s">
        <v>3287</v>
      </c>
      <c r="C991" s="2" t="s">
        <v>3284</v>
      </c>
      <c r="D991" s="2" t="s">
        <v>3285</v>
      </c>
      <c r="E991" s="2" t="s">
        <v>3288</v>
      </c>
      <c r="F991" s="2"/>
      <c r="G991" s="2" t="s">
        <v>9</v>
      </c>
      <c r="H991" s="7"/>
      <c r="I991" s="2" t="s">
        <v>9</v>
      </c>
      <c r="K991" t="e">
        <v>#N/A</v>
      </c>
      <c r="L991" s="2" t="s">
        <v>8424</v>
      </c>
      <c r="M991" t="s">
        <v>8425</v>
      </c>
      <c r="N991" s="4"/>
    </row>
    <row r="992" spans="1:14" ht="78" x14ac:dyDescent="0.3">
      <c r="A992" s="1" t="str">
        <f>HYPERLINK("https://ipmanager.doe.gov/IPManager//ExternalLink.aspx?6ibkph2k9yi6F%2B0Vz7YoTr7J5I%2BY4foYuE9eLpJSUgo%3D","Link")</f>
        <v>Link</v>
      </c>
      <c r="B992" s="2" t="s">
        <v>3289</v>
      </c>
      <c r="C992" s="2" t="s">
        <v>3284</v>
      </c>
      <c r="D992" s="2" t="s">
        <v>3285</v>
      </c>
      <c r="E992" s="2" t="s">
        <v>3290</v>
      </c>
      <c r="F992" s="2"/>
      <c r="G992" s="2" t="s">
        <v>9</v>
      </c>
      <c r="H992" s="7"/>
      <c r="I992" s="2" t="s">
        <v>9</v>
      </c>
      <c r="K992" t="e">
        <v>#N/A</v>
      </c>
      <c r="L992" s="2" t="s">
        <v>8424</v>
      </c>
      <c r="M992" t="s">
        <v>8425</v>
      </c>
      <c r="N992" s="4"/>
    </row>
    <row r="993" spans="1:14" ht="78" x14ac:dyDescent="0.3">
      <c r="A993" s="1" t="str">
        <f>HYPERLINK("https://ipmanager.doe.gov/IPManager//ExternalLink.aspx?6ibkph2k9yi6F%2B0Vz7YoTipZ798QK%2BbPojuGEiUs1gA%3D","Link")</f>
        <v>Link</v>
      </c>
      <c r="B993" s="2" t="s">
        <v>3291</v>
      </c>
      <c r="C993" s="2" t="s">
        <v>3284</v>
      </c>
      <c r="D993" s="2" t="s">
        <v>3285</v>
      </c>
      <c r="E993" s="2" t="s">
        <v>3292</v>
      </c>
      <c r="F993" s="2"/>
      <c r="G993" s="2" t="s">
        <v>9</v>
      </c>
      <c r="H993" s="7"/>
      <c r="I993" s="2" t="s">
        <v>9</v>
      </c>
      <c r="K993" t="e">
        <v>#N/A</v>
      </c>
      <c r="L993" s="2" t="s">
        <v>8424</v>
      </c>
      <c r="M993" t="s">
        <v>8425</v>
      </c>
      <c r="N993" s="4"/>
    </row>
    <row r="994" spans="1:14" ht="78" x14ac:dyDescent="0.3">
      <c r="A994" s="1" t="str">
        <f>HYPERLINK("https://ipmanager.doe.gov/IPManager//ExternalLink.aspx?6ibkph2k9yi6F%2B0Vz7YoTipZ798QK%2BbPADA2CCZXH60%3D","Link")</f>
        <v>Link</v>
      </c>
      <c r="B994" s="2" t="s">
        <v>3293</v>
      </c>
      <c r="C994" s="2" t="s">
        <v>3284</v>
      </c>
      <c r="D994" s="2" t="s">
        <v>3285</v>
      </c>
      <c r="E994" s="2" t="s">
        <v>3294</v>
      </c>
      <c r="F994" s="2"/>
      <c r="G994" s="2" t="s">
        <v>9</v>
      </c>
      <c r="H994" s="7"/>
      <c r="I994" s="2" t="s">
        <v>9</v>
      </c>
      <c r="K994" t="e">
        <v>#N/A</v>
      </c>
      <c r="L994" s="2" t="s">
        <v>8424</v>
      </c>
      <c r="M994" t="s">
        <v>8425</v>
      </c>
      <c r="N994" s="4"/>
    </row>
    <row r="995" spans="1:14" ht="78" x14ac:dyDescent="0.3">
      <c r="A995" s="1" t="str">
        <f>HYPERLINK("https://ipmanager.doe.gov/IPManager//ExternalLink.aspx?6ibkph2k9yi6F%2B0Vz7YoTipZ798QK%2BbPVuJUhmFHldg%3D","Link")</f>
        <v>Link</v>
      </c>
      <c r="B995" s="2" t="s">
        <v>3295</v>
      </c>
      <c r="C995" s="2" t="s">
        <v>3284</v>
      </c>
      <c r="D995" s="2" t="s">
        <v>3285</v>
      </c>
      <c r="E995" s="2" t="s">
        <v>3296</v>
      </c>
      <c r="F995" s="2"/>
      <c r="G995" s="2" t="s">
        <v>9</v>
      </c>
      <c r="H995" s="7"/>
      <c r="I995" s="2" t="s">
        <v>9</v>
      </c>
      <c r="K995" t="e">
        <v>#N/A</v>
      </c>
      <c r="L995" s="2" t="s">
        <v>8424</v>
      </c>
      <c r="M995" t="s">
        <v>8425</v>
      </c>
      <c r="N995" s="4"/>
    </row>
    <row r="996" spans="1:14" ht="65" x14ac:dyDescent="0.3">
      <c r="A996" s="1" t="str">
        <f>HYPERLINK("https://ipmanager.doe.gov/IPManager//ExternalLink.aspx?6ibkph2k9yi6F%2B0Vz7YoTipZ798QK%2BbP9EXzKhKf%2BIk%3D","Link")</f>
        <v>Link</v>
      </c>
      <c r="B996" s="2" t="s">
        <v>3297</v>
      </c>
      <c r="C996" s="2" t="s">
        <v>3284</v>
      </c>
      <c r="D996" s="2" t="s">
        <v>3285</v>
      </c>
      <c r="E996" s="2" t="s">
        <v>3298</v>
      </c>
      <c r="F996" s="2"/>
      <c r="G996" s="2" t="s">
        <v>9</v>
      </c>
      <c r="H996" s="7"/>
      <c r="I996" s="2" t="s">
        <v>9</v>
      </c>
      <c r="K996" t="e">
        <v>#N/A</v>
      </c>
      <c r="L996" s="2" t="s">
        <v>8424</v>
      </c>
      <c r="M996" t="s">
        <v>8425</v>
      </c>
      <c r="N996" s="4"/>
    </row>
    <row r="997" spans="1:14" ht="78" x14ac:dyDescent="0.3">
      <c r="A997" s="1" t="str">
        <f>HYPERLINK("https://ipmanager.doe.gov/IPManager//ExternalLink.aspx?6ibkph2k9yi6F%2B0Vz7YoTipZ798QK%2BbPSa1o0%2BDR9jA%3D","Link")</f>
        <v>Link</v>
      </c>
      <c r="B997" s="2" t="s">
        <v>3299</v>
      </c>
      <c r="C997" s="2" t="s">
        <v>3284</v>
      </c>
      <c r="D997" s="2" t="s">
        <v>3285</v>
      </c>
      <c r="E997" s="2" t="s">
        <v>3300</v>
      </c>
      <c r="F997" s="2"/>
      <c r="G997" s="2" t="s">
        <v>9</v>
      </c>
      <c r="H997" s="7"/>
      <c r="I997" s="2" t="s">
        <v>9</v>
      </c>
      <c r="K997" t="e">
        <v>#N/A</v>
      </c>
      <c r="L997" s="2" t="s">
        <v>8424</v>
      </c>
      <c r="M997" t="s">
        <v>8425</v>
      </c>
      <c r="N997" s="4"/>
    </row>
    <row r="998" spans="1:14" ht="52" x14ac:dyDescent="0.3">
      <c r="A998" s="1" t="str">
        <f>HYPERLINK("https://ipmanager.doe.gov/IPManager//ExternalLink.aspx?6ibkph2k9yi6F%2B0Vz7YoTipZ798QK%2BbPgjCdSpjc%2BZs%3D","Link")</f>
        <v>Link</v>
      </c>
      <c r="B998" s="2" t="s">
        <v>3301</v>
      </c>
      <c r="C998" s="2" t="s">
        <v>3284</v>
      </c>
      <c r="D998" s="2" t="s">
        <v>3285</v>
      </c>
      <c r="E998" s="2" t="s">
        <v>3302</v>
      </c>
      <c r="F998" s="2"/>
      <c r="G998" s="2" t="s">
        <v>9</v>
      </c>
      <c r="H998" s="7"/>
      <c r="I998" s="2" t="s">
        <v>9</v>
      </c>
      <c r="K998" t="e">
        <v>#N/A</v>
      </c>
      <c r="L998" s="2" t="s">
        <v>8424</v>
      </c>
      <c r="M998" t="s">
        <v>8425</v>
      </c>
      <c r="N998" s="4"/>
    </row>
    <row r="999" spans="1:14" ht="52" x14ac:dyDescent="0.3">
      <c r="A999" s="1" t="str">
        <f>HYPERLINK("https://ipmanager.doe.gov/IPManager//ExternalLink.aspx?6ibkph2k9yi6F%2B0Vz7YoTipZ798QK%2BbP56Q5zi3PQno%3D","Link")</f>
        <v>Link</v>
      </c>
      <c r="B999" s="2" t="s">
        <v>3303</v>
      </c>
      <c r="C999" s="2" t="s">
        <v>3284</v>
      </c>
      <c r="D999" s="2" t="s">
        <v>3285</v>
      </c>
      <c r="E999" s="2" t="s">
        <v>3304</v>
      </c>
      <c r="F999" s="2"/>
      <c r="G999" s="2" t="s">
        <v>9</v>
      </c>
      <c r="H999" s="7"/>
      <c r="I999" s="2" t="s">
        <v>9</v>
      </c>
      <c r="K999" t="e">
        <v>#N/A</v>
      </c>
      <c r="L999" s="2" t="s">
        <v>8424</v>
      </c>
      <c r="M999" t="s">
        <v>8425</v>
      </c>
      <c r="N999" s="4"/>
    </row>
    <row r="1000" spans="1:14" ht="52" x14ac:dyDescent="0.3">
      <c r="A1000" s="1" t="str">
        <f>HYPERLINK("https://ipmanager.doe.gov/IPManager//ExternalLink.aspx?6ibkph2k9yi6F%2B0Vz7YoTipZ798QK%2BbPuBQcVPCowXM%3D","Link")</f>
        <v>Link</v>
      </c>
      <c r="B1000" s="2" t="s">
        <v>3305</v>
      </c>
      <c r="C1000" s="2" t="s">
        <v>3284</v>
      </c>
      <c r="D1000" s="2" t="s">
        <v>3285</v>
      </c>
      <c r="E1000" s="2" t="s">
        <v>3306</v>
      </c>
      <c r="F1000" s="2" t="s">
        <v>3307</v>
      </c>
      <c r="G1000" s="2" t="s">
        <v>3308</v>
      </c>
      <c r="H1000" s="7">
        <v>9316178</v>
      </c>
      <c r="I1000" s="2" t="s">
        <v>352</v>
      </c>
      <c r="J1000" t="s">
        <v>7597</v>
      </c>
      <c r="K1000" t="s">
        <v>7922</v>
      </c>
      <c r="L1000" s="2" t="s">
        <v>8424</v>
      </c>
      <c r="M1000" t="s">
        <v>8425</v>
      </c>
    </row>
    <row r="1001" spans="1:14" ht="52" x14ac:dyDescent="0.3">
      <c r="A1001" s="1" t="str">
        <f>HYPERLINK("https://ipmanager.doe.gov/IPManager//ExternalLink.aspx?6ibkph2k9yi6F%2B0Vz7YoTipZ798QK%2BbP5HWJlYBn9og%3D","Link")</f>
        <v>Link</v>
      </c>
      <c r="B1001" s="2" t="s">
        <v>3309</v>
      </c>
      <c r="C1001" s="2" t="s">
        <v>3284</v>
      </c>
      <c r="D1001" s="2" t="s">
        <v>3285</v>
      </c>
      <c r="E1001" s="2" t="s">
        <v>3310</v>
      </c>
      <c r="F1001" s="2" t="s">
        <v>3311</v>
      </c>
      <c r="G1001" s="2" t="s">
        <v>3312</v>
      </c>
      <c r="H1001" s="7">
        <v>9528465</v>
      </c>
      <c r="I1001" s="2" t="s">
        <v>9</v>
      </c>
      <c r="J1001" t="s">
        <v>7598</v>
      </c>
      <c r="K1001" t="s">
        <v>7923</v>
      </c>
      <c r="L1001" s="2" t="s">
        <v>8424</v>
      </c>
      <c r="M1001" t="s">
        <v>8425</v>
      </c>
    </row>
    <row r="1002" spans="1:14" ht="52" x14ac:dyDescent="0.3">
      <c r="A1002" s="1" t="str">
        <f>HYPERLINK("https://ipmanager.doe.gov/IPManager//ExternalLink.aspx?6ibkph2k9yi6F%2B0Vz7YoTipZ798QK%2BbPdt%2BH1Erq4Kw%3D","Link")</f>
        <v>Link</v>
      </c>
      <c r="B1002" s="2" t="s">
        <v>3313</v>
      </c>
      <c r="C1002" s="2" t="s">
        <v>3314</v>
      </c>
      <c r="D1002" s="2" t="s">
        <v>3315</v>
      </c>
      <c r="E1002" s="2" t="s">
        <v>3316</v>
      </c>
      <c r="F1002" s="2" t="s">
        <v>3317</v>
      </c>
      <c r="G1002" s="2" t="s">
        <v>3318</v>
      </c>
      <c r="H1002" s="7"/>
      <c r="I1002" s="2" t="s">
        <v>9</v>
      </c>
      <c r="K1002" t="e">
        <v>#N/A</v>
      </c>
      <c r="L1002" s="2" t="s">
        <v>8572</v>
      </c>
      <c r="M1002" t="s">
        <v>8114</v>
      </c>
      <c r="N1002" s="4"/>
    </row>
    <row r="1003" spans="1:14" ht="26" x14ac:dyDescent="0.3">
      <c r="A1003" s="1" t="str">
        <f>HYPERLINK("https://ipmanager.doe.gov/IPManager//ExternalLink.aspx?6ibkph2k9yi6F%2B0Vz7YoTr7J5I%2BY4foYE3HMV4IIyww%3D","Link")</f>
        <v>Link</v>
      </c>
      <c r="B1003" s="2" t="s">
        <v>3319</v>
      </c>
      <c r="C1003" s="2" t="s">
        <v>3314</v>
      </c>
      <c r="D1003" s="2" t="s">
        <v>245</v>
      </c>
      <c r="E1003" s="2"/>
      <c r="F1003" s="2"/>
      <c r="G1003" s="2" t="s">
        <v>9</v>
      </c>
      <c r="H1003" s="7"/>
      <c r="I1003" s="2" t="s">
        <v>9</v>
      </c>
      <c r="K1003" t="e">
        <v>#N/A</v>
      </c>
      <c r="L1003" s="2" t="s">
        <v>8572</v>
      </c>
      <c r="M1003" t="s">
        <v>8114</v>
      </c>
      <c r="N1003" s="4"/>
    </row>
    <row r="1004" spans="1:14" ht="26" x14ac:dyDescent="0.3">
      <c r="A1004" s="1" t="str">
        <f>HYPERLINK("https://ipmanager.doe.gov/IPManager//ExternalLink.aspx?6ibkph2k9yi6F%2B0Vz7YoTo7DPLa3%2F%2FGglX8KdBk0zUk%3D","Link")</f>
        <v>Link</v>
      </c>
      <c r="B1004" s="2" t="s">
        <v>3320</v>
      </c>
      <c r="C1004" s="2" t="s">
        <v>3314</v>
      </c>
      <c r="D1004" s="2" t="s">
        <v>245</v>
      </c>
      <c r="E1004" s="2"/>
      <c r="F1004" s="2"/>
      <c r="G1004" s="2" t="s">
        <v>9</v>
      </c>
      <c r="H1004" s="7"/>
      <c r="I1004" s="2" t="s">
        <v>9</v>
      </c>
      <c r="K1004" t="e">
        <v>#N/A</v>
      </c>
      <c r="L1004" s="2" t="s">
        <v>8572</v>
      </c>
      <c r="M1004" t="s">
        <v>8114</v>
      </c>
      <c r="N1004" s="4"/>
    </row>
    <row r="1005" spans="1:14" ht="52" x14ac:dyDescent="0.3">
      <c r="A1005" s="1" t="str">
        <f>HYPERLINK("https://ipmanager.doe.gov/IPManager//ExternalLink.aspx?6ibkph2k9yi6F%2B0Vz7YoTgZwfmYxrNyKipxeMIohXYQ%3D","Link")</f>
        <v>Link</v>
      </c>
      <c r="B1005" s="2" t="s">
        <v>3321</v>
      </c>
      <c r="C1005" s="2" t="s">
        <v>3314</v>
      </c>
      <c r="D1005" s="2" t="s">
        <v>245</v>
      </c>
      <c r="E1005" s="2" t="s">
        <v>3322</v>
      </c>
      <c r="F1005" s="2"/>
      <c r="G1005" s="2" t="s">
        <v>9</v>
      </c>
      <c r="H1005" s="7"/>
      <c r="I1005" s="2" t="s">
        <v>9</v>
      </c>
      <c r="K1005" t="e">
        <v>#N/A</v>
      </c>
      <c r="L1005" s="2" t="s">
        <v>8572</v>
      </c>
      <c r="M1005" t="s">
        <v>8114</v>
      </c>
      <c r="N1005" s="4"/>
    </row>
    <row r="1006" spans="1:14" ht="26" x14ac:dyDescent="0.3">
      <c r="A1006" s="1" t="str">
        <f>HYPERLINK("https://ipmanager.doe.gov/IPManager//ExternalLink.aspx?6ibkph2k9yi6F%2B0Vz7YoTgZwfmYxrNyKItGZIDv03Vc%3D","Link")</f>
        <v>Link</v>
      </c>
      <c r="B1006" s="2" t="s">
        <v>3323</v>
      </c>
      <c r="C1006" s="2" t="s">
        <v>3314</v>
      </c>
      <c r="D1006" s="2" t="s">
        <v>3315</v>
      </c>
      <c r="E1006" s="2" t="s">
        <v>3324</v>
      </c>
      <c r="F1006" s="2"/>
      <c r="G1006" s="2" t="s">
        <v>9</v>
      </c>
      <c r="H1006" s="7"/>
      <c r="I1006" s="2" t="s">
        <v>9</v>
      </c>
      <c r="K1006" t="e">
        <v>#N/A</v>
      </c>
      <c r="L1006" s="2" t="s">
        <v>8572</v>
      </c>
      <c r="M1006" t="s">
        <v>8114</v>
      </c>
      <c r="N1006" s="4"/>
    </row>
    <row r="1007" spans="1:14" ht="39" x14ac:dyDescent="0.3">
      <c r="A1007" s="1" t="str">
        <f>HYPERLINK("https://ipmanager.doe.gov/IPManager//ExternalLink.aspx?6ibkph2k9yi6F%2B0Vz7YoTgZwfmYxrNyKoesH6VhORPg%3D","Link")</f>
        <v>Link</v>
      </c>
      <c r="B1007" s="2" t="s">
        <v>3325</v>
      </c>
      <c r="C1007" s="2" t="s">
        <v>3314</v>
      </c>
      <c r="D1007" s="2" t="s">
        <v>3315</v>
      </c>
      <c r="E1007" s="2" t="s">
        <v>3326</v>
      </c>
      <c r="F1007" s="2"/>
      <c r="G1007" s="2" t="s">
        <v>9</v>
      </c>
      <c r="H1007" s="7"/>
      <c r="I1007" s="2" t="s">
        <v>9</v>
      </c>
      <c r="K1007" t="e">
        <v>#N/A</v>
      </c>
      <c r="L1007" s="2" t="s">
        <v>8572</v>
      </c>
      <c r="M1007" t="s">
        <v>8114</v>
      </c>
      <c r="N1007" s="4"/>
    </row>
    <row r="1008" spans="1:14" ht="39" x14ac:dyDescent="0.3">
      <c r="A1008" s="1" t="str">
        <f>HYPERLINK("https://ipmanager.doe.gov/IPManager//ExternalLink.aspx?6ibkph2k9yi6F%2B0Vz7YoTgZwfmYxrNyK4mZdbjgRru4%3D","Link")</f>
        <v>Link</v>
      </c>
      <c r="B1008" s="2" t="s">
        <v>3327</v>
      </c>
      <c r="C1008" s="2" t="s">
        <v>3314</v>
      </c>
      <c r="D1008" s="2" t="s">
        <v>3315</v>
      </c>
      <c r="E1008" s="2" t="s">
        <v>3328</v>
      </c>
      <c r="F1008" s="2"/>
      <c r="G1008" s="2" t="s">
        <v>9</v>
      </c>
      <c r="H1008" s="7"/>
      <c r="I1008" s="2" t="s">
        <v>9</v>
      </c>
      <c r="K1008" t="e">
        <v>#N/A</v>
      </c>
      <c r="L1008" s="2" t="s">
        <v>8572</v>
      </c>
      <c r="M1008" t="s">
        <v>8114</v>
      </c>
      <c r="N1008" s="4"/>
    </row>
    <row r="1009" spans="1:14" ht="52" x14ac:dyDescent="0.3">
      <c r="A1009" s="1" t="str">
        <f>HYPERLINK("https://ipmanager.doe.gov/IPManager//ExternalLink.aspx?6ibkph2k9yi6F%2B0Vz7YoTgZwfmYxrNyKydSqA2%2B7q0I%3D","Link")</f>
        <v>Link</v>
      </c>
      <c r="B1009" s="2" t="s">
        <v>3329</v>
      </c>
      <c r="C1009" s="2" t="s">
        <v>3330</v>
      </c>
      <c r="D1009" s="2" t="s">
        <v>3331</v>
      </c>
      <c r="E1009" s="2" t="s">
        <v>3332</v>
      </c>
      <c r="F1009" s="2" t="s">
        <v>3333</v>
      </c>
      <c r="G1009" s="2" t="s">
        <v>3334</v>
      </c>
      <c r="H1009" s="7"/>
      <c r="I1009" s="2" t="s">
        <v>9</v>
      </c>
      <c r="K1009" t="e">
        <v>#N/A</v>
      </c>
      <c r="L1009" s="2" t="s">
        <v>8573</v>
      </c>
      <c r="M1009" t="s">
        <v>8115</v>
      </c>
      <c r="N1009" s="4"/>
    </row>
    <row r="1010" spans="1:14" ht="39" x14ac:dyDescent="0.3">
      <c r="A1010" s="1" t="str">
        <f>HYPERLINK("https://ipmanager.doe.gov/IPManager//ExternalLink.aspx?6ibkph2k9yi6F%2B0Vz7YoTgZwfmYxrNyKb39MaSRmKNg%3D","Link")</f>
        <v>Link</v>
      </c>
      <c r="B1010" s="2" t="s">
        <v>3335</v>
      </c>
      <c r="C1010" s="2" t="s">
        <v>3330</v>
      </c>
      <c r="D1010" s="2" t="s">
        <v>3331</v>
      </c>
      <c r="E1010" s="2" t="s">
        <v>3336</v>
      </c>
      <c r="F1010" s="2" t="s">
        <v>7624</v>
      </c>
      <c r="G1010" s="2" t="s">
        <v>2837</v>
      </c>
      <c r="H1010" s="7"/>
      <c r="I1010" s="2" t="s">
        <v>9</v>
      </c>
      <c r="K1010" t="e">
        <v>#N/A</v>
      </c>
      <c r="L1010" s="2" t="s">
        <v>8573</v>
      </c>
      <c r="M1010" t="s">
        <v>8115</v>
      </c>
      <c r="N1010" s="4"/>
    </row>
    <row r="1011" spans="1:14" ht="52" x14ac:dyDescent="0.3">
      <c r="A1011" s="1" t="str">
        <f>HYPERLINK("https://ipmanager.doe.gov/IPManager//ExternalLink.aspx?6ibkph2k9yi6F%2B0Vz7YoTgZwfmYxrNyKxyKUVb5HAeo%3D","Link")</f>
        <v>Link</v>
      </c>
      <c r="B1011" s="2" t="s">
        <v>3341</v>
      </c>
      <c r="C1011" s="2" t="s">
        <v>3330</v>
      </c>
      <c r="D1011" s="2" t="s">
        <v>3331</v>
      </c>
      <c r="E1011" s="2" t="s">
        <v>3342</v>
      </c>
      <c r="F1011" s="2" t="s">
        <v>3343</v>
      </c>
      <c r="G1011" s="2" t="s">
        <v>3344</v>
      </c>
      <c r="H1011" s="7"/>
      <c r="I1011" s="2" t="s">
        <v>9</v>
      </c>
      <c r="K1011" t="e">
        <v>#N/A</v>
      </c>
      <c r="L1011" s="2" t="s">
        <v>8573</v>
      </c>
      <c r="M1011" t="s">
        <v>8115</v>
      </c>
      <c r="N1011" s="4"/>
    </row>
    <row r="1012" spans="1:14" ht="52" x14ac:dyDescent="0.3">
      <c r="A1012" s="1" t="str">
        <f>HYPERLINK("https://ipmanager.doe.gov/IPManager//ExternalLink.aspx?6ibkph2k9yi6F%2B0Vz7YoTgZwfmYxrNyKZikNpDlDmEM%3D","Link")</f>
        <v>Link</v>
      </c>
      <c r="B1012" s="2" t="s">
        <v>3397</v>
      </c>
      <c r="C1012" s="2" t="s">
        <v>3330</v>
      </c>
      <c r="D1012" s="2" t="s">
        <v>3331</v>
      </c>
      <c r="E1012" s="2" t="s">
        <v>3398</v>
      </c>
      <c r="F1012" s="2" t="s">
        <v>3399</v>
      </c>
      <c r="G1012" s="2" t="s">
        <v>3400</v>
      </c>
      <c r="H1012" s="7"/>
      <c r="I1012" s="2" t="s">
        <v>9</v>
      </c>
      <c r="K1012" t="e">
        <v>#N/A</v>
      </c>
      <c r="L1012" s="2" t="s">
        <v>8573</v>
      </c>
      <c r="M1012" t="s">
        <v>8115</v>
      </c>
      <c r="N1012" s="4"/>
    </row>
    <row r="1013" spans="1:14" ht="52" x14ac:dyDescent="0.3">
      <c r="A1013" s="1" t="str">
        <f>HYPERLINK("https://ipmanager.doe.gov/IPManager//ExternalLink.aspx?6ibkph2k9yi6F%2B0Vz7YoTgZwfmYxrNyKYRtOBRd1O4M%3D","Link")</f>
        <v>Link</v>
      </c>
      <c r="B1013" s="2" t="s">
        <v>3401</v>
      </c>
      <c r="C1013" s="2" t="s">
        <v>3330</v>
      </c>
      <c r="D1013" s="2" t="s">
        <v>3331</v>
      </c>
      <c r="E1013" s="2" t="s">
        <v>3398</v>
      </c>
      <c r="F1013" s="2" t="s">
        <v>3402</v>
      </c>
      <c r="G1013" s="2" t="s">
        <v>823</v>
      </c>
      <c r="H1013" s="7"/>
      <c r="I1013" s="2" t="s">
        <v>9</v>
      </c>
      <c r="K1013" t="e">
        <v>#N/A</v>
      </c>
      <c r="L1013" s="2" t="s">
        <v>8573</v>
      </c>
      <c r="M1013" t="s">
        <v>8115</v>
      </c>
      <c r="N1013" s="4"/>
    </row>
    <row r="1014" spans="1:14" ht="52" x14ac:dyDescent="0.3">
      <c r="A1014" s="1" t="str">
        <f>HYPERLINK("https://ipmanager.doe.gov/IPManager//ExternalLink.aspx?6ibkph2k9yi6F%2B0Vz7YoTgZwfmYxrNyK%2B4UDm7Srd0I%3D","Link")</f>
        <v>Link</v>
      </c>
      <c r="B1014" s="2" t="s">
        <v>3345</v>
      </c>
      <c r="C1014" s="2" t="s">
        <v>3330</v>
      </c>
      <c r="D1014" s="2" t="s">
        <v>3346</v>
      </c>
      <c r="E1014" s="2" t="s">
        <v>3347</v>
      </c>
      <c r="F1014" s="2" t="s">
        <v>7623</v>
      </c>
      <c r="G1014" s="2" t="s">
        <v>3348</v>
      </c>
      <c r="H1014" s="7"/>
      <c r="I1014" s="2" t="s">
        <v>9</v>
      </c>
      <c r="K1014" t="e">
        <v>#N/A</v>
      </c>
      <c r="L1014" s="2" t="s">
        <v>8573</v>
      </c>
      <c r="M1014" t="s">
        <v>8115</v>
      </c>
      <c r="N1014" s="4"/>
    </row>
    <row r="1015" spans="1:14" ht="52" x14ac:dyDescent="0.3">
      <c r="A1015" s="1" t="str">
        <f>HYPERLINK("https://ipmanager.doe.gov/IPManager//ExternalLink.aspx?6ibkph2k9yi6F%2B0Vz7YoTgZwfmYxrNyKQCBF%2By90n7c%3D","Link")</f>
        <v>Link</v>
      </c>
      <c r="B1015" s="2" t="s">
        <v>3349</v>
      </c>
      <c r="C1015" s="2" t="s">
        <v>3330</v>
      </c>
      <c r="D1015" s="2" t="s">
        <v>3346</v>
      </c>
      <c r="E1015" s="2" t="s">
        <v>3350</v>
      </c>
      <c r="F1015" s="2" t="s">
        <v>3351</v>
      </c>
      <c r="G1015" s="2" t="s">
        <v>3348</v>
      </c>
      <c r="H1015" s="7"/>
      <c r="I1015" s="2" t="s">
        <v>9</v>
      </c>
      <c r="K1015" t="e">
        <v>#N/A</v>
      </c>
      <c r="L1015" s="2" t="s">
        <v>8573</v>
      </c>
      <c r="M1015" t="s">
        <v>8115</v>
      </c>
      <c r="N1015" s="4"/>
    </row>
    <row r="1016" spans="1:14" ht="52" x14ac:dyDescent="0.3">
      <c r="A1016" s="1" t="str">
        <f>HYPERLINK("https://ipmanager.doe.gov/IPManager//ExternalLink.aspx?6ibkph2k9yi6F%2B0Vz7YoTnXVN2REjGcWK3ylJ21so6g%3D","Link")</f>
        <v>Link</v>
      </c>
      <c r="B1016" s="2" t="s">
        <v>3353</v>
      </c>
      <c r="C1016" s="2" t="s">
        <v>3330</v>
      </c>
      <c r="D1016" s="2" t="s">
        <v>3346</v>
      </c>
      <c r="E1016" s="2" t="s">
        <v>3354</v>
      </c>
      <c r="F1016" s="2" t="s">
        <v>3355</v>
      </c>
      <c r="G1016" s="2" t="s">
        <v>3348</v>
      </c>
      <c r="H1016" s="7"/>
      <c r="I1016" s="2" t="s">
        <v>9</v>
      </c>
      <c r="K1016" t="e">
        <v>#N/A</v>
      </c>
      <c r="L1016" s="2" t="s">
        <v>8573</v>
      </c>
      <c r="M1016" t="s">
        <v>8115</v>
      </c>
      <c r="N1016" s="4"/>
    </row>
    <row r="1017" spans="1:14" ht="26" x14ac:dyDescent="0.3">
      <c r="A1017" s="1" t="str">
        <f>HYPERLINK("https://ipmanager.doe.gov/IPManager//ExternalLink.aspx?6ibkph2k9yi6F%2B0Vz7YoTnXVN2REjGcWAk4slKUuel4%3D","Link")</f>
        <v>Link</v>
      </c>
      <c r="B1017" s="2" t="s">
        <v>3356</v>
      </c>
      <c r="C1017" s="2" t="s">
        <v>3330</v>
      </c>
      <c r="D1017" s="2" t="s">
        <v>3346</v>
      </c>
      <c r="E1017" s="2" t="s">
        <v>3357</v>
      </c>
      <c r="F1017" s="2" t="s">
        <v>7625</v>
      </c>
      <c r="G1017" s="2" t="s">
        <v>3348</v>
      </c>
      <c r="H1017" s="7"/>
      <c r="I1017" s="2" t="s">
        <v>9</v>
      </c>
      <c r="K1017" t="e">
        <v>#N/A</v>
      </c>
      <c r="L1017" s="2" t="s">
        <v>8573</v>
      </c>
      <c r="M1017" t="s">
        <v>8115</v>
      </c>
      <c r="N1017" s="4"/>
    </row>
    <row r="1018" spans="1:14" ht="65" x14ac:dyDescent="0.3">
      <c r="A1018" s="1" t="str">
        <f>HYPERLINK("https://ipmanager.doe.gov/IPManager//ExternalLink.aspx?6ibkph2k9yi6F%2B0Vz7YoTnXVN2REjGcW%2F%2B%2FhLfQg490%3D","Link")</f>
        <v>Link</v>
      </c>
      <c r="B1018" s="2" t="s">
        <v>3358</v>
      </c>
      <c r="C1018" s="2" t="s">
        <v>3330</v>
      </c>
      <c r="D1018" s="2" t="s">
        <v>3346</v>
      </c>
      <c r="E1018" s="2" t="s">
        <v>3359</v>
      </c>
      <c r="F1018" s="2" t="s">
        <v>3360</v>
      </c>
      <c r="G1018" s="2" t="s">
        <v>3361</v>
      </c>
      <c r="H1018" s="7"/>
      <c r="I1018" s="2" t="s">
        <v>9</v>
      </c>
      <c r="K1018" t="e">
        <v>#N/A</v>
      </c>
      <c r="L1018" s="2" t="s">
        <v>8573</v>
      </c>
      <c r="M1018" t="s">
        <v>8115</v>
      </c>
      <c r="N1018" s="4"/>
    </row>
    <row r="1019" spans="1:14" ht="39" x14ac:dyDescent="0.3">
      <c r="A1019" s="1" t="str">
        <f>HYPERLINK("https://ipmanager.doe.gov/IPManager//ExternalLink.aspx?6ibkph2k9yi6F%2B0Vz7YoTnXVN2REjGcWEw3D9tmiWKM%3D","Link")</f>
        <v>Link</v>
      </c>
      <c r="B1019" s="2" t="s">
        <v>3362</v>
      </c>
      <c r="C1019" s="2" t="s">
        <v>3330</v>
      </c>
      <c r="D1019" s="2" t="s">
        <v>3346</v>
      </c>
      <c r="E1019" s="2" t="s">
        <v>3363</v>
      </c>
      <c r="F1019" s="2" t="s">
        <v>3364</v>
      </c>
      <c r="G1019" s="2" t="s">
        <v>1256</v>
      </c>
      <c r="H1019" s="7"/>
      <c r="I1019" s="2" t="s">
        <v>9</v>
      </c>
      <c r="K1019" t="e">
        <v>#N/A</v>
      </c>
      <c r="L1019" s="2" t="s">
        <v>8573</v>
      </c>
      <c r="M1019" t="s">
        <v>8115</v>
      </c>
      <c r="N1019" s="4"/>
    </row>
    <row r="1020" spans="1:14" ht="39" x14ac:dyDescent="0.3">
      <c r="A1020" s="1" t="str">
        <f>HYPERLINK("https://ipmanager.doe.gov/IPManager//ExternalLink.aspx?6ibkph2k9yi6F%2B0Vz7YoTnXVN2REjGcWunw0vgZ%2BNMo%3D","Link")</f>
        <v>Link</v>
      </c>
      <c r="B1020" s="2" t="s">
        <v>3365</v>
      </c>
      <c r="C1020" s="2" t="s">
        <v>3330</v>
      </c>
      <c r="D1020" s="2" t="s">
        <v>3346</v>
      </c>
      <c r="E1020" s="2" t="s">
        <v>3366</v>
      </c>
      <c r="F1020" s="2" t="s">
        <v>3367</v>
      </c>
      <c r="G1020" s="2" t="s">
        <v>1282</v>
      </c>
      <c r="H1020" s="7"/>
      <c r="I1020" s="2" t="s">
        <v>9</v>
      </c>
      <c r="K1020" t="e">
        <v>#N/A</v>
      </c>
      <c r="L1020" s="2" t="s">
        <v>8573</v>
      </c>
      <c r="M1020" t="s">
        <v>8115</v>
      </c>
      <c r="N1020" s="4"/>
    </row>
    <row r="1021" spans="1:14" ht="52" x14ac:dyDescent="0.3">
      <c r="A1021" s="1" t="str">
        <f>HYPERLINK("https://ipmanager.doe.gov/IPManager//ExternalLink.aspx?6ibkph2k9yi6F%2B0Vz7YoTnXVN2REjGcWtFa4FQ0%2Fz%2Bw%3D","Link")</f>
        <v>Link</v>
      </c>
      <c r="B1021" s="2" t="s">
        <v>3370</v>
      </c>
      <c r="C1021" s="2" t="s">
        <v>3330</v>
      </c>
      <c r="D1021" s="2" t="s">
        <v>3346</v>
      </c>
      <c r="E1021" s="2" t="s">
        <v>3338</v>
      </c>
      <c r="F1021" s="2" t="s">
        <v>7626</v>
      </c>
      <c r="G1021" s="2" t="s">
        <v>3371</v>
      </c>
      <c r="H1021" s="7"/>
      <c r="I1021" s="2" t="s">
        <v>9</v>
      </c>
      <c r="K1021" t="e">
        <v>#N/A</v>
      </c>
      <c r="L1021" s="2" t="s">
        <v>8573</v>
      </c>
      <c r="M1021" t="s">
        <v>8115</v>
      </c>
      <c r="N1021" s="4"/>
    </row>
    <row r="1022" spans="1:14" ht="52" x14ac:dyDescent="0.3">
      <c r="A1022" s="1" t="str">
        <f>HYPERLINK("https://ipmanager.doe.gov/IPManager//ExternalLink.aspx?6ibkph2k9yi6F%2B0Vz7YoTnXVN2REjGcW48N4xQiSRPs%3D","Link")</f>
        <v>Link</v>
      </c>
      <c r="B1022" s="2" t="s">
        <v>3372</v>
      </c>
      <c r="C1022" s="2" t="s">
        <v>3330</v>
      </c>
      <c r="D1022" s="2" t="s">
        <v>3346</v>
      </c>
      <c r="E1022" s="2" t="s">
        <v>3338</v>
      </c>
      <c r="F1022" s="2" t="s">
        <v>7627</v>
      </c>
      <c r="G1022" s="2" t="s">
        <v>3373</v>
      </c>
      <c r="H1022" s="7"/>
      <c r="I1022" s="2" t="s">
        <v>9</v>
      </c>
      <c r="K1022" t="e">
        <v>#N/A</v>
      </c>
      <c r="L1022" s="2" t="s">
        <v>8573</v>
      </c>
      <c r="M1022" t="s">
        <v>8115</v>
      </c>
      <c r="N1022" s="4"/>
    </row>
    <row r="1023" spans="1:14" ht="39" x14ac:dyDescent="0.3">
      <c r="A1023" s="1" t="str">
        <f>HYPERLINK("https://ipmanager.doe.gov/IPManager//ExternalLink.aspx?6ibkph2k9yi6F%2B0Vz7YoTnXVN2REjGcWHJ39TSjehAQ%3D","Link")</f>
        <v>Link</v>
      </c>
      <c r="B1023" s="2" t="s">
        <v>3376</v>
      </c>
      <c r="C1023" s="2" t="s">
        <v>3330</v>
      </c>
      <c r="D1023" s="2" t="s">
        <v>3346</v>
      </c>
      <c r="E1023" s="2" t="s">
        <v>3336</v>
      </c>
      <c r="F1023" s="2" t="s">
        <v>7628</v>
      </c>
      <c r="G1023" s="2" t="s">
        <v>3377</v>
      </c>
      <c r="H1023" s="7"/>
      <c r="I1023" s="2" t="s">
        <v>9</v>
      </c>
      <c r="K1023" t="e">
        <v>#N/A</v>
      </c>
      <c r="L1023" s="2" t="s">
        <v>8573</v>
      </c>
      <c r="M1023" t="s">
        <v>8115</v>
      </c>
      <c r="N1023" s="4"/>
    </row>
    <row r="1024" spans="1:14" ht="39" x14ac:dyDescent="0.3">
      <c r="A1024" s="1" t="str">
        <f>HYPERLINK("https://ipmanager.doe.gov/IPManager//ExternalLink.aspx?6ibkph2k9yi6F%2B0Vz7YoTnXVN2REjGcWcnH1AOUCmZc%3D","Link")</f>
        <v>Link</v>
      </c>
      <c r="B1024" s="2" t="s">
        <v>3378</v>
      </c>
      <c r="C1024" s="2" t="s">
        <v>3330</v>
      </c>
      <c r="D1024" s="2" t="s">
        <v>3346</v>
      </c>
      <c r="E1024" s="2" t="s">
        <v>3379</v>
      </c>
      <c r="F1024" s="2" t="s">
        <v>7629</v>
      </c>
      <c r="G1024" s="2" t="s">
        <v>3380</v>
      </c>
      <c r="H1024" s="7"/>
      <c r="I1024" s="2" t="s">
        <v>9</v>
      </c>
      <c r="K1024" t="e">
        <v>#N/A</v>
      </c>
      <c r="L1024" s="2" t="s">
        <v>8573</v>
      </c>
      <c r="M1024" t="s">
        <v>8115</v>
      </c>
      <c r="N1024" s="4"/>
    </row>
    <row r="1025" spans="1:14" ht="52" x14ac:dyDescent="0.3">
      <c r="A1025" s="1" t="str">
        <f>HYPERLINK("https://ipmanager.doe.gov/IPManager//ExternalLink.aspx?6ibkph2k9yi6F%2B0Vz7YoTgZwfmYxrNyKYmarBQlWqUY%3D","Link")</f>
        <v>Link</v>
      </c>
      <c r="B1025" s="2" t="s">
        <v>3337</v>
      </c>
      <c r="C1025" s="2" t="s">
        <v>3330</v>
      </c>
      <c r="D1025" s="2" t="s">
        <v>3331</v>
      </c>
      <c r="E1025" s="2" t="s">
        <v>3338</v>
      </c>
      <c r="F1025" s="2" t="s">
        <v>7633</v>
      </c>
      <c r="G1025" s="2" t="s">
        <v>3339</v>
      </c>
      <c r="H1025" s="8">
        <v>9806366</v>
      </c>
      <c r="I1025" s="2" t="s">
        <v>3340</v>
      </c>
      <c r="J1025" t="s">
        <v>7601</v>
      </c>
      <c r="K1025" t="e">
        <v>#N/A</v>
      </c>
      <c r="L1025" s="2" t="s">
        <v>8573</v>
      </c>
      <c r="M1025" t="s">
        <v>8115</v>
      </c>
    </row>
    <row r="1026" spans="1:14" ht="52" x14ac:dyDescent="0.3">
      <c r="A1026" s="1" t="str">
        <f>HYPERLINK("https://ipmanager.doe.gov/IPManager//ExternalLink.aspx?6ibkph2k9yi6F%2B0Vz7YoTnXVN2REjGcWNLz8QFGmPTs%3D","Link")</f>
        <v>Link</v>
      </c>
      <c r="B1026" s="2" t="s">
        <v>3368</v>
      </c>
      <c r="C1026" s="2" t="s">
        <v>3330</v>
      </c>
      <c r="D1026" s="2" t="s">
        <v>3346</v>
      </c>
      <c r="E1026" s="2" t="s">
        <v>3369</v>
      </c>
      <c r="F1026" s="2"/>
      <c r="G1026" s="2" t="s">
        <v>9</v>
      </c>
      <c r="H1026" s="7"/>
      <c r="I1026" s="2" t="s">
        <v>9</v>
      </c>
      <c r="K1026" t="e">
        <v>#N/A</v>
      </c>
      <c r="L1026" s="2" t="s">
        <v>8573</v>
      </c>
      <c r="M1026" t="s">
        <v>8115</v>
      </c>
      <c r="N1026" s="4"/>
    </row>
    <row r="1027" spans="1:14" ht="39" x14ac:dyDescent="0.3">
      <c r="A1027" s="1" t="str">
        <f>HYPERLINK("https://ipmanager.doe.gov/IPManager//ExternalLink.aspx?6ibkph2k9yi6F%2B0Vz7YoTnXVN2REjGcWt4heH7OHWtI%3D","Link")</f>
        <v>Link</v>
      </c>
      <c r="B1027" s="2" t="s">
        <v>3374</v>
      </c>
      <c r="C1027" s="2" t="s">
        <v>3330</v>
      </c>
      <c r="D1027" s="2" t="s">
        <v>3346</v>
      </c>
      <c r="E1027" s="2" t="s">
        <v>3375</v>
      </c>
      <c r="F1027" s="2"/>
      <c r="G1027" s="2" t="s">
        <v>9</v>
      </c>
      <c r="H1027" s="7"/>
      <c r="I1027" s="2" t="s">
        <v>9</v>
      </c>
      <c r="K1027" t="e">
        <v>#N/A</v>
      </c>
      <c r="L1027" s="2" t="s">
        <v>8573</v>
      </c>
      <c r="M1027" t="s">
        <v>8115</v>
      </c>
      <c r="N1027" s="4"/>
    </row>
    <row r="1028" spans="1:14" ht="39" x14ac:dyDescent="0.3">
      <c r="A1028" s="1" t="str">
        <f>HYPERLINK("https://ipmanager.doe.gov/IPManager//ExternalLink.aspx?6ibkph2k9yi6F%2B0Vz7YoTnXVN2REjGcW8xa0e8SgfTU%3D","Link")</f>
        <v>Link</v>
      </c>
      <c r="B1028" s="2" t="s">
        <v>3381</v>
      </c>
      <c r="C1028" s="2" t="s">
        <v>3330</v>
      </c>
      <c r="D1028" s="2" t="s">
        <v>3331</v>
      </c>
      <c r="E1028" s="2" t="s">
        <v>3382</v>
      </c>
      <c r="F1028" s="2" t="s">
        <v>3352</v>
      </c>
      <c r="G1028" s="2" t="s">
        <v>3344</v>
      </c>
      <c r="H1028" s="7">
        <v>9685651</v>
      </c>
      <c r="I1028" s="2" t="s">
        <v>3383</v>
      </c>
      <c r="J1028" t="s">
        <v>7599</v>
      </c>
      <c r="K1028" t="s">
        <v>7924</v>
      </c>
      <c r="L1028" s="2" t="s">
        <v>8573</v>
      </c>
      <c r="M1028" t="s">
        <v>8115</v>
      </c>
    </row>
    <row r="1029" spans="1:14" ht="52" x14ac:dyDescent="0.3">
      <c r="A1029" s="1" t="str">
        <f>HYPERLINK("https://ipmanager.doe.gov/IPManager//ExternalLink.aspx?6ibkph2k9yi6F%2B0Vz7YoTnXVN2REjGcW33%2BulaUAfBg%3D","Link")</f>
        <v>Link</v>
      </c>
      <c r="B1029" s="2" t="s">
        <v>3384</v>
      </c>
      <c r="C1029" s="2" t="s">
        <v>3330</v>
      </c>
      <c r="D1029" s="2" t="s">
        <v>3331</v>
      </c>
      <c r="E1029" s="2" t="s">
        <v>3338</v>
      </c>
      <c r="F1029" s="2" t="s">
        <v>3385</v>
      </c>
      <c r="G1029" s="2" t="s">
        <v>823</v>
      </c>
      <c r="H1029" s="7">
        <v>9509011</v>
      </c>
      <c r="I1029" s="2" t="s">
        <v>3386</v>
      </c>
      <c r="J1029" t="s">
        <v>7600</v>
      </c>
      <c r="K1029" t="s">
        <v>7925</v>
      </c>
      <c r="L1029" s="2" t="s">
        <v>8573</v>
      </c>
      <c r="M1029" t="s">
        <v>8115</v>
      </c>
    </row>
    <row r="1030" spans="1:14" ht="39" x14ac:dyDescent="0.3">
      <c r="A1030" s="1" t="str">
        <f>HYPERLINK("https://ipmanager.doe.gov/IPManager//ExternalLink.aspx?6ibkph2k9yi6F%2B0Vz7YoTjnDGhmGHGI7dgpuYmjqflo%3D","Link")</f>
        <v>Link</v>
      </c>
      <c r="B1030" s="2" t="s">
        <v>3387</v>
      </c>
      <c r="C1030" s="2" t="s">
        <v>3330</v>
      </c>
      <c r="D1030" s="2" t="s">
        <v>3331</v>
      </c>
      <c r="E1030" s="2" t="s">
        <v>3336</v>
      </c>
      <c r="F1030" s="2" t="s">
        <v>3388</v>
      </c>
      <c r="G1030" s="2" t="s">
        <v>3389</v>
      </c>
      <c r="H1030" s="7" t="s">
        <v>3390</v>
      </c>
      <c r="I1030" s="2" t="s">
        <v>3391</v>
      </c>
      <c r="K1030" t="e">
        <v>#N/A</v>
      </c>
      <c r="L1030" s="2" t="s">
        <v>8573</v>
      </c>
      <c r="M1030" t="s">
        <v>8115</v>
      </c>
    </row>
    <row r="1031" spans="1:14" ht="52" x14ac:dyDescent="0.3">
      <c r="A1031" s="1" t="str">
        <f>HYPERLINK("https://ipmanager.doe.gov/IPManager//ExternalLink.aspx?6ibkph2k9yi6F%2B0Vz7YoTgZwfmYxrNyKJ5kW%2BDp6oXE%3D","Link")</f>
        <v>Link</v>
      </c>
      <c r="B1031" s="2" t="s">
        <v>3392</v>
      </c>
      <c r="C1031" s="2" t="s">
        <v>3330</v>
      </c>
      <c r="D1031" s="2" t="s">
        <v>3331</v>
      </c>
      <c r="E1031" s="2" t="s">
        <v>3393</v>
      </c>
      <c r="F1031" s="2" t="s">
        <v>3394</v>
      </c>
      <c r="G1031" s="2" t="s">
        <v>3344</v>
      </c>
      <c r="H1031" s="7" t="s">
        <v>3395</v>
      </c>
      <c r="I1031" s="2" t="s">
        <v>3396</v>
      </c>
      <c r="K1031" t="e">
        <v>#N/A</v>
      </c>
      <c r="L1031" s="2" t="s">
        <v>8573</v>
      </c>
      <c r="M1031" t="s">
        <v>8115</v>
      </c>
    </row>
    <row r="1032" spans="1:14" ht="52" x14ac:dyDescent="0.3">
      <c r="A1032" s="1" t="str">
        <f>HYPERLINK("https://ipmanager.doe.gov/IPManager//ExternalLink.aspx?6ibkph2k9yi6F%2B0Vz7YoTgZwfmYxrNyK0rlq6bA0CHk%3D","Link")</f>
        <v>Link</v>
      </c>
      <c r="B1032" s="2" t="s">
        <v>3403</v>
      </c>
      <c r="C1032" s="2" t="s">
        <v>3330</v>
      </c>
      <c r="D1032" s="2" t="s">
        <v>3331</v>
      </c>
      <c r="E1032" s="2" t="s">
        <v>3398</v>
      </c>
      <c r="F1032" s="2"/>
      <c r="G1032" s="2" t="s">
        <v>9</v>
      </c>
      <c r="H1032" s="7"/>
      <c r="I1032" s="2" t="s">
        <v>9</v>
      </c>
      <c r="K1032" t="e">
        <v>#N/A</v>
      </c>
      <c r="L1032" s="2" t="s">
        <v>8573</v>
      </c>
      <c r="M1032" t="s">
        <v>8115</v>
      </c>
      <c r="N1032" s="4"/>
    </row>
    <row r="1033" spans="1:14" ht="39" x14ac:dyDescent="0.3">
      <c r="A1033" s="1" t="str">
        <f>HYPERLINK("https://ipmanager.doe.gov/IPManager//ExternalLink.aspx?6ibkph2k9yi6F%2B0Vz7YoTq6RR9BlGHHiO0FD9LaCFSA%3D","Link")</f>
        <v>Link</v>
      </c>
      <c r="B1033" s="2" t="s">
        <v>3413</v>
      </c>
      <c r="C1033" s="2" t="s">
        <v>3405</v>
      </c>
      <c r="D1033" s="2" t="s">
        <v>3406</v>
      </c>
      <c r="E1033" s="2" t="s">
        <v>3414</v>
      </c>
      <c r="F1033" s="2"/>
      <c r="G1033" s="2" t="s">
        <v>9</v>
      </c>
      <c r="H1033" s="7"/>
      <c r="I1033" s="2" t="s">
        <v>9</v>
      </c>
      <c r="K1033" t="e">
        <v>#N/A</v>
      </c>
      <c r="L1033" s="2" t="s">
        <v>8574</v>
      </c>
      <c r="M1033" t="s">
        <v>8116</v>
      </c>
      <c r="N1033" s="4"/>
    </row>
    <row r="1034" spans="1:14" ht="39" x14ac:dyDescent="0.3">
      <c r="A1034" s="1" t="str">
        <f>HYPERLINK("https://ipmanager.doe.gov/IPManager//ExternalLink.aspx?6ibkph2k9yi6F%2B0Vz7YoTgZwfmYxrNyKWwZvIDXwai4%3D","Link")</f>
        <v>Link</v>
      </c>
      <c r="B1034" s="2" t="s">
        <v>3404</v>
      </c>
      <c r="C1034" s="2" t="s">
        <v>3405</v>
      </c>
      <c r="D1034" s="2" t="s">
        <v>3406</v>
      </c>
      <c r="E1034" s="2" t="s">
        <v>3407</v>
      </c>
      <c r="F1034" s="2" t="s">
        <v>3408</v>
      </c>
      <c r="G1034" s="2" t="s">
        <v>3409</v>
      </c>
      <c r="H1034" s="7"/>
      <c r="I1034" s="2" t="s">
        <v>9</v>
      </c>
      <c r="J1034" t="s">
        <v>3408</v>
      </c>
      <c r="K1034" t="s">
        <v>7926</v>
      </c>
      <c r="L1034" s="2" t="s">
        <v>8574</v>
      </c>
      <c r="M1034" t="s">
        <v>8116</v>
      </c>
      <c r="N1034" s="4"/>
    </row>
    <row r="1035" spans="1:14" ht="39" x14ac:dyDescent="0.3">
      <c r="A1035" s="1" t="str">
        <f>HYPERLINK("https://ipmanager.doe.gov/IPManager//ExternalLink.aspx?6ibkph2k9yi6F%2B0Vz7YoTgZwfmYxrNyKZQLtNz5Kn7A%3D","Link")</f>
        <v>Link</v>
      </c>
      <c r="B1035" s="2" t="s">
        <v>3410</v>
      </c>
      <c r="C1035" s="2" t="s">
        <v>3405</v>
      </c>
      <c r="D1035" s="2" t="s">
        <v>3406</v>
      </c>
      <c r="E1035" s="2" t="s">
        <v>3407</v>
      </c>
      <c r="F1035" s="2" t="s">
        <v>3411</v>
      </c>
      <c r="G1035" s="2" t="s">
        <v>3412</v>
      </c>
      <c r="H1035" s="7"/>
      <c r="I1035" s="2" t="s">
        <v>9</v>
      </c>
      <c r="K1035" t="e">
        <v>#N/A</v>
      </c>
      <c r="L1035" s="2" t="s">
        <v>8574</v>
      </c>
      <c r="M1035" t="s">
        <v>8116</v>
      </c>
      <c r="N1035" s="4"/>
    </row>
    <row r="1036" spans="1:14" ht="52" x14ac:dyDescent="0.3">
      <c r="A1036" s="1" t="str">
        <f>HYPERLINK("https://ipmanager.doe.gov/IPManager//ExternalLink.aspx?6ibkph2k9yi6F%2B0Vz7YoTgZwfmYxrNyKynGdLUZTCbs%3D","Link")</f>
        <v>Link</v>
      </c>
      <c r="B1036" s="2" t="s">
        <v>3415</v>
      </c>
      <c r="C1036" s="2" t="s">
        <v>3416</v>
      </c>
      <c r="D1036" s="2" t="s">
        <v>3417</v>
      </c>
      <c r="E1036" s="2" t="s">
        <v>3418</v>
      </c>
      <c r="F1036" s="2" t="s">
        <v>3419</v>
      </c>
      <c r="G1036" s="2" t="s">
        <v>9</v>
      </c>
      <c r="H1036" s="7"/>
      <c r="I1036" s="2" t="s">
        <v>9</v>
      </c>
      <c r="K1036" t="e">
        <v>#N/A</v>
      </c>
      <c r="L1036" s="2" t="s">
        <v>8575</v>
      </c>
      <c r="M1036" t="s">
        <v>8117</v>
      </c>
      <c r="N1036" s="4"/>
    </row>
    <row r="1037" spans="1:14" ht="39" x14ac:dyDescent="0.3">
      <c r="A1037" s="1" t="str">
        <f>HYPERLINK("https://ipmanager.doe.gov/IPManager//ExternalLink.aspx?6ibkph2k9yi6F%2B0Vz7YoTo7DPLa3%2F%2FGgs4KzSho%2B%2BzM%3D","Link")</f>
        <v>Link</v>
      </c>
      <c r="B1037" s="2" t="s">
        <v>3420</v>
      </c>
      <c r="C1037" s="2" t="s">
        <v>3416</v>
      </c>
      <c r="D1037" s="2" t="s">
        <v>3417</v>
      </c>
      <c r="E1037" s="2" t="s">
        <v>3421</v>
      </c>
      <c r="F1037" s="2" t="s">
        <v>3422</v>
      </c>
      <c r="G1037" s="2" t="s">
        <v>3423</v>
      </c>
      <c r="H1037" s="7"/>
      <c r="I1037" s="2" t="s">
        <v>9</v>
      </c>
      <c r="K1037" t="e">
        <v>#N/A</v>
      </c>
      <c r="L1037" s="2" t="s">
        <v>8575</v>
      </c>
      <c r="M1037" t="s">
        <v>8117</v>
      </c>
      <c r="N1037" s="4"/>
    </row>
    <row r="1038" spans="1:14" ht="52" x14ac:dyDescent="0.3">
      <c r="A1038" s="1" t="str">
        <f>HYPERLINK("https://ipmanager.doe.gov/IPManager//ExternalLink.aspx?6ibkph2k9yi6F%2B0Vz7YoTjnDGhmGHGI7UV4SwFOEBYs%3D","Link")</f>
        <v>Link</v>
      </c>
      <c r="B1038" s="2" t="s">
        <v>3424</v>
      </c>
      <c r="C1038" s="2" t="s">
        <v>3416</v>
      </c>
      <c r="D1038" s="2" t="s">
        <v>3417</v>
      </c>
      <c r="E1038" s="2" t="s">
        <v>3425</v>
      </c>
      <c r="F1038" s="2" t="s">
        <v>3426</v>
      </c>
      <c r="G1038" s="2" t="s">
        <v>159</v>
      </c>
      <c r="H1038" s="7"/>
      <c r="I1038" s="2" t="s">
        <v>9</v>
      </c>
      <c r="K1038" t="e">
        <v>#N/A</v>
      </c>
      <c r="L1038" s="2" t="s">
        <v>8575</v>
      </c>
      <c r="M1038" t="s">
        <v>8117</v>
      </c>
      <c r="N1038" s="4"/>
    </row>
    <row r="1039" spans="1:14" ht="39" x14ac:dyDescent="0.3">
      <c r="A1039" s="1" t="str">
        <f>HYPERLINK("https://ipmanager.doe.gov/IPManager//ExternalLink.aspx?6ibkph2k9yi6F%2B0Vz7YoTq6RR9BlGHHioZWFkiPI4I0%3D","Link")</f>
        <v>Link</v>
      </c>
      <c r="B1039" s="2" t="s">
        <v>3427</v>
      </c>
      <c r="C1039" s="2" t="s">
        <v>3416</v>
      </c>
      <c r="D1039" s="2" t="s">
        <v>3417</v>
      </c>
      <c r="E1039" s="2" t="s">
        <v>3428</v>
      </c>
      <c r="F1039" s="2" t="s">
        <v>3429</v>
      </c>
      <c r="G1039" s="2" t="s">
        <v>3430</v>
      </c>
      <c r="H1039" s="7"/>
      <c r="I1039" s="2" t="s">
        <v>9</v>
      </c>
      <c r="K1039" t="e">
        <v>#N/A</v>
      </c>
      <c r="L1039" s="2" t="s">
        <v>8575</v>
      </c>
      <c r="M1039" t="s">
        <v>8117</v>
      </c>
      <c r="N1039" s="4"/>
    </row>
    <row r="1040" spans="1:14" ht="52" x14ac:dyDescent="0.3">
      <c r="A1040" s="1" t="str">
        <f>HYPERLINK("https://ipmanager.doe.gov/IPManager//ExternalLink.aspx?6ibkph2k9yi6F%2B0Vz7YoTq6RR9BlGHHiKG39k59akGA%3D","Link")</f>
        <v>Link</v>
      </c>
      <c r="B1040" s="2" t="s">
        <v>3431</v>
      </c>
      <c r="C1040" s="2" t="s">
        <v>3416</v>
      </c>
      <c r="D1040" s="2" t="s">
        <v>3417</v>
      </c>
      <c r="E1040" s="2" t="s">
        <v>3425</v>
      </c>
      <c r="F1040" s="2" t="s">
        <v>3432</v>
      </c>
      <c r="G1040" s="2" t="s">
        <v>159</v>
      </c>
      <c r="H1040" s="7"/>
      <c r="I1040" s="2" t="s">
        <v>9</v>
      </c>
      <c r="K1040" t="e">
        <v>#N/A</v>
      </c>
      <c r="L1040" s="2" t="s">
        <v>8575</v>
      </c>
      <c r="M1040" t="s">
        <v>8117</v>
      </c>
      <c r="N1040" s="4"/>
    </row>
    <row r="1041" spans="1:14" ht="26" x14ac:dyDescent="0.3">
      <c r="A1041" s="1" t="str">
        <f>HYPERLINK("https://ipmanager.doe.gov/IPManager//ExternalLink.aspx?6ibkph2k9yi6F%2B0Vz7YoTk2BI6w%2FjZ2fvW1tniPNiOs%3D","Link")</f>
        <v>Link</v>
      </c>
      <c r="B1041" s="2" t="s">
        <v>3433</v>
      </c>
      <c r="C1041" s="2" t="s">
        <v>3434</v>
      </c>
      <c r="D1041" s="2" t="s">
        <v>3108</v>
      </c>
      <c r="E1041" s="2" t="s">
        <v>3435</v>
      </c>
      <c r="F1041" s="2" t="s">
        <v>3436</v>
      </c>
      <c r="G1041" s="2" t="s">
        <v>1863</v>
      </c>
      <c r="H1041" s="7"/>
      <c r="I1041" s="2" t="s">
        <v>9</v>
      </c>
      <c r="K1041" t="e">
        <v>#N/A</v>
      </c>
      <c r="L1041" s="2" t="s">
        <v>8576</v>
      </c>
      <c r="M1041" t="s">
        <v>8118</v>
      </c>
      <c r="N1041" s="4"/>
    </row>
    <row r="1042" spans="1:14" ht="52" x14ac:dyDescent="0.3">
      <c r="A1042" s="1" t="str">
        <f>HYPERLINK("https://ipmanager.doe.gov/IPManager//ExternalLink.aspx?6ibkph2k9yi6F%2B0Vz7YoTr7J5I%2BY4foYoYtlzfcNUT8%3D","Link")</f>
        <v>Link</v>
      </c>
      <c r="B1042" s="2" t="s">
        <v>3437</v>
      </c>
      <c r="C1042" s="2" t="s">
        <v>3434</v>
      </c>
      <c r="D1042" s="2" t="s">
        <v>3438</v>
      </c>
      <c r="E1042" s="2" t="s">
        <v>3439</v>
      </c>
      <c r="F1042" s="2"/>
      <c r="G1042" s="2" t="s">
        <v>9</v>
      </c>
      <c r="H1042" s="7"/>
      <c r="I1042" s="2" t="s">
        <v>9</v>
      </c>
      <c r="K1042" t="e">
        <v>#N/A</v>
      </c>
      <c r="L1042" s="2" t="s">
        <v>8576</v>
      </c>
      <c r="M1042" t="s">
        <v>8118</v>
      </c>
      <c r="N1042" s="4"/>
    </row>
    <row r="1043" spans="1:14" ht="26" x14ac:dyDescent="0.3">
      <c r="A1043" s="1" t="str">
        <f>HYPERLINK("https://ipmanager.doe.gov/IPManager//ExternalLink.aspx?6ibkph2k9yi6F%2B0Vz7YoTgZwfmYxrNyKUXfRF8GtJiY%3D","Link")</f>
        <v>Link</v>
      </c>
      <c r="B1043" s="2" t="s">
        <v>3440</v>
      </c>
      <c r="C1043" s="2" t="s">
        <v>3434</v>
      </c>
      <c r="D1043" s="2" t="s">
        <v>3438</v>
      </c>
      <c r="E1043" s="2" t="s">
        <v>3441</v>
      </c>
      <c r="F1043" s="2"/>
      <c r="G1043" s="2" t="s">
        <v>9</v>
      </c>
      <c r="H1043" s="7"/>
      <c r="I1043" s="2" t="s">
        <v>9</v>
      </c>
      <c r="K1043" t="e">
        <v>#N/A</v>
      </c>
      <c r="L1043" s="2" t="s">
        <v>8576</v>
      </c>
      <c r="M1043" t="s">
        <v>8118</v>
      </c>
      <c r="N1043" s="4"/>
    </row>
    <row r="1044" spans="1:14" x14ac:dyDescent="0.3">
      <c r="A1044" s="1" t="str">
        <f>HYPERLINK("https://ipmanager.doe.gov/IPManager//ExternalLink.aspx?6ibkph2k9yi6F%2B0Vz7YoTk2BI6w%2FjZ2fMRHEoSdyHKo%3D","Link")</f>
        <v>Link</v>
      </c>
      <c r="B1044" s="2" t="s">
        <v>3442</v>
      </c>
      <c r="C1044" s="2" t="s">
        <v>3434</v>
      </c>
      <c r="D1044" s="2" t="s">
        <v>3438</v>
      </c>
      <c r="E1044" s="2" t="s">
        <v>3443</v>
      </c>
      <c r="F1044" s="2"/>
      <c r="G1044" s="2" t="s">
        <v>9</v>
      </c>
      <c r="H1044" s="7"/>
      <c r="I1044" s="2" t="s">
        <v>9</v>
      </c>
      <c r="K1044" t="e">
        <v>#N/A</v>
      </c>
      <c r="L1044" s="2" t="s">
        <v>8576</v>
      </c>
      <c r="M1044" t="s">
        <v>8118</v>
      </c>
      <c r="N1044" s="4"/>
    </row>
    <row r="1045" spans="1:14" ht="52" x14ac:dyDescent="0.3">
      <c r="A1045" s="1" t="str">
        <f>HYPERLINK("https://ipmanager.doe.gov/IPManager//ExternalLink.aspx?6ibkph2k9yi6F%2B0Vz7YoTjnDGhmGHGI75lcEWAUjJUU%3D","Link")</f>
        <v>Link</v>
      </c>
      <c r="B1045" s="2" t="s">
        <v>3449</v>
      </c>
      <c r="C1045" s="2" t="s">
        <v>3445</v>
      </c>
      <c r="D1045" s="2" t="s">
        <v>1285</v>
      </c>
      <c r="E1045" s="2" t="s">
        <v>3448</v>
      </c>
      <c r="F1045" s="2" t="s">
        <v>3450</v>
      </c>
      <c r="G1045" s="2" t="s">
        <v>2279</v>
      </c>
      <c r="H1045" s="7"/>
      <c r="I1045" s="2" t="s">
        <v>9</v>
      </c>
      <c r="K1045" t="e">
        <v>#N/A</v>
      </c>
      <c r="L1045" s="2" t="s">
        <v>8577</v>
      </c>
      <c r="M1045" t="s">
        <v>8119</v>
      </c>
      <c r="N1045" s="4"/>
    </row>
    <row r="1046" spans="1:14" ht="26" x14ac:dyDescent="0.3">
      <c r="A1046" s="1" t="str">
        <f>HYPERLINK("https://ipmanager.doe.gov/IPManager//ExternalLink.aspx?6ibkph2k9yi6F%2B0Vz7YoTjnDGhmGHGI7FhB%2F0gYShpU%3D","Link")</f>
        <v>Link</v>
      </c>
      <c r="B1046" s="2" t="s">
        <v>3451</v>
      </c>
      <c r="C1046" s="2" t="s">
        <v>3445</v>
      </c>
      <c r="D1046" s="2" t="s">
        <v>1285</v>
      </c>
      <c r="E1046" s="2" t="s">
        <v>3452</v>
      </c>
      <c r="F1046" s="2" t="s">
        <v>3453</v>
      </c>
      <c r="G1046" s="2" t="s">
        <v>2418</v>
      </c>
      <c r="H1046" s="7"/>
      <c r="I1046" s="2" t="s">
        <v>9</v>
      </c>
      <c r="K1046" t="e">
        <v>#N/A</v>
      </c>
      <c r="L1046" s="2" t="s">
        <v>8577</v>
      </c>
      <c r="M1046" t="s">
        <v>8119</v>
      </c>
      <c r="N1046" s="4"/>
    </row>
    <row r="1047" spans="1:14" ht="39" x14ac:dyDescent="0.3">
      <c r="A1047" s="1" t="str">
        <f>HYPERLINK("https://ipmanager.doe.gov/IPManager//ExternalLink.aspx?6ibkph2k9yi6F%2B0Vz7YoTgZwfmYxrNyKZImZ3FeRWuY%3D","Link")</f>
        <v>Link</v>
      </c>
      <c r="B1047" s="2" t="s">
        <v>3459</v>
      </c>
      <c r="C1047" s="2" t="s">
        <v>3445</v>
      </c>
      <c r="D1047" s="2" t="s">
        <v>1285</v>
      </c>
      <c r="E1047" s="2" t="s">
        <v>3446</v>
      </c>
      <c r="F1047" s="2" t="s">
        <v>3460</v>
      </c>
      <c r="G1047" s="2" t="s">
        <v>3461</v>
      </c>
      <c r="H1047" s="7"/>
      <c r="I1047" s="2" t="s">
        <v>9</v>
      </c>
      <c r="K1047" t="e">
        <v>#N/A</v>
      </c>
      <c r="L1047" s="2" t="s">
        <v>8577</v>
      </c>
      <c r="M1047" t="s">
        <v>8119</v>
      </c>
      <c r="N1047" s="4"/>
    </row>
    <row r="1048" spans="1:14" ht="39" x14ac:dyDescent="0.3">
      <c r="A1048" s="1" t="str">
        <f>HYPERLINK("https://ipmanager.doe.gov/IPManager//ExternalLink.aspx?6ibkph2k9yi6F%2B0Vz7YoTjnDGhmGHGI7SvEPRx%2F%2FIsA%3D","Link")</f>
        <v>Link</v>
      </c>
      <c r="B1048" s="2" t="s">
        <v>3444</v>
      </c>
      <c r="C1048" s="2" t="s">
        <v>3445</v>
      </c>
      <c r="D1048" s="2" t="s">
        <v>1285</v>
      </c>
      <c r="E1048" s="2" t="s">
        <v>3446</v>
      </c>
      <c r="F1048" s="2"/>
      <c r="G1048" s="2" t="s">
        <v>9</v>
      </c>
      <c r="H1048" s="7"/>
      <c r="I1048" s="2" t="s">
        <v>9</v>
      </c>
      <c r="K1048" t="e">
        <v>#N/A</v>
      </c>
      <c r="L1048" s="2" t="s">
        <v>8577</v>
      </c>
      <c r="M1048" t="s">
        <v>8119</v>
      </c>
      <c r="N1048" s="4"/>
    </row>
    <row r="1049" spans="1:14" ht="52" x14ac:dyDescent="0.3">
      <c r="A1049" s="1" t="str">
        <f>HYPERLINK("https://ipmanager.doe.gov/IPManager//ExternalLink.aspx?6ibkph2k9yi6F%2B0Vz7YoTjnDGhmGHGI7IN7n4P6D9FE%3D","Link")</f>
        <v>Link</v>
      </c>
      <c r="B1049" s="2" t="s">
        <v>3447</v>
      </c>
      <c r="C1049" s="2" t="s">
        <v>3445</v>
      </c>
      <c r="D1049" s="2" t="s">
        <v>1285</v>
      </c>
      <c r="E1049" s="2" t="s">
        <v>3448</v>
      </c>
      <c r="F1049" s="2"/>
      <c r="G1049" s="2" t="s">
        <v>9</v>
      </c>
      <c r="H1049" s="7"/>
      <c r="I1049" s="2" t="s">
        <v>9</v>
      </c>
      <c r="K1049" t="e">
        <v>#N/A</v>
      </c>
      <c r="L1049" s="2" t="s">
        <v>8577</v>
      </c>
      <c r="M1049" t="s">
        <v>8119</v>
      </c>
      <c r="N1049" s="4"/>
    </row>
    <row r="1050" spans="1:14" ht="39" x14ac:dyDescent="0.3">
      <c r="A1050" s="1" t="str">
        <f>HYPERLINK("https://ipmanager.doe.gov/IPManager//ExternalLink.aspx?6ibkph2k9yi6F%2B0Vz7YoTjnDGhmGHGI7GwAytCAk7nc%3D","Link")</f>
        <v>Link</v>
      </c>
      <c r="B1050" s="2" t="s">
        <v>3454</v>
      </c>
      <c r="C1050" s="2" t="s">
        <v>3445</v>
      </c>
      <c r="D1050" s="2" t="s">
        <v>3455</v>
      </c>
      <c r="E1050" s="2" t="s">
        <v>3456</v>
      </c>
      <c r="F1050" s="2"/>
      <c r="G1050" s="2" t="s">
        <v>9</v>
      </c>
      <c r="H1050" s="7"/>
      <c r="I1050" s="2" t="s">
        <v>9</v>
      </c>
      <c r="K1050" t="e">
        <v>#N/A</v>
      </c>
      <c r="L1050" s="2" t="s">
        <v>8577</v>
      </c>
      <c r="M1050" t="s">
        <v>8119</v>
      </c>
      <c r="N1050" s="4"/>
    </row>
    <row r="1051" spans="1:14" ht="39" x14ac:dyDescent="0.3">
      <c r="A1051" s="1" t="str">
        <f>HYPERLINK("https://ipmanager.doe.gov/IPManager//ExternalLink.aspx?6ibkph2k9yi6F%2B0Vz7YoTjnDGhmGHGI7Rc2dEbphNws%3D","Link")</f>
        <v>Link</v>
      </c>
      <c r="B1051" s="2" t="s">
        <v>3457</v>
      </c>
      <c r="C1051" s="2" t="s">
        <v>3445</v>
      </c>
      <c r="D1051" s="2" t="s">
        <v>1285</v>
      </c>
      <c r="E1051" s="2" t="s">
        <v>3458</v>
      </c>
      <c r="F1051" s="2"/>
      <c r="G1051" s="2" t="s">
        <v>9</v>
      </c>
      <c r="H1051" s="7"/>
      <c r="I1051" s="2" t="s">
        <v>9</v>
      </c>
      <c r="K1051" t="e">
        <v>#N/A</v>
      </c>
      <c r="L1051" s="2" t="s">
        <v>8577</v>
      </c>
      <c r="M1051" t="s">
        <v>8119</v>
      </c>
      <c r="N1051" s="4"/>
    </row>
    <row r="1052" spans="1:14" ht="39" x14ac:dyDescent="0.3">
      <c r="A1052" s="1" t="str">
        <f>HYPERLINK("https://ipmanager.doe.gov/IPManager//ExternalLink.aspx?6ibkph2k9yi6F%2B0Vz7YoTgZwfmYxrNyKzQvwX8L1MIw%3D","Link")</f>
        <v>Link</v>
      </c>
      <c r="B1052" s="2" t="s">
        <v>3462</v>
      </c>
      <c r="C1052" s="2" t="s">
        <v>3445</v>
      </c>
      <c r="D1052" s="2" t="s">
        <v>3455</v>
      </c>
      <c r="E1052" s="2" t="s">
        <v>3463</v>
      </c>
      <c r="F1052" s="2" t="s">
        <v>3464</v>
      </c>
      <c r="G1052" s="2" t="s">
        <v>3465</v>
      </c>
      <c r="H1052" s="7"/>
      <c r="I1052" s="2" t="s">
        <v>9</v>
      </c>
      <c r="K1052" t="e">
        <v>#N/A</v>
      </c>
      <c r="L1052" s="2" t="s">
        <v>8577</v>
      </c>
      <c r="M1052" t="s">
        <v>8119</v>
      </c>
      <c r="N1052" s="4"/>
    </row>
    <row r="1053" spans="1:14" ht="39" x14ac:dyDescent="0.3">
      <c r="A1053" s="1" t="str">
        <f>HYPERLINK("https://ipmanager.doe.gov/IPManager//ExternalLink.aspx?6ibkph2k9yi6F%2B0Vz7YoTlNm8snv%2FZpHZJKXrJYSfmM%3D","Link")</f>
        <v>Link</v>
      </c>
      <c r="B1053" s="2" t="s">
        <v>3467</v>
      </c>
      <c r="C1053" s="2" t="s">
        <v>3445</v>
      </c>
      <c r="D1053" s="2" t="s">
        <v>3455</v>
      </c>
      <c r="E1053" s="2" t="s">
        <v>3463</v>
      </c>
      <c r="F1053" s="2" t="s">
        <v>3468</v>
      </c>
      <c r="G1053" s="2" t="s">
        <v>3465</v>
      </c>
      <c r="H1053" s="7"/>
      <c r="I1053" s="2" t="s">
        <v>9</v>
      </c>
      <c r="J1053" t="s">
        <v>3468</v>
      </c>
      <c r="K1053" t="s">
        <v>7850</v>
      </c>
      <c r="L1053" s="2" t="s">
        <v>8577</v>
      </c>
      <c r="M1053" t="s">
        <v>8119</v>
      </c>
      <c r="N1053" s="4"/>
    </row>
    <row r="1054" spans="1:14" ht="26" x14ac:dyDescent="0.3">
      <c r="A1054" s="1" t="str">
        <f>HYPERLINK("https://ipmanager.doe.gov/IPManager//ExternalLink.aspx?6ibkph2k9yi6F%2B0Vz7YoTvPUg%2FVZPl3iM8CJLAREMs4%3D","Link")</f>
        <v>Link</v>
      </c>
      <c r="B1054" s="2" t="s">
        <v>3469</v>
      </c>
      <c r="C1054" s="2" t="s">
        <v>3470</v>
      </c>
      <c r="D1054" s="2" t="s">
        <v>3471</v>
      </c>
      <c r="E1054" s="2" t="s">
        <v>3472</v>
      </c>
      <c r="F1054" s="2" t="s">
        <v>3473</v>
      </c>
      <c r="G1054" s="2" t="s">
        <v>3474</v>
      </c>
      <c r="H1054" s="7"/>
      <c r="I1054" s="2" t="s">
        <v>9</v>
      </c>
      <c r="J1054" t="s">
        <v>7546</v>
      </c>
      <c r="K1054" t="s">
        <v>7927</v>
      </c>
      <c r="L1054" s="2" t="s">
        <v>8426</v>
      </c>
      <c r="M1054" s="10" t="s">
        <v>8427</v>
      </c>
      <c r="N1054" s="4"/>
    </row>
    <row r="1055" spans="1:14" ht="39" x14ac:dyDescent="0.3">
      <c r="A1055" s="1" t="str">
        <f>HYPERLINK("https://ipmanager.doe.gov/IPManager//ExternalLink.aspx?6ibkph2k9yi6F%2B0Vz7YoTvPUg%2FVZPl3iwxRixjq5xO8%3D","Link")</f>
        <v>Link</v>
      </c>
      <c r="B1055" s="2" t="s">
        <v>3479</v>
      </c>
      <c r="C1055" s="2" t="s">
        <v>3476</v>
      </c>
      <c r="D1055" s="2" t="s">
        <v>2233</v>
      </c>
      <c r="E1055" s="2" t="s">
        <v>3480</v>
      </c>
      <c r="F1055" s="2" t="s">
        <v>3481</v>
      </c>
      <c r="G1055" s="2" t="s">
        <v>2130</v>
      </c>
      <c r="H1055" s="8">
        <v>10131245</v>
      </c>
      <c r="I1055" s="2" t="s">
        <v>3482</v>
      </c>
      <c r="K1055" t="e">
        <v>#N/A</v>
      </c>
      <c r="L1055" s="2" t="s">
        <v>8578</v>
      </c>
      <c r="M1055" t="s">
        <v>8120</v>
      </c>
    </row>
    <row r="1056" spans="1:14" ht="52" x14ac:dyDescent="0.3">
      <c r="A1056" s="1" t="str">
        <f>HYPERLINK("https://ipmanager.doe.gov/IPManager//ExternalLink.aspx?6ibkph2k9yi6F%2B0Vz7YoTvPUg%2FVZPl3iSAVXxDxak%2Bg%3D","Link")</f>
        <v>Link</v>
      </c>
      <c r="B1056" s="2" t="s">
        <v>3493</v>
      </c>
      <c r="C1056" s="2" t="s">
        <v>3476</v>
      </c>
      <c r="D1056" s="2" t="s">
        <v>2233</v>
      </c>
      <c r="E1056" s="2" t="s">
        <v>3484</v>
      </c>
      <c r="F1056" s="2" t="s">
        <v>3487</v>
      </c>
      <c r="G1056" s="2" t="s">
        <v>3492</v>
      </c>
      <c r="H1056" s="8">
        <v>10063066</v>
      </c>
      <c r="I1056" s="2" t="s">
        <v>3494</v>
      </c>
      <c r="K1056" t="e">
        <v>#N/A</v>
      </c>
      <c r="L1056" s="2" t="s">
        <v>8578</v>
      </c>
      <c r="M1056" t="s">
        <v>8120</v>
      </c>
    </row>
    <row r="1057" spans="1:14" ht="39" x14ac:dyDescent="0.3">
      <c r="A1057" s="1" t="str">
        <f>HYPERLINK("https://ipmanager.doe.gov/IPManager//ExternalLink.aspx?6ibkph2k9yi6F%2B0Vz7YoTvPUg%2FVZPl3i4aIfus%2BU2TU%3D","Link")</f>
        <v>Link</v>
      </c>
      <c r="B1057" s="2" t="s">
        <v>3475</v>
      </c>
      <c r="C1057" s="2" t="s">
        <v>3476</v>
      </c>
      <c r="D1057" s="2" t="s">
        <v>2233</v>
      </c>
      <c r="E1057" s="2" t="s">
        <v>3477</v>
      </c>
      <c r="F1057" s="2" t="s">
        <v>3478</v>
      </c>
      <c r="G1057" s="2" t="s">
        <v>2130</v>
      </c>
      <c r="H1057" s="2"/>
      <c r="I1057" s="2" t="s">
        <v>9</v>
      </c>
      <c r="K1057" t="e">
        <v>#N/A</v>
      </c>
      <c r="L1057" s="2" t="s">
        <v>8578</v>
      </c>
      <c r="M1057" t="s">
        <v>8120</v>
      </c>
      <c r="N1057" s="4"/>
    </row>
    <row r="1058" spans="1:14" ht="52" x14ac:dyDescent="0.3">
      <c r="A1058" s="1" t="str">
        <f>HYPERLINK("https://ipmanager.doe.gov/IPManager//ExternalLink.aspx?6ibkph2k9yi6F%2B0Vz7YoTq6RR9BlGHHithff5zEfxro%3D","Link")</f>
        <v>Link</v>
      </c>
      <c r="B1058" s="2" t="s">
        <v>3483</v>
      </c>
      <c r="C1058" s="2" t="s">
        <v>3476</v>
      </c>
      <c r="D1058" s="2" t="s">
        <v>2233</v>
      </c>
      <c r="E1058" s="2" t="s">
        <v>3484</v>
      </c>
      <c r="F1058" s="2" t="s">
        <v>3485</v>
      </c>
      <c r="G1058" s="2" t="s">
        <v>3486</v>
      </c>
      <c r="H1058" s="2"/>
      <c r="I1058" s="2" t="s">
        <v>9</v>
      </c>
      <c r="K1058" t="e">
        <v>#N/A</v>
      </c>
      <c r="L1058" s="2" t="s">
        <v>8578</v>
      </c>
      <c r="M1058" t="s">
        <v>8120</v>
      </c>
      <c r="N1058" s="4"/>
    </row>
    <row r="1059" spans="1:14" ht="52" x14ac:dyDescent="0.3">
      <c r="A1059" s="1" t="str">
        <f>HYPERLINK("https://ipmanager.doe.gov/IPManager//ExternalLink.aspx?6ibkph2k9yi6F%2B0Vz7YoTvPUg%2FVZPl3iQTODJ9NkKqA%3D","Link")</f>
        <v>Link</v>
      </c>
      <c r="B1059" s="2" t="s">
        <v>3488</v>
      </c>
      <c r="C1059" s="2" t="s">
        <v>3476</v>
      </c>
      <c r="D1059" s="2" t="s">
        <v>2233</v>
      </c>
      <c r="E1059" s="2" t="s">
        <v>3484</v>
      </c>
      <c r="F1059" s="2" t="s">
        <v>3489</v>
      </c>
      <c r="G1059" s="2" t="s">
        <v>3486</v>
      </c>
      <c r="H1059" s="2"/>
      <c r="I1059" s="2" t="s">
        <v>9</v>
      </c>
      <c r="K1059" t="e">
        <v>#N/A</v>
      </c>
      <c r="L1059" s="2" t="s">
        <v>8578</v>
      </c>
      <c r="M1059" t="s">
        <v>8120</v>
      </c>
      <c r="N1059" s="4"/>
    </row>
    <row r="1060" spans="1:14" ht="52" x14ac:dyDescent="0.3">
      <c r="A1060" s="1" t="str">
        <f>HYPERLINK("https://ipmanager.doe.gov/IPManager//ExternalLink.aspx?6ibkph2k9yi6F%2B0Vz7YoTvPUg%2FVZPl3iEOy2HQc7Yo4%3D","Link")</f>
        <v>Link</v>
      </c>
      <c r="B1060" s="2" t="s">
        <v>3490</v>
      </c>
      <c r="C1060" s="2" t="s">
        <v>3476</v>
      </c>
      <c r="D1060" s="2" t="s">
        <v>2233</v>
      </c>
      <c r="E1060" s="2" t="s">
        <v>3484</v>
      </c>
      <c r="F1060" s="2" t="s">
        <v>3491</v>
      </c>
      <c r="G1060" s="2" t="s">
        <v>3492</v>
      </c>
      <c r="H1060" s="2"/>
      <c r="I1060" s="2" t="s">
        <v>9</v>
      </c>
      <c r="K1060" t="e">
        <v>#N/A</v>
      </c>
      <c r="L1060" s="2" t="s">
        <v>8578</v>
      </c>
      <c r="M1060" t="s">
        <v>8120</v>
      </c>
      <c r="N1060" s="4"/>
    </row>
    <row r="1061" spans="1:14" ht="39" x14ac:dyDescent="0.3">
      <c r="A1061" s="1" t="str">
        <f>HYPERLINK("https://ipmanager.doe.gov/IPManager//ExternalLink.aspx?6ibkph2k9yi6F%2B0Vz7YoTvPUg%2FVZPl3ivxGBEjiPAwk%3D","Link")</f>
        <v>Link</v>
      </c>
      <c r="B1061" s="2" t="s">
        <v>3495</v>
      </c>
      <c r="C1061" s="2" t="s">
        <v>3496</v>
      </c>
      <c r="D1061" s="2" t="s">
        <v>1461</v>
      </c>
      <c r="E1061" s="2" t="s">
        <v>3497</v>
      </c>
      <c r="F1061" s="2" t="s">
        <v>3498</v>
      </c>
      <c r="G1061" s="2" t="s">
        <v>3499</v>
      </c>
      <c r="H1061" s="2"/>
      <c r="I1061" s="2" t="s">
        <v>9</v>
      </c>
      <c r="K1061" t="e">
        <v>#N/A</v>
      </c>
      <c r="L1061" s="2" t="s">
        <v>8579</v>
      </c>
      <c r="M1061" t="s">
        <v>8121</v>
      </c>
      <c r="N1061" s="4"/>
    </row>
    <row r="1062" spans="1:14" ht="52" x14ac:dyDescent="0.3">
      <c r="A1062" s="1" t="str">
        <f>HYPERLINK("https://ipmanager.doe.gov/IPManager//ExternalLink.aspx?6ibkph2k9yi6F%2B0Vz7YoTvPUg%2FVZPl3ig3FxxYVwzOk%3D","Link")</f>
        <v>Link</v>
      </c>
      <c r="B1062" s="2" t="s">
        <v>3505</v>
      </c>
      <c r="C1062" s="2" t="s">
        <v>3496</v>
      </c>
      <c r="D1062" s="2" t="s">
        <v>1461</v>
      </c>
      <c r="E1062" s="2" t="s">
        <v>3506</v>
      </c>
      <c r="F1062" s="2" t="s">
        <v>3507</v>
      </c>
      <c r="G1062" s="2" t="s">
        <v>3499</v>
      </c>
      <c r="H1062" s="2"/>
      <c r="I1062" s="2" t="s">
        <v>9</v>
      </c>
      <c r="K1062" t="e">
        <v>#N/A</v>
      </c>
      <c r="L1062" s="2" t="s">
        <v>8579</v>
      </c>
      <c r="M1062" t="s">
        <v>8121</v>
      </c>
      <c r="N1062" s="4"/>
    </row>
    <row r="1063" spans="1:14" ht="39" x14ac:dyDescent="0.3">
      <c r="A1063" s="1" t="str">
        <f>HYPERLINK("https://ipmanager.doe.gov/IPManager//ExternalLink.aspx?6ibkph2k9yi6F%2B0Vz7YoTr7J5I%2BY4foY4fmy7LTFW98%3D","Link")</f>
        <v>Link</v>
      </c>
      <c r="B1063" s="2" t="s">
        <v>3512</v>
      </c>
      <c r="C1063" s="2" t="s">
        <v>3496</v>
      </c>
      <c r="D1063" s="2" t="s">
        <v>1461</v>
      </c>
      <c r="E1063" s="2" t="s">
        <v>3513</v>
      </c>
      <c r="F1063" s="2" t="s">
        <v>3514</v>
      </c>
      <c r="G1063" s="2" t="s">
        <v>3515</v>
      </c>
      <c r="H1063" s="2"/>
      <c r="I1063" s="2" t="s">
        <v>9</v>
      </c>
      <c r="K1063" t="e">
        <v>#N/A</v>
      </c>
      <c r="L1063" s="2" t="s">
        <v>8579</v>
      </c>
      <c r="M1063" t="s">
        <v>8121</v>
      </c>
      <c r="N1063" s="4"/>
    </row>
    <row r="1064" spans="1:14" ht="52" x14ac:dyDescent="0.3">
      <c r="A1064" s="1" t="str">
        <f>HYPERLINK("https://ipmanager.doe.gov/IPManager//ExternalLink.aspx?6ibkph2k9yi6F%2B0Vz7YoTipZ798QK%2BbPx6zp%2FwRt4K8%3D","Link")</f>
        <v>Link</v>
      </c>
      <c r="B1064" s="2" t="s">
        <v>3500</v>
      </c>
      <c r="C1064" s="2" t="s">
        <v>3496</v>
      </c>
      <c r="D1064" s="2" t="s">
        <v>1461</v>
      </c>
      <c r="E1064" s="2" t="s">
        <v>3501</v>
      </c>
      <c r="F1064" s="2" t="s">
        <v>3502</v>
      </c>
      <c r="G1064" s="2" t="s">
        <v>3503</v>
      </c>
      <c r="H1064" s="7" t="s">
        <v>3504</v>
      </c>
      <c r="I1064" s="2" t="s">
        <v>1830</v>
      </c>
      <c r="K1064" t="e">
        <v>#N/A</v>
      </c>
      <c r="L1064" s="2" t="s">
        <v>8579</v>
      </c>
      <c r="M1064" t="s">
        <v>8121</v>
      </c>
    </row>
    <row r="1065" spans="1:14" ht="39" x14ac:dyDescent="0.3">
      <c r="A1065" s="1" t="str">
        <f>HYPERLINK("https://ipmanager.doe.gov/IPManager//ExternalLink.aspx?6ibkph2k9yi6F%2B0Vz7YoTr7J5I%2BY4foYBPUVCY12SAI%3D","Link")</f>
        <v>Link</v>
      </c>
      <c r="B1065" s="2" t="s">
        <v>3508</v>
      </c>
      <c r="C1065" s="2" t="s">
        <v>3496</v>
      </c>
      <c r="D1065" s="2" t="s">
        <v>1461</v>
      </c>
      <c r="E1065" s="2" t="s">
        <v>3509</v>
      </c>
      <c r="F1065" s="2"/>
      <c r="G1065" s="2" t="s">
        <v>9</v>
      </c>
      <c r="H1065" s="7"/>
      <c r="I1065" s="2" t="s">
        <v>9</v>
      </c>
      <c r="K1065" t="e">
        <v>#N/A</v>
      </c>
      <c r="L1065" s="2" t="s">
        <v>8579</v>
      </c>
      <c r="M1065" t="s">
        <v>8121</v>
      </c>
      <c r="N1065" s="4"/>
    </row>
    <row r="1066" spans="1:14" ht="39" x14ac:dyDescent="0.3">
      <c r="A1066" s="1" t="str">
        <f>HYPERLINK("https://ipmanager.doe.gov/IPManager//ExternalLink.aspx?6ibkph2k9yi6F%2B0Vz7YoTr7J5I%2BY4foYTwhw7lJHOWQ%3D","Link")</f>
        <v>Link</v>
      </c>
      <c r="B1066" s="2" t="s">
        <v>3510</v>
      </c>
      <c r="C1066" s="2" t="s">
        <v>3496</v>
      </c>
      <c r="D1066" s="2" t="s">
        <v>1461</v>
      </c>
      <c r="E1066" s="2" t="s">
        <v>3511</v>
      </c>
      <c r="F1066" s="2"/>
      <c r="G1066" s="2" t="s">
        <v>9</v>
      </c>
      <c r="H1066" s="7"/>
      <c r="I1066" s="2" t="s">
        <v>9</v>
      </c>
      <c r="K1066" t="e">
        <v>#N/A</v>
      </c>
      <c r="L1066" s="2" t="s">
        <v>8579</v>
      </c>
      <c r="M1066" t="s">
        <v>8121</v>
      </c>
      <c r="N1066" s="4"/>
    </row>
    <row r="1067" spans="1:14" ht="39" x14ac:dyDescent="0.3">
      <c r="A1067" s="1" t="str">
        <f>HYPERLINK("https://ipmanager.doe.gov/IPManager//ExternalLink.aspx?6ibkph2k9yi6F%2B0Vz7YoTr7J5I%2BY4foYUdz%2B08INjlc%3D","Link")</f>
        <v>Link</v>
      </c>
      <c r="B1067" s="2" t="s">
        <v>3516</v>
      </c>
      <c r="C1067" s="2" t="s">
        <v>3496</v>
      </c>
      <c r="D1067" s="2" t="s">
        <v>1461</v>
      </c>
      <c r="E1067" s="2" t="s">
        <v>3513</v>
      </c>
      <c r="F1067" s="2" t="s">
        <v>3498</v>
      </c>
      <c r="G1067" s="2" t="s">
        <v>3499</v>
      </c>
      <c r="H1067" s="7" t="s">
        <v>3517</v>
      </c>
      <c r="I1067" s="2" t="s">
        <v>3518</v>
      </c>
      <c r="K1067" t="e">
        <v>#N/A</v>
      </c>
      <c r="L1067" s="2" t="s">
        <v>8579</v>
      </c>
      <c r="M1067" t="s">
        <v>8121</v>
      </c>
    </row>
    <row r="1068" spans="1:14" ht="52" x14ac:dyDescent="0.3">
      <c r="A1068" s="1" t="str">
        <f>HYPERLINK("https://ipmanager.doe.gov/IPManager//ExternalLink.aspx?6ibkph2k9yi6F%2B0Vz7YoTipZ798QK%2BbPhW3v%2B%2FjwNQg%3D","Link")</f>
        <v>Link</v>
      </c>
      <c r="B1068" s="2" t="s">
        <v>3519</v>
      </c>
      <c r="C1068" s="2" t="s">
        <v>3496</v>
      </c>
      <c r="D1068" s="2" t="s">
        <v>1461</v>
      </c>
      <c r="E1068" s="2" t="s">
        <v>3520</v>
      </c>
      <c r="F1068" s="2"/>
      <c r="G1068" s="2" t="s">
        <v>9</v>
      </c>
      <c r="H1068" s="7"/>
      <c r="I1068" s="2" t="s">
        <v>9</v>
      </c>
      <c r="K1068" t="e">
        <v>#N/A</v>
      </c>
      <c r="L1068" s="2" t="s">
        <v>8579</v>
      </c>
      <c r="M1068" t="s">
        <v>8121</v>
      </c>
      <c r="N1068" s="4"/>
    </row>
    <row r="1069" spans="1:14" ht="52" x14ac:dyDescent="0.3">
      <c r="A1069" s="1" t="str">
        <f>HYPERLINK("https://ipmanager.doe.gov/IPManager//ExternalLink.aspx?6ibkph2k9yi6F%2B0Vz7YoTsTAnuFk5EoAE80LiGlEQuI%3D","Link")</f>
        <v>Link</v>
      </c>
      <c r="B1069" s="2" t="s">
        <v>3522</v>
      </c>
      <c r="C1069" s="2" t="s">
        <v>3523</v>
      </c>
      <c r="D1069" s="2" t="s">
        <v>1891</v>
      </c>
      <c r="E1069" s="2" t="s">
        <v>3524</v>
      </c>
      <c r="F1069" s="2"/>
      <c r="G1069" s="2" t="s">
        <v>9</v>
      </c>
      <c r="H1069" s="7"/>
      <c r="I1069" s="2" t="s">
        <v>9</v>
      </c>
      <c r="K1069" t="e">
        <v>#N/A</v>
      </c>
      <c r="L1069" s="2" t="s">
        <v>8580</v>
      </c>
      <c r="M1069" t="s">
        <v>8122</v>
      </c>
      <c r="N1069" s="4"/>
    </row>
    <row r="1070" spans="1:14" ht="52" x14ac:dyDescent="0.3">
      <c r="A1070" s="1" t="str">
        <f>HYPERLINK("https://ipmanager.doe.gov/IPManager//ExternalLink.aspx?6ibkph2k9yi6F%2B0Vz7YoTipZ798QK%2BbPxSHn5sap3Ng%3D","Link")</f>
        <v>Link</v>
      </c>
      <c r="B1070" s="2" t="s">
        <v>3531</v>
      </c>
      <c r="C1070" s="2" t="s">
        <v>3526</v>
      </c>
      <c r="D1070" s="2" t="s">
        <v>3527</v>
      </c>
      <c r="E1070" s="2" t="s">
        <v>3532</v>
      </c>
      <c r="F1070" s="2"/>
      <c r="G1070" s="2" t="s">
        <v>9</v>
      </c>
      <c r="H1070" s="7"/>
      <c r="I1070" s="2" t="s">
        <v>9</v>
      </c>
      <c r="K1070" t="e">
        <v>#N/A</v>
      </c>
      <c r="L1070" s="2" t="s">
        <v>8581</v>
      </c>
      <c r="M1070" t="s">
        <v>8123</v>
      </c>
      <c r="N1070" s="4"/>
    </row>
    <row r="1071" spans="1:14" ht="52" x14ac:dyDescent="0.3">
      <c r="A1071" s="1" t="str">
        <f>HYPERLINK("https://ipmanager.doe.gov/IPManager//ExternalLink.aspx?6ibkph2k9yi6F%2B0Vz7YoTk2BI6w%2FjZ2fUhcm5b3LU38%3D","Link")</f>
        <v>Link</v>
      </c>
      <c r="B1071" s="2" t="s">
        <v>3533</v>
      </c>
      <c r="C1071" s="2" t="s">
        <v>3526</v>
      </c>
      <c r="D1071" s="2" t="s">
        <v>3527</v>
      </c>
      <c r="E1071" s="2" t="s">
        <v>3534</v>
      </c>
      <c r="F1071" s="2"/>
      <c r="G1071" s="2" t="s">
        <v>9</v>
      </c>
      <c r="H1071" s="7"/>
      <c r="I1071" s="2" t="s">
        <v>9</v>
      </c>
      <c r="K1071" t="e">
        <v>#N/A</v>
      </c>
      <c r="L1071" s="2" t="s">
        <v>8581</v>
      </c>
      <c r="M1071" t="s">
        <v>8123</v>
      </c>
      <c r="N1071" s="4"/>
    </row>
    <row r="1072" spans="1:14" ht="39" x14ac:dyDescent="0.3">
      <c r="A1072" s="1" t="str">
        <f>HYPERLINK("https://ipmanager.doe.gov/IPManager//ExternalLink.aspx?6ibkph2k9yi6F%2B0Vz7YoTvPUg%2FVZPl3i50Ej4xLv%2FuI%3D","Link")</f>
        <v>Link</v>
      </c>
      <c r="B1072" s="2" t="s">
        <v>3544</v>
      </c>
      <c r="C1072" s="2" t="s">
        <v>3526</v>
      </c>
      <c r="D1072" s="2" t="s">
        <v>3527</v>
      </c>
      <c r="E1072" s="2" t="s">
        <v>3545</v>
      </c>
      <c r="F1072" s="2" t="s">
        <v>3546</v>
      </c>
      <c r="G1072" s="2" t="s">
        <v>3547</v>
      </c>
      <c r="H1072" s="8">
        <v>9553465</v>
      </c>
      <c r="I1072" s="2" t="s">
        <v>3548</v>
      </c>
      <c r="K1072" t="e">
        <v>#N/A</v>
      </c>
      <c r="L1072" s="2" t="s">
        <v>8581</v>
      </c>
      <c r="M1072" t="s">
        <v>8123</v>
      </c>
    </row>
    <row r="1073" spans="1:14" ht="78" x14ac:dyDescent="0.3">
      <c r="A1073" s="1" t="str">
        <f>HYPERLINK("https://ipmanager.doe.gov/IPManager//ExternalLink.aspx?6ibkph2k9yi6F%2B0Vz7YoTq6RR9BlGHHiSD5x%2B%2BQR%2FKM%3D","Link")</f>
        <v>Link</v>
      </c>
      <c r="B1073" s="2" t="s">
        <v>3549</v>
      </c>
      <c r="C1073" s="2" t="s">
        <v>3526</v>
      </c>
      <c r="D1073" s="2" t="s">
        <v>3527</v>
      </c>
      <c r="E1073" s="2" t="s">
        <v>3550</v>
      </c>
      <c r="F1073" s="2" t="s">
        <v>3551</v>
      </c>
      <c r="G1073" s="2" t="s">
        <v>2885</v>
      </c>
      <c r="H1073" s="7" t="s">
        <v>3552</v>
      </c>
      <c r="I1073" s="2" t="s">
        <v>1965</v>
      </c>
      <c r="K1073" t="e">
        <v>#N/A</v>
      </c>
      <c r="L1073" s="2" t="s">
        <v>8581</v>
      </c>
      <c r="M1073" t="s">
        <v>8123</v>
      </c>
    </row>
    <row r="1074" spans="1:14" ht="26" x14ac:dyDescent="0.3">
      <c r="A1074" s="1" t="str">
        <f>HYPERLINK("https://ipmanager.doe.gov/IPManager//ExternalLink.aspx?6ibkph2k9yi6F%2B0Vz7YoTjnDGhmGHGI7jqpRKL5o5rY%3D","Link")</f>
        <v>Link</v>
      </c>
      <c r="B1074" s="2" t="s">
        <v>3556</v>
      </c>
      <c r="C1074" s="2" t="s">
        <v>3526</v>
      </c>
      <c r="D1074" s="2" t="s">
        <v>3527</v>
      </c>
      <c r="E1074" s="2" t="s">
        <v>3557</v>
      </c>
      <c r="F1074" s="2" t="s">
        <v>3558</v>
      </c>
      <c r="G1074" s="2" t="s">
        <v>3559</v>
      </c>
      <c r="H1074" s="7">
        <v>9677916</v>
      </c>
      <c r="I1074" s="2" t="s">
        <v>1329</v>
      </c>
      <c r="K1074" t="e">
        <v>#N/A</v>
      </c>
      <c r="L1074" s="2" t="s">
        <v>8581</v>
      </c>
      <c r="M1074" t="s">
        <v>8123</v>
      </c>
    </row>
    <row r="1075" spans="1:14" ht="65" x14ac:dyDescent="0.3">
      <c r="A1075" s="1" t="str">
        <f>HYPERLINK("https://ipmanager.doe.gov/IPManager//ExternalLink.aspx?6ibkph2k9yi6F%2B0Vz7YoTjnDGhmGHGI73pu2xUqhRzM%3D","Link")</f>
        <v>Link</v>
      </c>
      <c r="B1075" s="2" t="s">
        <v>3560</v>
      </c>
      <c r="C1075" s="2" t="s">
        <v>3526</v>
      </c>
      <c r="D1075" s="2" t="s">
        <v>3527</v>
      </c>
      <c r="E1075" s="2" t="s">
        <v>3561</v>
      </c>
      <c r="F1075" s="2" t="s">
        <v>3529</v>
      </c>
      <c r="G1075" s="2" t="s">
        <v>2885</v>
      </c>
      <c r="H1075" s="7" t="s">
        <v>3562</v>
      </c>
      <c r="I1075" s="2" t="s">
        <v>447</v>
      </c>
      <c r="K1075" t="e">
        <v>#N/A</v>
      </c>
      <c r="L1075" s="2" t="s">
        <v>8581</v>
      </c>
      <c r="M1075" t="s">
        <v>8123</v>
      </c>
    </row>
    <row r="1076" spans="1:14" ht="52" x14ac:dyDescent="0.3">
      <c r="A1076" s="1" t="str">
        <f>HYPERLINK("https://ipmanager.doe.gov/IPManager//ExternalLink.aspx?6ibkph2k9yi6F%2B0Vz7YoTjnDGhmGHGI7WrVY6%2B8Dj8U%3D","Link")</f>
        <v>Link</v>
      </c>
      <c r="B1076" s="2" t="s">
        <v>3566</v>
      </c>
      <c r="C1076" s="2" t="s">
        <v>3526</v>
      </c>
      <c r="D1076" s="2" t="s">
        <v>3527</v>
      </c>
      <c r="E1076" s="2" t="s">
        <v>3567</v>
      </c>
      <c r="F1076" s="2" t="s">
        <v>3568</v>
      </c>
      <c r="G1076" s="2" t="s">
        <v>3569</v>
      </c>
      <c r="H1076" s="7" t="s">
        <v>3570</v>
      </c>
      <c r="I1076" s="2" t="s">
        <v>1642</v>
      </c>
      <c r="K1076" t="e">
        <v>#N/A</v>
      </c>
      <c r="L1076" s="2" t="s">
        <v>8581</v>
      </c>
      <c r="M1076" t="s">
        <v>8123</v>
      </c>
    </row>
    <row r="1077" spans="1:14" ht="78" x14ac:dyDescent="0.3">
      <c r="A1077" s="1" t="str">
        <f>HYPERLINK("https://ipmanager.doe.gov/IPManager//ExternalLink.aspx?6ibkph2k9yi6F%2B0Vz7YoTjnDGhmGHGI7JifeylI9IfM%3D","Link")</f>
        <v>Link</v>
      </c>
      <c r="B1077" s="2" t="s">
        <v>3575</v>
      </c>
      <c r="C1077" s="2" t="s">
        <v>3526</v>
      </c>
      <c r="D1077" s="2" t="s">
        <v>3527</v>
      </c>
      <c r="E1077" s="2" t="s">
        <v>3576</v>
      </c>
      <c r="F1077" s="2" t="s">
        <v>3529</v>
      </c>
      <c r="G1077" s="2" t="s">
        <v>2885</v>
      </c>
      <c r="H1077" s="8">
        <v>9209494</v>
      </c>
      <c r="I1077" s="2" t="s">
        <v>447</v>
      </c>
      <c r="K1077" t="e">
        <v>#N/A</v>
      </c>
      <c r="L1077" s="2" t="s">
        <v>8581</v>
      </c>
      <c r="M1077" t="s">
        <v>8123</v>
      </c>
    </row>
    <row r="1078" spans="1:14" ht="91" x14ac:dyDescent="0.3">
      <c r="A1078" s="1" t="str">
        <f>HYPERLINK("https://ipmanager.doe.gov/IPManager//ExternalLink.aspx?6ibkph2k9yi6F%2B0Vz7YoTgZwfmYxrNyKfeADsLlXKrI%3D","Link")</f>
        <v>Link</v>
      </c>
      <c r="B1078" s="2" t="s">
        <v>3577</v>
      </c>
      <c r="C1078" s="2" t="s">
        <v>3526</v>
      </c>
      <c r="D1078" s="2" t="s">
        <v>3527</v>
      </c>
      <c r="E1078" s="2" t="s">
        <v>3578</v>
      </c>
      <c r="F1078" s="2"/>
      <c r="G1078" s="2" t="s">
        <v>9</v>
      </c>
      <c r="H1078" s="7"/>
      <c r="I1078" s="2" t="s">
        <v>9</v>
      </c>
      <c r="K1078" t="e">
        <v>#N/A</v>
      </c>
      <c r="L1078" s="2" t="s">
        <v>8581</v>
      </c>
      <c r="M1078" t="s">
        <v>8123</v>
      </c>
      <c r="N1078" s="4"/>
    </row>
    <row r="1079" spans="1:14" ht="65" x14ac:dyDescent="0.3">
      <c r="A1079" s="1" t="str">
        <f>HYPERLINK("https://ipmanager.doe.gov/IPManager//ExternalLink.aspx?6ibkph2k9yi6F%2B0Vz7YoTk2BI6w%2FjZ2fjyyyhfSJnCQ%3D","Link")</f>
        <v>Link</v>
      </c>
      <c r="B1079" s="2" t="s">
        <v>3579</v>
      </c>
      <c r="C1079" s="2" t="s">
        <v>3526</v>
      </c>
      <c r="D1079" s="2" t="s">
        <v>3527</v>
      </c>
      <c r="E1079" s="2" t="s">
        <v>3580</v>
      </c>
      <c r="F1079" s="2"/>
      <c r="G1079" s="2" t="s">
        <v>9</v>
      </c>
      <c r="H1079" s="7"/>
      <c r="I1079" s="2" t="s">
        <v>9</v>
      </c>
      <c r="K1079" t="e">
        <v>#N/A</v>
      </c>
      <c r="L1079" s="2" t="s">
        <v>8581</v>
      </c>
      <c r="M1079" t="s">
        <v>8123</v>
      </c>
      <c r="N1079" s="4"/>
    </row>
    <row r="1080" spans="1:14" ht="26" x14ac:dyDescent="0.3">
      <c r="A1080" s="1" t="str">
        <f>HYPERLINK("https://ipmanager.doe.gov/IPManager//ExternalLink.aspx?6ibkph2k9yi6F%2B0Vz7YoTr7J5I%2BY4foYyc7%2FIWa72%2FA%3D","Link")</f>
        <v>Link</v>
      </c>
      <c r="B1080" s="2" t="s">
        <v>3525</v>
      </c>
      <c r="C1080" s="2" t="s">
        <v>3526</v>
      </c>
      <c r="D1080" s="2" t="s">
        <v>3527</v>
      </c>
      <c r="E1080" s="2" t="s">
        <v>3528</v>
      </c>
      <c r="F1080" s="2" t="s">
        <v>3529</v>
      </c>
      <c r="G1080" s="2" t="s">
        <v>3530</v>
      </c>
      <c r="H1080" s="7"/>
      <c r="I1080" s="2" t="s">
        <v>9</v>
      </c>
      <c r="K1080" t="e">
        <v>#N/A</v>
      </c>
      <c r="L1080" s="2" t="s">
        <v>8581</v>
      </c>
      <c r="M1080" t="s">
        <v>8123</v>
      </c>
      <c r="N1080" s="4"/>
    </row>
    <row r="1081" spans="1:14" ht="52" x14ac:dyDescent="0.3">
      <c r="A1081" s="1" t="str">
        <f>HYPERLINK("https://ipmanager.doe.gov/IPManager//ExternalLink.aspx?6ibkph2k9yi6F%2B0Vz7YoTk2BI6w%2FjZ2fmyS73SsU2KA%3D","Link")</f>
        <v>Link</v>
      </c>
      <c r="B1081" s="2" t="s">
        <v>3535</v>
      </c>
      <c r="C1081" s="2" t="s">
        <v>3526</v>
      </c>
      <c r="D1081" s="2" t="s">
        <v>3527</v>
      </c>
      <c r="E1081" s="2" t="s">
        <v>3536</v>
      </c>
      <c r="F1081" s="2" t="s">
        <v>3537</v>
      </c>
      <c r="G1081" s="2" t="s">
        <v>3538</v>
      </c>
      <c r="H1081" s="7"/>
      <c r="I1081" s="2" t="s">
        <v>9</v>
      </c>
      <c r="K1081" t="e">
        <v>#N/A</v>
      </c>
      <c r="L1081" s="2" t="s">
        <v>8581</v>
      </c>
      <c r="M1081" t="s">
        <v>8123</v>
      </c>
      <c r="N1081" s="4"/>
    </row>
    <row r="1082" spans="1:14" ht="39" x14ac:dyDescent="0.3">
      <c r="A1082" s="1" t="str">
        <f>HYPERLINK("https://ipmanager.doe.gov/IPManager//ExternalLink.aspx?6ibkph2k9yi6F%2B0Vz7YoTjnDGhmGHGI71f3kn1666nE%3D","Link")</f>
        <v>Link</v>
      </c>
      <c r="B1082" s="2" t="s">
        <v>3539</v>
      </c>
      <c r="C1082" s="2" t="s">
        <v>3526</v>
      </c>
      <c r="D1082" s="2" t="s">
        <v>3527</v>
      </c>
      <c r="E1082" s="2" t="s">
        <v>3540</v>
      </c>
      <c r="F1082" s="2" t="s">
        <v>3541</v>
      </c>
      <c r="G1082" s="2" t="s">
        <v>3542</v>
      </c>
      <c r="H1082" s="7"/>
      <c r="I1082" s="2" t="s">
        <v>9</v>
      </c>
      <c r="K1082" t="e">
        <v>#N/A</v>
      </c>
      <c r="L1082" s="2" t="s">
        <v>8581</v>
      </c>
      <c r="M1082" t="s">
        <v>8123</v>
      </c>
      <c r="N1082" s="4"/>
    </row>
    <row r="1083" spans="1:14" ht="26" x14ac:dyDescent="0.3">
      <c r="A1083" s="1" t="str">
        <f>HYPERLINK("https://ipmanager.doe.gov/IPManager//ExternalLink.aspx?6ibkph2k9yi6F%2B0Vz7YoTjnDGhmGHGI7DOtZByR%2BqMQ%3D","Link")</f>
        <v>Link</v>
      </c>
      <c r="B1083" s="2" t="s">
        <v>3553</v>
      </c>
      <c r="C1083" s="2" t="s">
        <v>3526</v>
      </c>
      <c r="D1083" s="2" t="s">
        <v>3527</v>
      </c>
      <c r="E1083" s="2" t="s">
        <v>3554</v>
      </c>
      <c r="F1083" s="2" t="s">
        <v>3555</v>
      </c>
      <c r="G1083" s="2" t="s">
        <v>901</v>
      </c>
      <c r="H1083" s="7"/>
      <c r="I1083" s="2" t="s">
        <v>9</v>
      </c>
      <c r="K1083" t="e">
        <v>#N/A</v>
      </c>
      <c r="L1083" s="2" t="s">
        <v>8581</v>
      </c>
      <c r="M1083" t="s">
        <v>8123</v>
      </c>
      <c r="N1083" s="4"/>
    </row>
    <row r="1084" spans="1:14" ht="39" x14ac:dyDescent="0.3">
      <c r="A1084" s="1" t="str">
        <f>HYPERLINK("https://ipmanager.doe.gov/IPManager//ExternalLink.aspx?6ibkph2k9yi6F%2B0Vz7YoTjnDGhmGHGI72VGI6%2BPDD%2FA%3D","Link")</f>
        <v>Link</v>
      </c>
      <c r="B1084" s="2" t="s">
        <v>3563</v>
      </c>
      <c r="C1084" s="2" t="s">
        <v>3526</v>
      </c>
      <c r="D1084" s="2" t="s">
        <v>3527</v>
      </c>
      <c r="E1084" s="2" t="s">
        <v>3564</v>
      </c>
      <c r="F1084" s="2" t="s">
        <v>3565</v>
      </c>
      <c r="G1084" s="2" t="s">
        <v>901</v>
      </c>
      <c r="H1084" s="7"/>
      <c r="I1084" s="2" t="s">
        <v>9</v>
      </c>
      <c r="K1084" t="e">
        <v>#N/A</v>
      </c>
      <c r="L1084" s="2" t="s">
        <v>8581</v>
      </c>
      <c r="M1084" t="s">
        <v>8123</v>
      </c>
      <c r="N1084" s="4"/>
    </row>
    <row r="1085" spans="1:14" ht="52" x14ac:dyDescent="0.3">
      <c r="A1085" s="1" t="str">
        <f>HYPERLINK("https://ipmanager.doe.gov/IPManager//ExternalLink.aspx?6ibkph2k9yi6F%2B0Vz7YoTjnDGhmGHGI78qV%2BWQC3i4Q%3D","Link")</f>
        <v>Link</v>
      </c>
      <c r="B1085" s="2" t="s">
        <v>3571</v>
      </c>
      <c r="C1085" s="2" t="s">
        <v>3526</v>
      </c>
      <c r="D1085" s="2" t="s">
        <v>3527</v>
      </c>
      <c r="E1085" s="2" t="s">
        <v>3572</v>
      </c>
      <c r="F1085" s="2" t="s">
        <v>3573</v>
      </c>
      <c r="G1085" s="2" t="s">
        <v>3574</v>
      </c>
      <c r="H1085" s="7"/>
      <c r="I1085" s="2" t="s">
        <v>9</v>
      </c>
      <c r="K1085" t="e">
        <v>#N/A</v>
      </c>
      <c r="L1085" s="2" t="s">
        <v>8581</v>
      </c>
      <c r="M1085" t="s">
        <v>8123</v>
      </c>
      <c r="N1085" s="4"/>
    </row>
    <row r="1086" spans="1:14" ht="39" x14ac:dyDescent="0.3">
      <c r="A1086" s="1" t="str">
        <f>HYPERLINK("https://ipmanager.doe.gov/IPManager//ExternalLink.aspx?6ibkph2k9yi6F%2B0Vz7YoTq6RR9BlGHHijzl1r1wTDV0%3D","Link")</f>
        <v>Link</v>
      </c>
      <c r="B1086" s="2" t="s">
        <v>3596</v>
      </c>
      <c r="C1086" s="2" t="s">
        <v>3582</v>
      </c>
      <c r="D1086" s="2" t="s">
        <v>3583</v>
      </c>
      <c r="E1086" s="2" t="s">
        <v>3584</v>
      </c>
      <c r="F1086" s="2"/>
      <c r="G1086" s="2" t="s">
        <v>9</v>
      </c>
      <c r="H1086" s="7"/>
      <c r="I1086" s="2" t="s">
        <v>9</v>
      </c>
      <c r="K1086" t="e">
        <v>#N/A</v>
      </c>
      <c r="L1086" s="2" t="s">
        <v>8582</v>
      </c>
      <c r="M1086" t="s">
        <v>8124</v>
      </c>
      <c r="N1086" s="4"/>
    </row>
    <row r="1087" spans="1:14" ht="39" x14ac:dyDescent="0.3">
      <c r="A1087" s="1" t="str">
        <f>HYPERLINK("https://ipmanager.doe.gov/IPManager//ExternalLink.aspx?6ibkph2k9yi6F%2B0Vz7YoTipZ798QK%2BbPuwn1cBnCN9U%3D","Link")</f>
        <v>Link</v>
      </c>
      <c r="B1087" s="2" t="s">
        <v>3606</v>
      </c>
      <c r="C1087" s="2" t="s">
        <v>3582</v>
      </c>
      <c r="D1087" s="2" t="s">
        <v>3583</v>
      </c>
      <c r="E1087" s="2" t="s">
        <v>3607</v>
      </c>
      <c r="F1087" s="2"/>
      <c r="G1087" s="2" t="s">
        <v>9</v>
      </c>
      <c r="H1087" s="7"/>
      <c r="I1087" s="2" t="s">
        <v>9</v>
      </c>
      <c r="K1087" t="e">
        <v>#N/A</v>
      </c>
      <c r="L1087" s="2" t="s">
        <v>8582</v>
      </c>
      <c r="M1087" t="s">
        <v>8124</v>
      </c>
      <c r="N1087" s="4"/>
    </row>
    <row r="1088" spans="1:14" ht="39" x14ac:dyDescent="0.3">
      <c r="A1088" s="1" t="str">
        <f>HYPERLINK("https://ipmanager.doe.gov/IPManager//ExternalLink.aspx?6ibkph2k9yi6F%2B0Vz7YoTipZ798QK%2BbPkmpCMNwUOOs%3D","Link")</f>
        <v>Link</v>
      </c>
      <c r="B1088" s="2" t="s">
        <v>3581</v>
      </c>
      <c r="C1088" s="2" t="s">
        <v>3582</v>
      </c>
      <c r="D1088" s="2" t="s">
        <v>3583</v>
      </c>
      <c r="E1088" s="2" t="s">
        <v>3584</v>
      </c>
      <c r="F1088" s="2" t="s">
        <v>3585</v>
      </c>
      <c r="G1088" s="2" t="s">
        <v>1313</v>
      </c>
      <c r="H1088" s="2"/>
      <c r="I1088" s="2" t="s">
        <v>9</v>
      </c>
      <c r="K1088" t="e">
        <v>#N/A</v>
      </c>
      <c r="L1088" s="2" t="s">
        <v>8582</v>
      </c>
      <c r="M1088" t="s">
        <v>8124</v>
      </c>
      <c r="N1088" s="4"/>
    </row>
    <row r="1089" spans="1:14" ht="52" x14ac:dyDescent="0.3">
      <c r="A1089" s="1" t="str">
        <f>HYPERLINK("https://ipmanager.doe.gov/IPManager//ExternalLink.aspx?6ibkph2k9yi6F%2B0Vz7YoTipZ798QK%2BbP6PGh8AXSj74%3D","Link")</f>
        <v>Link</v>
      </c>
      <c r="B1089" s="2" t="s">
        <v>3586</v>
      </c>
      <c r="C1089" s="2" t="s">
        <v>3582</v>
      </c>
      <c r="D1089" s="2" t="s">
        <v>3583</v>
      </c>
      <c r="E1089" s="2" t="s">
        <v>3587</v>
      </c>
      <c r="F1089" s="2" t="s">
        <v>3588</v>
      </c>
      <c r="G1089" s="2" t="s">
        <v>3589</v>
      </c>
      <c r="H1089" s="2"/>
      <c r="I1089" s="2" t="s">
        <v>9</v>
      </c>
      <c r="K1089" t="e">
        <v>#N/A</v>
      </c>
      <c r="L1089" s="2" t="s">
        <v>8582</v>
      </c>
      <c r="M1089" t="s">
        <v>8124</v>
      </c>
      <c r="N1089" s="4"/>
    </row>
    <row r="1090" spans="1:14" ht="65" x14ac:dyDescent="0.3">
      <c r="A1090" s="1" t="str">
        <f>HYPERLINK("https://ipmanager.doe.gov/IPManager//ExternalLink.aspx?6ibkph2k9yi6F%2B0Vz7YoTipZ798QK%2BbPckOhsBnkcjc%3D","Link")</f>
        <v>Link</v>
      </c>
      <c r="B1090" s="2" t="s">
        <v>3590</v>
      </c>
      <c r="C1090" s="2" t="s">
        <v>3582</v>
      </c>
      <c r="D1090" s="2" t="s">
        <v>3583</v>
      </c>
      <c r="E1090" s="2" t="s">
        <v>3591</v>
      </c>
      <c r="F1090" s="2" t="s">
        <v>3592</v>
      </c>
      <c r="G1090" s="2" t="s">
        <v>3593</v>
      </c>
      <c r="H1090" s="2"/>
      <c r="I1090" s="2" t="s">
        <v>9</v>
      </c>
      <c r="K1090" t="e">
        <v>#N/A</v>
      </c>
      <c r="L1090" s="2" t="s">
        <v>8582</v>
      </c>
      <c r="M1090" t="s">
        <v>8124</v>
      </c>
      <c r="N1090" s="4"/>
    </row>
    <row r="1091" spans="1:14" ht="52" x14ac:dyDescent="0.3">
      <c r="A1091" s="1" t="str">
        <f>HYPERLINK("https://ipmanager.doe.gov/IPManager//ExternalLink.aspx?6ibkph2k9yi6F%2B0Vz7YoTgZwfmYxrNyKKsX9JR9yrO8%3D","Link")</f>
        <v>Link</v>
      </c>
      <c r="B1091" s="2" t="s">
        <v>3594</v>
      </c>
      <c r="C1091" s="2" t="s">
        <v>3582</v>
      </c>
      <c r="D1091" s="2" t="s">
        <v>3583</v>
      </c>
      <c r="E1091" s="2" t="s">
        <v>3587</v>
      </c>
      <c r="F1091" s="2" t="s">
        <v>3595</v>
      </c>
      <c r="G1091" s="2" t="s">
        <v>2790</v>
      </c>
      <c r="H1091" s="2"/>
      <c r="I1091" s="2" t="s">
        <v>9</v>
      </c>
      <c r="J1091" t="s">
        <v>3595</v>
      </c>
      <c r="K1091" t="s">
        <v>7763</v>
      </c>
      <c r="L1091" s="2" t="s">
        <v>8582</v>
      </c>
      <c r="M1091" t="s">
        <v>8124</v>
      </c>
      <c r="N1091" s="4"/>
    </row>
    <row r="1092" spans="1:14" ht="65" x14ac:dyDescent="0.3">
      <c r="A1092" s="1" t="str">
        <f>HYPERLINK("https://ipmanager.doe.gov/IPManager//ExternalLink.aspx?6ibkph2k9yi6F%2B0Vz7YoTvPUg%2FVZPl3i16avejj%2B9iQ%3D","Link")</f>
        <v>Link</v>
      </c>
      <c r="B1092" s="2" t="s">
        <v>3598</v>
      </c>
      <c r="C1092" s="2" t="s">
        <v>3582</v>
      </c>
      <c r="D1092" s="2" t="s">
        <v>3583</v>
      </c>
      <c r="E1092" s="2" t="s">
        <v>3599</v>
      </c>
      <c r="F1092" s="2" t="s">
        <v>3600</v>
      </c>
      <c r="G1092" s="2" t="s">
        <v>3601</v>
      </c>
      <c r="H1092" s="2"/>
      <c r="I1092" s="2" t="s">
        <v>9</v>
      </c>
      <c r="K1092" t="e">
        <v>#N/A</v>
      </c>
      <c r="L1092" s="2" t="s">
        <v>8582</v>
      </c>
      <c r="M1092" t="s">
        <v>8124</v>
      </c>
      <c r="N1092" s="4"/>
    </row>
    <row r="1093" spans="1:14" ht="52" x14ac:dyDescent="0.3">
      <c r="A1093" s="1" t="str">
        <f>HYPERLINK("https://ipmanager.doe.gov/IPManager//ExternalLink.aspx?6ibkph2k9yi6F%2B0Vz7YoTq6RR9BlGHHisgrzo7gGJR8%3D","Link")</f>
        <v>Link</v>
      </c>
      <c r="B1093" s="2" t="s">
        <v>3602</v>
      </c>
      <c r="C1093" s="2" t="s">
        <v>3582</v>
      </c>
      <c r="D1093" s="2" t="s">
        <v>3583</v>
      </c>
      <c r="E1093" s="2" t="s">
        <v>3603</v>
      </c>
      <c r="F1093" s="2" t="s">
        <v>3604</v>
      </c>
      <c r="G1093" s="2" t="s">
        <v>3605</v>
      </c>
      <c r="H1093" s="2"/>
      <c r="I1093" s="2" t="s">
        <v>9</v>
      </c>
      <c r="K1093" t="e">
        <v>#N/A</v>
      </c>
      <c r="L1093" s="2" t="s">
        <v>8582</v>
      </c>
      <c r="M1093" t="s">
        <v>8124</v>
      </c>
      <c r="N1093" s="4"/>
    </row>
    <row r="1094" spans="1:14" ht="52" x14ac:dyDescent="0.3">
      <c r="A1094" s="1" t="str">
        <f>HYPERLINK("https://ipmanager.doe.gov/IPManager//ExternalLink.aspx?6ibkph2k9yi6F%2B0Vz7YoTq6RR9BlGHHijjmGuFgC4xY%3D","Link")</f>
        <v>Link</v>
      </c>
      <c r="B1094" s="2" t="s">
        <v>3608</v>
      </c>
      <c r="C1094" s="2" t="s">
        <v>3609</v>
      </c>
      <c r="D1094" s="2" t="s">
        <v>3610</v>
      </c>
      <c r="E1094" s="2" t="s">
        <v>3611</v>
      </c>
      <c r="F1094" s="2"/>
      <c r="G1094" s="2" t="s">
        <v>9</v>
      </c>
      <c r="H1094" s="7"/>
      <c r="I1094" s="2" t="s">
        <v>9</v>
      </c>
      <c r="K1094" t="e">
        <v>#N/A</v>
      </c>
      <c r="L1094" s="2" t="s">
        <v>8583</v>
      </c>
      <c r="M1094" t="s">
        <v>8125</v>
      </c>
      <c r="N1094" s="4"/>
    </row>
    <row r="1095" spans="1:14" ht="52" x14ac:dyDescent="0.3">
      <c r="A1095" s="1" t="str">
        <f>HYPERLINK("https://ipmanager.doe.gov/IPManager//ExternalLink.aspx?6ibkph2k9yi6F%2B0Vz7YoTo7DPLa3%2F%2FGg0KmvEA%2B9JFk%3D","Link")</f>
        <v>Link</v>
      </c>
      <c r="B1095" s="2" t="s">
        <v>3612</v>
      </c>
      <c r="C1095" s="2" t="s">
        <v>3609</v>
      </c>
      <c r="D1095" s="2" t="s">
        <v>3610</v>
      </c>
      <c r="E1095" s="2" t="s">
        <v>3613</v>
      </c>
      <c r="F1095" s="2" t="s">
        <v>3614</v>
      </c>
      <c r="G1095" s="2" t="s">
        <v>1642</v>
      </c>
      <c r="H1095" s="7"/>
      <c r="I1095" s="2" t="s">
        <v>9</v>
      </c>
      <c r="J1095" t="s">
        <v>7547</v>
      </c>
      <c r="K1095" t="s">
        <v>7928</v>
      </c>
      <c r="L1095" s="2" t="s">
        <v>8583</v>
      </c>
      <c r="M1095" t="s">
        <v>8125</v>
      </c>
      <c r="N1095" s="4"/>
    </row>
    <row r="1096" spans="1:14" ht="52" x14ac:dyDescent="0.3">
      <c r="A1096" s="1" t="str">
        <f>HYPERLINK("https://ipmanager.doe.gov/IPManager//ExternalLink.aspx?6ibkph2k9yi6F%2B0Vz7YoTjnDGhmGHGI7dA1vh1ETLeU%3D","Link")</f>
        <v>Link</v>
      </c>
      <c r="B1096" s="2" t="s">
        <v>3615</v>
      </c>
      <c r="C1096" s="2" t="s">
        <v>3609</v>
      </c>
      <c r="D1096" s="2" t="s">
        <v>3610</v>
      </c>
      <c r="E1096" s="2" t="s">
        <v>3616</v>
      </c>
      <c r="F1096" s="2" t="s">
        <v>3617</v>
      </c>
      <c r="G1096" s="2" t="s">
        <v>3618</v>
      </c>
      <c r="H1096" s="7"/>
      <c r="I1096" s="2" t="s">
        <v>9</v>
      </c>
      <c r="J1096" t="s">
        <v>7548</v>
      </c>
      <c r="K1096" t="s">
        <v>7929</v>
      </c>
      <c r="L1096" s="2" t="s">
        <v>8583</v>
      </c>
      <c r="M1096" t="s">
        <v>8125</v>
      </c>
      <c r="N1096" s="4"/>
    </row>
    <row r="1097" spans="1:14" ht="26" x14ac:dyDescent="0.3">
      <c r="A1097" s="1" t="str">
        <f>HYPERLINK("https://ipmanager.doe.gov/IPManager//ExternalLink.aspx?6ibkph2k9yi6F%2B0Vz7YoTjnDGhmGHGI7vK7XRMmDT18%3D","Link")</f>
        <v>Link</v>
      </c>
      <c r="B1097" s="2" t="s">
        <v>3620</v>
      </c>
      <c r="C1097" s="2" t="s">
        <v>3621</v>
      </c>
      <c r="D1097" s="2" t="s">
        <v>1933</v>
      </c>
      <c r="E1097" s="2" t="s">
        <v>3622</v>
      </c>
      <c r="F1097" s="2" t="s">
        <v>3623</v>
      </c>
      <c r="G1097" s="2" t="s">
        <v>280</v>
      </c>
      <c r="H1097" s="7" t="s">
        <v>3624</v>
      </c>
      <c r="I1097" s="2" t="s">
        <v>2716</v>
      </c>
      <c r="K1097" t="e">
        <v>#N/A</v>
      </c>
      <c r="L1097" s="2" t="s">
        <v>8584</v>
      </c>
      <c r="M1097" t="s">
        <v>8126</v>
      </c>
    </row>
    <row r="1098" spans="1:14" ht="65" x14ac:dyDescent="0.3">
      <c r="A1098" s="1" t="str">
        <f>HYPERLINK("https://ipmanager.doe.gov/IPManager//ExternalLink.aspx?6ibkph2k9yi6F%2B0Vz7YoTlNm8snv%2FZpH5ZwVizAMVVY%3D","Link")</f>
        <v>Link</v>
      </c>
      <c r="B1098" s="2" t="s">
        <v>3626</v>
      </c>
      <c r="C1098" s="2" t="s">
        <v>3621</v>
      </c>
      <c r="D1098" s="2" t="s">
        <v>1933</v>
      </c>
      <c r="E1098" s="2" t="s">
        <v>3627</v>
      </c>
      <c r="F1098" s="2" t="s">
        <v>3628</v>
      </c>
      <c r="G1098" s="2" t="s">
        <v>3629</v>
      </c>
      <c r="H1098" s="7">
        <v>10224579</v>
      </c>
      <c r="I1098" s="2" t="s">
        <v>3631</v>
      </c>
      <c r="J1098" t="s">
        <v>3628</v>
      </c>
      <c r="K1098" t="s">
        <v>7674</v>
      </c>
      <c r="L1098" s="2" t="s">
        <v>8584</v>
      </c>
      <c r="M1098" t="s">
        <v>8126</v>
      </c>
    </row>
    <row r="1099" spans="1:14" ht="26" x14ac:dyDescent="0.3">
      <c r="A1099" s="1" t="str">
        <f>HYPERLINK("https://ipmanager.doe.gov/IPManager//ExternalLink.aspx?6ibkph2k9yi6F%2B0Vz7YoTq6RR9BlGHHiYdoIsbkpeDs%3D","Link")</f>
        <v>Link</v>
      </c>
      <c r="B1099" s="2" t="s">
        <v>3638</v>
      </c>
      <c r="C1099" s="2" t="s">
        <v>3621</v>
      </c>
      <c r="D1099" s="2" t="s">
        <v>1933</v>
      </c>
      <c r="E1099" s="2" t="s">
        <v>3622</v>
      </c>
      <c r="F1099" s="2" t="s">
        <v>3639</v>
      </c>
      <c r="G1099" s="2" t="s">
        <v>280</v>
      </c>
      <c r="H1099" s="7" t="s">
        <v>3640</v>
      </c>
      <c r="I1099" s="2" t="s">
        <v>3641</v>
      </c>
      <c r="K1099" t="e">
        <v>#N/A</v>
      </c>
      <c r="L1099" s="2" t="s">
        <v>8584</v>
      </c>
      <c r="M1099" t="s">
        <v>8126</v>
      </c>
    </row>
    <row r="1100" spans="1:14" ht="78" x14ac:dyDescent="0.3">
      <c r="A1100" s="1" t="str">
        <f>HYPERLINK("https://ipmanager.doe.gov/IPManager//ExternalLink.aspx?6ibkph2k9yi6F%2B0Vz7YoTvE8yjoHgvp6XKcKZslre1E%3D","Link")</f>
        <v>Link</v>
      </c>
      <c r="B1100" s="2" t="s">
        <v>3664</v>
      </c>
      <c r="C1100" s="2" t="s">
        <v>3621</v>
      </c>
      <c r="D1100" s="2" t="s">
        <v>1933</v>
      </c>
      <c r="E1100" s="2" t="s">
        <v>3665</v>
      </c>
      <c r="F1100" s="2"/>
      <c r="G1100" s="2" t="s">
        <v>9</v>
      </c>
      <c r="H1100" s="7"/>
      <c r="I1100" s="2" t="s">
        <v>9</v>
      </c>
      <c r="K1100" t="e">
        <v>#N/A</v>
      </c>
      <c r="L1100" s="2" t="s">
        <v>8584</v>
      </c>
      <c r="M1100" t="s">
        <v>8126</v>
      </c>
      <c r="N1100" s="4"/>
    </row>
    <row r="1101" spans="1:14" ht="52" x14ac:dyDescent="0.3">
      <c r="A1101" s="1" t="str">
        <f>HYPERLINK("https://ipmanager.doe.gov/IPManager//ExternalLink.aspx?6ibkph2k9yi6F%2B0Vz7YoTgZwfmYxrNyKrlAexzNyg0k%3D","Link")</f>
        <v>Link</v>
      </c>
      <c r="B1101" s="2" t="s">
        <v>3667</v>
      </c>
      <c r="C1101" s="2" t="s">
        <v>3621</v>
      </c>
      <c r="D1101" s="2" t="s">
        <v>1933</v>
      </c>
      <c r="E1101" s="2" t="s">
        <v>3668</v>
      </c>
      <c r="F1101" s="2"/>
      <c r="G1101" s="2" t="s">
        <v>9</v>
      </c>
      <c r="H1101" s="7"/>
      <c r="I1101" s="2" t="s">
        <v>9</v>
      </c>
      <c r="K1101" t="e">
        <v>#N/A</v>
      </c>
      <c r="L1101" s="2" t="s">
        <v>8584</v>
      </c>
      <c r="M1101" t="s">
        <v>8126</v>
      </c>
      <c r="N1101" s="4"/>
    </row>
    <row r="1102" spans="1:14" ht="52" x14ac:dyDescent="0.3">
      <c r="A1102" s="1" t="str">
        <f>HYPERLINK("https://ipmanager.doe.gov/IPManager//ExternalLink.aspx?6ibkph2k9yi6F%2B0Vz7YoTgZwfmYxrNyKt5wIjQhJToI%3D","Link")</f>
        <v>Link</v>
      </c>
      <c r="B1102" s="2" t="s">
        <v>3669</v>
      </c>
      <c r="C1102" s="2" t="s">
        <v>3621</v>
      </c>
      <c r="D1102" s="2" t="s">
        <v>1933</v>
      </c>
      <c r="E1102" s="2" t="s">
        <v>3670</v>
      </c>
      <c r="F1102" s="2"/>
      <c r="G1102" s="2" t="s">
        <v>9</v>
      </c>
      <c r="H1102" s="7"/>
      <c r="I1102" s="2" t="s">
        <v>9</v>
      </c>
      <c r="K1102" t="e">
        <v>#N/A</v>
      </c>
      <c r="L1102" s="2" t="s">
        <v>8584</v>
      </c>
      <c r="M1102" t="s">
        <v>8126</v>
      </c>
      <c r="N1102" s="4"/>
    </row>
    <row r="1103" spans="1:14" ht="91" x14ac:dyDescent="0.3">
      <c r="A1103" s="1" t="str">
        <f>HYPERLINK("https://ipmanager.doe.gov/IPManager//ExternalLink.aspx?6ibkph2k9yi6F%2B0Vz7YoTgZwfmYxrNyK9XHwxIKQqtY%3D","Link")</f>
        <v>Link</v>
      </c>
      <c r="B1103" s="2" t="s">
        <v>3671</v>
      </c>
      <c r="C1103" s="2" t="s">
        <v>3621</v>
      </c>
      <c r="D1103" s="2" t="s">
        <v>1933</v>
      </c>
      <c r="E1103" s="2" t="s">
        <v>3672</v>
      </c>
      <c r="F1103" s="2"/>
      <c r="G1103" s="2" t="s">
        <v>9</v>
      </c>
      <c r="H1103" s="7"/>
      <c r="I1103" s="2" t="s">
        <v>9</v>
      </c>
      <c r="K1103" t="e">
        <v>#N/A</v>
      </c>
      <c r="L1103" s="2" t="s">
        <v>8584</v>
      </c>
      <c r="M1103" t="s">
        <v>8126</v>
      </c>
      <c r="N1103" s="4"/>
    </row>
    <row r="1104" spans="1:14" ht="91" x14ac:dyDescent="0.3">
      <c r="A1104" s="1" t="str">
        <f>HYPERLINK("https://ipmanager.doe.gov/IPManager//ExternalLink.aspx?6ibkph2k9yi6F%2B0Vz7YoTgZwfmYxrNyKxjRBWV8aQDU%3D","Link")</f>
        <v>Link</v>
      </c>
      <c r="B1104" s="2" t="s">
        <v>3673</v>
      </c>
      <c r="C1104" s="2" t="s">
        <v>3621</v>
      </c>
      <c r="D1104" s="2" t="s">
        <v>1933</v>
      </c>
      <c r="E1104" s="2" t="s">
        <v>3674</v>
      </c>
      <c r="F1104" s="2"/>
      <c r="G1104" s="2" t="s">
        <v>9</v>
      </c>
      <c r="H1104" s="7"/>
      <c r="I1104" s="2" t="s">
        <v>9</v>
      </c>
      <c r="K1104" t="e">
        <v>#N/A</v>
      </c>
      <c r="L1104" s="2" t="s">
        <v>8584</v>
      </c>
      <c r="M1104" t="s">
        <v>8126</v>
      </c>
      <c r="N1104" s="4"/>
    </row>
    <row r="1105" spans="1:14" ht="39" x14ac:dyDescent="0.3">
      <c r="A1105" s="1" t="str">
        <f>HYPERLINK("https://ipmanager.doe.gov/IPManager//ExternalLink.aspx?6ibkph2k9yi6F%2B0Vz7YoTq6RR9BlGHHiCk803KWvHrU%3D","Link")</f>
        <v>Link</v>
      </c>
      <c r="B1105" s="2" t="s">
        <v>3632</v>
      </c>
      <c r="C1105" s="2" t="s">
        <v>3621</v>
      </c>
      <c r="D1105" s="2" t="s">
        <v>1933</v>
      </c>
      <c r="E1105" s="2" t="s">
        <v>3633</v>
      </c>
      <c r="F1105" s="2" t="s">
        <v>3634</v>
      </c>
      <c r="G1105" s="2" t="s">
        <v>2462</v>
      </c>
      <c r="H1105" s="7"/>
      <c r="I1105" s="2" t="s">
        <v>9</v>
      </c>
      <c r="K1105" t="e">
        <v>#N/A</v>
      </c>
      <c r="L1105" s="2" t="s">
        <v>8584</v>
      </c>
      <c r="M1105" t="s">
        <v>8126</v>
      </c>
      <c r="N1105" s="4"/>
    </row>
    <row r="1106" spans="1:14" ht="26" x14ac:dyDescent="0.3">
      <c r="A1106" s="1" t="str">
        <f>HYPERLINK("https://ipmanager.doe.gov/IPManager//ExternalLink.aspx?6ibkph2k9yi6F%2B0Vz7YoTq6RR9BlGHHi7wcq2%2FBMTFw%3D","Link")</f>
        <v>Link</v>
      </c>
      <c r="B1106" s="2" t="s">
        <v>3635</v>
      </c>
      <c r="C1106" s="2" t="s">
        <v>3621</v>
      </c>
      <c r="D1106" s="2" t="s">
        <v>1933</v>
      </c>
      <c r="E1106" s="2" t="s">
        <v>3636</v>
      </c>
      <c r="F1106" s="2" t="s">
        <v>3637</v>
      </c>
      <c r="G1106" s="2" t="s">
        <v>3198</v>
      </c>
      <c r="H1106" s="7"/>
      <c r="I1106" s="2" t="s">
        <v>9</v>
      </c>
      <c r="K1106" t="e">
        <v>#N/A</v>
      </c>
      <c r="L1106" s="2" t="s">
        <v>8584</v>
      </c>
      <c r="M1106" t="s">
        <v>8126</v>
      </c>
      <c r="N1106" s="4"/>
    </row>
    <row r="1107" spans="1:14" ht="26" x14ac:dyDescent="0.3">
      <c r="A1107" s="1" t="str">
        <f>HYPERLINK("https://ipmanager.doe.gov/IPManager//ExternalLink.aspx?6ibkph2k9yi6F%2B0Vz7YoTq6RR9BlGHHi0TKpGBt98Hg%3D","Link")</f>
        <v>Link</v>
      </c>
      <c r="B1107" s="2" t="s">
        <v>3642</v>
      </c>
      <c r="C1107" s="2" t="s">
        <v>3621</v>
      </c>
      <c r="D1107" s="2" t="s">
        <v>1933</v>
      </c>
      <c r="E1107" s="2" t="s">
        <v>3643</v>
      </c>
      <c r="F1107" s="2" t="s">
        <v>3644</v>
      </c>
      <c r="G1107" s="2" t="s">
        <v>280</v>
      </c>
      <c r="H1107" s="7"/>
      <c r="I1107" s="2" t="s">
        <v>9</v>
      </c>
      <c r="K1107" t="e">
        <v>#N/A</v>
      </c>
      <c r="L1107" s="2" t="s">
        <v>8584</v>
      </c>
      <c r="M1107" t="s">
        <v>8126</v>
      </c>
      <c r="N1107" s="4"/>
    </row>
    <row r="1108" spans="1:14" ht="26" x14ac:dyDescent="0.3">
      <c r="A1108" s="1" t="str">
        <f>HYPERLINK("https://ipmanager.doe.gov/IPManager//ExternalLink.aspx?6ibkph2k9yi6F%2B0Vz7YoTq6RR9BlGHHiIdku%2BEuroK0%3D","Link")</f>
        <v>Link</v>
      </c>
      <c r="B1108" s="2" t="s">
        <v>3645</v>
      </c>
      <c r="C1108" s="2" t="s">
        <v>3621</v>
      </c>
      <c r="D1108" s="2" t="s">
        <v>1933</v>
      </c>
      <c r="E1108" s="2" t="s">
        <v>3622</v>
      </c>
      <c r="F1108" s="2" t="s">
        <v>3646</v>
      </c>
      <c r="G1108" s="2" t="s">
        <v>280</v>
      </c>
      <c r="H1108" s="7"/>
      <c r="I1108" s="2" t="s">
        <v>9</v>
      </c>
      <c r="K1108" t="e">
        <v>#N/A</v>
      </c>
      <c r="L1108" s="2" t="s">
        <v>8584</v>
      </c>
      <c r="M1108" t="s">
        <v>8126</v>
      </c>
      <c r="N1108" s="4"/>
    </row>
    <row r="1109" spans="1:14" ht="26" x14ac:dyDescent="0.3">
      <c r="A1109" s="1" t="str">
        <f>HYPERLINK("https://ipmanager.doe.gov/IPManager//ExternalLink.aspx?6ibkph2k9yi6F%2B0Vz7YoTq6RR9BlGHHi4FUdyrjj4QE%3D","Link")</f>
        <v>Link</v>
      </c>
      <c r="B1109" s="2" t="s">
        <v>3647</v>
      </c>
      <c r="C1109" s="2" t="s">
        <v>3621</v>
      </c>
      <c r="D1109" s="2" t="s">
        <v>1933</v>
      </c>
      <c r="E1109" s="2" t="s">
        <v>3643</v>
      </c>
      <c r="F1109" s="2" t="s">
        <v>3648</v>
      </c>
      <c r="G1109" s="2" t="s">
        <v>3649</v>
      </c>
      <c r="H1109" s="7"/>
      <c r="I1109" s="2" t="s">
        <v>9</v>
      </c>
      <c r="J1109" t="s">
        <v>3648</v>
      </c>
      <c r="K1109" t="s">
        <v>7774</v>
      </c>
      <c r="L1109" s="2" t="s">
        <v>8584</v>
      </c>
      <c r="M1109" t="s">
        <v>8126</v>
      </c>
      <c r="N1109" s="4"/>
    </row>
    <row r="1110" spans="1:14" ht="26" x14ac:dyDescent="0.3">
      <c r="A1110" s="1" t="str">
        <f>HYPERLINK("https://ipmanager.doe.gov/IPManager//ExternalLink.aspx?6ibkph2k9yi6F%2B0Vz7YoTvE8yjoHgvp6vFvlG%2BcdmA8%3D","Link")</f>
        <v>Link</v>
      </c>
      <c r="B1110" s="2" t="s">
        <v>3650</v>
      </c>
      <c r="C1110" s="2" t="s">
        <v>3621</v>
      </c>
      <c r="D1110" s="2" t="s">
        <v>1933</v>
      </c>
      <c r="E1110" s="2" t="s">
        <v>3622</v>
      </c>
      <c r="F1110" s="2" t="s">
        <v>3651</v>
      </c>
      <c r="G1110" s="2" t="s">
        <v>3649</v>
      </c>
      <c r="H1110" s="7"/>
      <c r="I1110" s="2" t="s">
        <v>9</v>
      </c>
      <c r="J1110" t="s">
        <v>3651</v>
      </c>
      <c r="K1110" t="s">
        <v>7725</v>
      </c>
      <c r="L1110" s="2" t="s">
        <v>8584</v>
      </c>
      <c r="M1110" t="s">
        <v>8126</v>
      </c>
      <c r="N1110" s="4"/>
    </row>
    <row r="1111" spans="1:14" ht="26" x14ac:dyDescent="0.3">
      <c r="A1111" s="1" t="str">
        <f>HYPERLINK("https://ipmanager.doe.gov/IPManager//ExternalLink.aspx?6ibkph2k9yi6F%2B0Vz7YoTvE8yjoHgvp6ZLdszBn1VEw%3D","Link")</f>
        <v>Link</v>
      </c>
      <c r="B1111" s="2" t="s">
        <v>3652</v>
      </c>
      <c r="C1111" s="2" t="s">
        <v>3621</v>
      </c>
      <c r="D1111" s="2" t="s">
        <v>1933</v>
      </c>
      <c r="E1111" s="2" t="s">
        <v>3622</v>
      </c>
      <c r="F1111" s="2" t="s">
        <v>3653</v>
      </c>
      <c r="G1111" s="2" t="s">
        <v>280</v>
      </c>
      <c r="H1111" s="7"/>
      <c r="I1111" s="2" t="s">
        <v>9</v>
      </c>
      <c r="K1111" t="e">
        <v>#N/A</v>
      </c>
      <c r="L1111" s="2" t="s">
        <v>8584</v>
      </c>
      <c r="M1111" t="s">
        <v>8126</v>
      </c>
      <c r="N1111" s="4"/>
    </row>
    <row r="1112" spans="1:14" ht="26" x14ac:dyDescent="0.3">
      <c r="A1112" s="1" t="str">
        <f>HYPERLINK("https://ipmanager.doe.gov/IPManager//ExternalLink.aspx?6ibkph2k9yi6F%2B0Vz7YoTvE8yjoHgvp6av3ALSMBVdg%3D","Link")</f>
        <v>Link</v>
      </c>
      <c r="B1112" s="2" t="s">
        <v>3654</v>
      </c>
      <c r="C1112" s="2" t="s">
        <v>3621</v>
      </c>
      <c r="D1112" s="2" t="s">
        <v>1933</v>
      </c>
      <c r="E1112" s="2" t="s">
        <v>3622</v>
      </c>
      <c r="F1112" s="2" t="s">
        <v>3655</v>
      </c>
      <c r="G1112" s="2" t="s">
        <v>3649</v>
      </c>
      <c r="H1112" s="7"/>
      <c r="I1112" s="2" t="s">
        <v>9</v>
      </c>
      <c r="J1112" t="s">
        <v>3655</v>
      </c>
      <c r="K1112" t="s">
        <v>7726</v>
      </c>
      <c r="L1112" s="2" t="s">
        <v>8584</v>
      </c>
      <c r="M1112" t="s">
        <v>8126</v>
      </c>
      <c r="N1112" s="4"/>
    </row>
    <row r="1113" spans="1:14" ht="39" x14ac:dyDescent="0.3">
      <c r="A1113" s="1" t="str">
        <f>HYPERLINK("https://ipmanager.doe.gov/IPManager//ExternalLink.aspx?6ibkph2k9yi6F%2B0Vz7YoTvE8yjoHgvp6xba6pIh3Ego%3D","Link")</f>
        <v>Link</v>
      </c>
      <c r="B1113" s="2" t="s">
        <v>3656</v>
      </c>
      <c r="C1113" s="2" t="s">
        <v>3621</v>
      </c>
      <c r="D1113" s="2" t="s">
        <v>1933</v>
      </c>
      <c r="E1113" s="2" t="s">
        <v>3633</v>
      </c>
      <c r="F1113" s="2" t="s">
        <v>3657</v>
      </c>
      <c r="G1113" s="2" t="s">
        <v>3658</v>
      </c>
      <c r="H1113" s="7"/>
      <c r="I1113" s="2" t="s">
        <v>9</v>
      </c>
      <c r="J1113" t="s">
        <v>3657</v>
      </c>
      <c r="K1113" t="s">
        <v>7775</v>
      </c>
      <c r="L1113" s="2" t="s">
        <v>8584</v>
      </c>
      <c r="M1113" t="s">
        <v>8126</v>
      </c>
      <c r="N1113" s="4"/>
    </row>
    <row r="1114" spans="1:14" ht="26" x14ac:dyDescent="0.3">
      <c r="A1114" s="1" t="str">
        <f>HYPERLINK("https://ipmanager.doe.gov/IPManager//ExternalLink.aspx?6ibkph2k9yi6F%2B0Vz7YoTvE8yjoHgvp6u4ECJTu47yg%3D","Link")</f>
        <v>Link</v>
      </c>
      <c r="B1114" s="2" t="s">
        <v>3659</v>
      </c>
      <c r="C1114" s="2" t="s">
        <v>3621</v>
      </c>
      <c r="D1114" s="2" t="s">
        <v>1933</v>
      </c>
      <c r="E1114" s="2" t="s">
        <v>3636</v>
      </c>
      <c r="F1114" s="2" t="s">
        <v>3660</v>
      </c>
      <c r="G1114" s="2" t="s">
        <v>3661</v>
      </c>
      <c r="H1114" s="7"/>
      <c r="I1114" s="2" t="s">
        <v>9</v>
      </c>
      <c r="K1114" t="e">
        <v>#N/A</v>
      </c>
      <c r="L1114" s="2" t="s">
        <v>8584</v>
      </c>
      <c r="M1114" t="s">
        <v>8126</v>
      </c>
      <c r="N1114" s="4"/>
    </row>
    <row r="1115" spans="1:14" ht="65" x14ac:dyDescent="0.3">
      <c r="A1115" s="1" t="str">
        <f>HYPERLINK("https://ipmanager.doe.gov/IPManager//ExternalLink.aspx?6ibkph2k9yi6F%2B0Vz7YoTvE8yjoHgvp6liVpUTK8jy8%3D","Link")</f>
        <v>Link</v>
      </c>
      <c r="B1115" s="2" t="s">
        <v>3662</v>
      </c>
      <c r="C1115" s="2" t="s">
        <v>3621</v>
      </c>
      <c r="D1115" s="2" t="s">
        <v>1933</v>
      </c>
      <c r="E1115" s="2" t="s">
        <v>3627</v>
      </c>
      <c r="F1115" s="2" t="s">
        <v>3663</v>
      </c>
      <c r="G1115" s="2" t="s">
        <v>9</v>
      </c>
      <c r="H1115" s="7"/>
      <c r="I1115" s="2" t="s">
        <v>9</v>
      </c>
      <c r="K1115" t="e">
        <v>#N/A</v>
      </c>
      <c r="L1115" s="2" t="s">
        <v>8584</v>
      </c>
      <c r="M1115" t="s">
        <v>8126</v>
      </c>
      <c r="N1115" s="4"/>
    </row>
    <row r="1116" spans="1:14" ht="91" x14ac:dyDescent="0.3">
      <c r="A1116" s="1" t="str">
        <f>HYPERLINK("https://ipmanager.doe.gov/IPManager//ExternalLink.aspx?6ibkph2k9yi6F%2B0Vz7YoTgZwfmYxrNyKqt3sxMVQWeQ%3D","Link")</f>
        <v>Link</v>
      </c>
      <c r="B1116" s="2" t="s">
        <v>3675</v>
      </c>
      <c r="C1116" s="2" t="s">
        <v>3676</v>
      </c>
      <c r="D1116" s="2" t="s">
        <v>3238</v>
      </c>
      <c r="E1116" s="2" t="s">
        <v>3677</v>
      </c>
      <c r="F1116" s="2"/>
      <c r="G1116" s="2" t="s">
        <v>9</v>
      </c>
      <c r="H1116" s="7"/>
      <c r="I1116" s="2" t="s">
        <v>9</v>
      </c>
      <c r="K1116" t="e">
        <v>#N/A</v>
      </c>
      <c r="L1116" s="2" t="s">
        <v>8585</v>
      </c>
      <c r="M1116" t="s">
        <v>8127</v>
      </c>
      <c r="N1116" s="4"/>
    </row>
    <row r="1117" spans="1:14" ht="26" x14ac:dyDescent="0.3">
      <c r="A1117" s="1" t="str">
        <f>HYPERLINK("https://ipmanager.doe.gov/IPManager//ExternalLink.aspx?6ibkph2k9yi6F%2B0Vz7YoTgZwfmYxrNyKpjfooU85N90%3D","Link")</f>
        <v>Link</v>
      </c>
      <c r="B1117" s="2" t="s">
        <v>3678</v>
      </c>
      <c r="C1117" s="2" t="s">
        <v>3676</v>
      </c>
      <c r="D1117" s="2" t="s">
        <v>3238</v>
      </c>
      <c r="E1117" s="2" t="s">
        <v>3679</v>
      </c>
      <c r="F1117" s="2"/>
      <c r="G1117" s="2" t="s">
        <v>9</v>
      </c>
      <c r="H1117" s="7"/>
      <c r="I1117" s="2" t="s">
        <v>9</v>
      </c>
      <c r="K1117" t="e">
        <v>#N/A</v>
      </c>
      <c r="L1117" s="2" t="s">
        <v>8585</v>
      </c>
      <c r="M1117" t="s">
        <v>8127</v>
      </c>
      <c r="N1117" s="4"/>
    </row>
    <row r="1118" spans="1:14" ht="78" x14ac:dyDescent="0.3">
      <c r="A1118" s="1" t="str">
        <f>HYPERLINK("https://ipmanager.doe.gov/IPManager//ExternalLink.aspx?6ibkph2k9yi6F%2B0Vz7YoTgZwfmYxrNyK9LpYdV1iS20%3D","Link")</f>
        <v>Link</v>
      </c>
      <c r="B1118" s="2" t="s">
        <v>3680</v>
      </c>
      <c r="C1118" s="2" t="s">
        <v>3676</v>
      </c>
      <c r="D1118" s="2" t="s">
        <v>3238</v>
      </c>
      <c r="E1118" s="2" t="s">
        <v>3681</v>
      </c>
      <c r="F1118" s="2"/>
      <c r="G1118" s="2" t="s">
        <v>9</v>
      </c>
      <c r="H1118" s="7"/>
      <c r="I1118" s="2" t="s">
        <v>9</v>
      </c>
      <c r="K1118" t="e">
        <v>#N/A</v>
      </c>
      <c r="L1118" s="2" t="s">
        <v>8585</v>
      </c>
      <c r="M1118" t="s">
        <v>8127</v>
      </c>
      <c r="N1118" s="4"/>
    </row>
    <row r="1119" spans="1:14" ht="26" x14ac:dyDescent="0.3">
      <c r="A1119" s="1" t="str">
        <f>HYPERLINK("https://ipmanager.doe.gov/IPManager//ExternalLink.aspx?6ibkph2k9yi6F%2B0Vz7YoTgZwfmYxrNyK3vvm6gO5WHE%3D","Link")</f>
        <v>Link</v>
      </c>
      <c r="B1119" s="2" t="s">
        <v>3682</v>
      </c>
      <c r="C1119" s="2" t="s">
        <v>3676</v>
      </c>
      <c r="D1119" s="2" t="s">
        <v>3238</v>
      </c>
      <c r="E1119" s="2" t="s">
        <v>3683</v>
      </c>
      <c r="F1119" s="2"/>
      <c r="G1119" s="2" t="s">
        <v>9</v>
      </c>
      <c r="H1119" s="7"/>
      <c r="I1119" s="2" t="s">
        <v>9</v>
      </c>
      <c r="K1119" t="e">
        <v>#N/A</v>
      </c>
      <c r="L1119" s="2" t="s">
        <v>8585</v>
      </c>
      <c r="M1119" t="s">
        <v>8127</v>
      </c>
      <c r="N1119" s="4"/>
    </row>
    <row r="1120" spans="1:14" ht="39" x14ac:dyDescent="0.3">
      <c r="A1120" s="1" t="str">
        <f>HYPERLINK("https://ipmanager.doe.gov/IPManager//ExternalLink.aspx?6ibkph2k9yi6F%2B0Vz7YoTjnDGhmGHGI7NTNBwZqkdNs%3D","Link")</f>
        <v>Link</v>
      </c>
      <c r="B1120" s="2" t="s">
        <v>3684</v>
      </c>
      <c r="C1120" s="2" t="s">
        <v>3676</v>
      </c>
      <c r="D1120" s="2" t="s">
        <v>3238</v>
      </c>
      <c r="E1120" s="2" t="s">
        <v>3685</v>
      </c>
      <c r="F1120" s="2"/>
      <c r="G1120" s="2" t="s">
        <v>9</v>
      </c>
      <c r="H1120" s="7"/>
      <c r="I1120" s="2" t="s">
        <v>9</v>
      </c>
      <c r="K1120" t="e">
        <v>#N/A</v>
      </c>
      <c r="L1120" s="2" t="s">
        <v>8585</v>
      </c>
      <c r="M1120" t="s">
        <v>8127</v>
      </c>
      <c r="N1120" s="4"/>
    </row>
    <row r="1121" spans="1:14" ht="39" x14ac:dyDescent="0.3">
      <c r="A1121" s="1" t="str">
        <f>HYPERLINK("https://ipmanager.doe.gov/IPManager//ExternalLink.aspx?6ibkph2k9yi6F%2B0Vz7YoTjnDGhmGHGI7N8WJwDtozFQ%3D","Link")</f>
        <v>Link</v>
      </c>
      <c r="B1121" s="2" t="s">
        <v>3687</v>
      </c>
      <c r="C1121" s="2" t="s">
        <v>3688</v>
      </c>
      <c r="D1121" s="2" t="s">
        <v>3689</v>
      </c>
      <c r="E1121" s="2" t="s">
        <v>3690</v>
      </c>
      <c r="F1121" s="2"/>
      <c r="G1121" s="2" t="s">
        <v>9</v>
      </c>
      <c r="H1121" s="7"/>
      <c r="I1121" s="2" t="s">
        <v>9</v>
      </c>
      <c r="K1121" t="e">
        <v>#N/A</v>
      </c>
      <c r="L1121" s="2" t="s">
        <v>8586</v>
      </c>
      <c r="M1121" t="s">
        <v>8128</v>
      </c>
      <c r="N1121" s="4"/>
    </row>
    <row r="1122" spans="1:14" ht="52" x14ac:dyDescent="0.3">
      <c r="A1122" s="1" t="str">
        <f>HYPERLINK("https://ipmanager.doe.gov/IPManager//ExternalLink.aspx?6ibkph2k9yi6F%2B0Vz7YoTk2BI6w%2FjZ2fYvdSIGK0SAY%3D","Link")</f>
        <v>Link</v>
      </c>
      <c r="B1122" s="2" t="s">
        <v>3691</v>
      </c>
      <c r="C1122" s="2" t="s">
        <v>3688</v>
      </c>
      <c r="D1122" s="2" t="s">
        <v>3689</v>
      </c>
      <c r="E1122" s="2" t="s">
        <v>3692</v>
      </c>
      <c r="F1122" s="2"/>
      <c r="G1122" s="2" t="s">
        <v>9</v>
      </c>
      <c r="H1122" s="7"/>
      <c r="I1122" s="2" t="s">
        <v>9</v>
      </c>
      <c r="K1122" t="e">
        <v>#N/A</v>
      </c>
      <c r="L1122" s="2" t="s">
        <v>8586</v>
      </c>
      <c r="M1122" t="s">
        <v>8128</v>
      </c>
      <c r="N1122" s="4"/>
    </row>
    <row r="1123" spans="1:14" ht="78" x14ac:dyDescent="0.3">
      <c r="A1123" s="1" t="str">
        <f>HYPERLINK("https://ipmanager.doe.gov/IPManager//ExternalLink.aspx?6ibkph2k9yi6F%2B0Vz7YoTlNm8snv%2FZpHrWv693PsrFw%3D","Link")</f>
        <v>Link</v>
      </c>
      <c r="B1123" s="2" t="s">
        <v>3693</v>
      </c>
      <c r="C1123" s="2" t="s">
        <v>3694</v>
      </c>
      <c r="D1123" s="2" t="s">
        <v>1474</v>
      </c>
      <c r="E1123" s="2" t="s">
        <v>3695</v>
      </c>
      <c r="F1123" s="2" t="s">
        <v>7638</v>
      </c>
      <c r="G1123" s="2" t="s">
        <v>3696</v>
      </c>
      <c r="H1123" s="8">
        <v>9643159</v>
      </c>
      <c r="I1123" s="2" t="s">
        <v>3697</v>
      </c>
      <c r="K1123" t="e">
        <v>#N/A</v>
      </c>
      <c r="L1123" s="2" t="s">
        <v>8587</v>
      </c>
      <c r="M1123" t="s">
        <v>8129</v>
      </c>
    </row>
    <row r="1124" spans="1:14" ht="39" x14ac:dyDescent="0.3">
      <c r="A1124" s="1" t="str">
        <f>HYPERLINK("https://ipmanager.doe.gov/IPManager//ExternalLink.aspx?6ibkph2k9yi6F%2B0Vz7YoTipZ798QK%2BbPqiiu%2FhQbpKg%3D","Link")</f>
        <v>Link</v>
      </c>
      <c r="B1124" s="2" t="s">
        <v>3698</v>
      </c>
      <c r="C1124" s="2" t="s">
        <v>3694</v>
      </c>
      <c r="D1124" s="2" t="s">
        <v>1474</v>
      </c>
      <c r="E1124" s="2" t="s">
        <v>3699</v>
      </c>
      <c r="F1124" s="2" t="s">
        <v>3700</v>
      </c>
      <c r="G1124" s="2" t="s">
        <v>3701</v>
      </c>
      <c r="H1124" s="7"/>
      <c r="I1124" s="2" t="s">
        <v>9</v>
      </c>
      <c r="K1124" t="e">
        <v>#N/A</v>
      </c>
      <c r="L1124" s="2" t="s">
        <v>8587</v>
      </c>
      <c r="M1124" t="s">
        <v>8129</v>
      </c>
      <c r="N1124" s="4"/>
    </row>
    <row r="1125" spans="1:14" ht="39" x14ac:dyDescent="0.3">
      <c r="A1125" s="1" t="str">
        <f>HYPERLINK("https://ipmanager.doe.gov/IPManager//ExternalLink.aspx?6ibkph2k9yi6F%2B0Vz7YoTipZ798QK%2BbPiHkXVrRGvK8%3D","Link")</f>
        <v>Link</v>
      </c>
      <c r="B1125" s="2" t="s">
        <v>3702</v>
      </c>
      <c r="C1125" s="2" t="s">
        <v>3694</v>
      </c>
      <c r="D1125" s="2" t="s">
        <v>1474</v>
      </c>
      <c r="E1125" s="2" t="s">
        <v>3699</v>
      </c>
      <c r="F1125" s="2" t="s">
        <v>3703</v>
      </c>
      <c r="G1125" s="2" t="s">
        <v>3704</v>
      </c>
      <c r="H1125" s="7"/>
      <c r="I1125" s="2" t="s">
        <v>9</v>
      </c>
      <c r="J1125" t="s">
        <v>3703</v>
      </c>
      <c r="K1125" t="s">
        <v>7930</v>
      </c>
      <c r="L1125" s="2" t="s">
        <v>8587</v>
      </c>
      <c r="M1125" t="s">
        <v>8129</v>
      </c>
      <c r="N1125" s="4"/>
    </row>
    <row r="1126" spans="1:14" ht="39" x14ac:dyDescent="0.3">
      <c r="A1126" s="1" t="str">
        <f>HYPERLINK("https://ipmanager.doe.gov/IPManager//ExternalLink.aspx?6ibkph2k9yi6F%2B0Vz7YoTr7J5I%2BY4foY%2F0QZLZ28AuQ%3D","Link")</f>
        <v>Link</v>
      </c>
      <c r="B1126" s="2" t="s">
        <v>3705</v>
      </c>
      <c r="C1126" s="2" t="s">
        <v>3706</v>
      </c>
      <c r="D1126" s="2" t="s">
        <v>3707</v>
      </c>
      <c r="E1126" s="2" t="s">
        <v>3708</v>
      </c>
      <c r="F1126" s="2" t="s">
        <v>3709</v>
      </c>
      <c r="G1126" s="2" t="s">
        <v>1478</v>
      </c>
      <c r="H1126" s="7"/>
      <c r="I1126" s="2" t="s">
        <v>9</v>
      </c>
      <c r="J1126" t="s">
        <v>7549</v>
      </c>
      <c r="K1126" t="s">
        <v>7931</v>
      </c>
      <c r="L1126" s="2" t="s">
        <v>8588</v>
      </c>
      <c r="M1126" t="s">
        <v>8130</v>
      </c>
      <c r="N1126" s="4"/>
    </row>
    <row r="1127" spans="1:14" ht="26" x14ac:dyDescent="0.3">
      <c r="A1127" s="1" t="str">
        <f>HYPERLINK("https://ipmanager.doe.gov/IPManager//ExternalLink.aspx?6ibkph2k9yi6F%2B0Vz7YoTvPUg%2FVZPl3ivxYAsouOnH4%3D","Link")</f>
        <v>Link</v>
      </c>
      <c r="B1127" s="2" t="s">
        <v>3710</v>
      </c>
      <c r="C1127" s="2" t="s">
        <v>3706</v>
      </c>
      <c r="D1127" s="2" t="s">
        <v>1793</v>
      </c>
      <c r="E1127" s="2" t="s">
        <v>3711</v>
      </c>
      <c r="F1127" s="2"/>
      <c r="G1127" s="2" t="s">
        <v>9</v>
      </c>
      <c r="H1127" s="7"/>
      <c r="I1127" s="2" t="s">
        <v>9</v>
      </c>
      <c r="K1127" t="e">
        <v>#N/A</v>
      </c>
      <c r="L1127" s="2" t="s">
        <v>8588</v>
      </c>
      <c r="M1127" t="s">
        <v>8130</v>
      </c>
      <c r="N1127" s="4"/>
    </row>
    <row r="1128" spans="1:14" ht="26" x14ac:dyDescent="0.3">
      <c r="A1128" s="1" t="str">
        <f>HYPERLINK("https://ipmanager.doe.gov/IPManager//ExternalLink.aspx?6ibkph2k9yi6F%2B0Vz7YoTgZwfmYxrNyKK2qUWJ5YaWk%3D","Link")</f>
        <v>Link</v>
      </c>
      <c r="B1128" s="2" t="s">
        <v>3712</v>
      </c>
      <c r="C1128" s="2" t="s">
        <v>3706</v>
      </c>
      <c r="D1128" s="2" t="s">
        <v>1793</v>
      </c>
      <c r="E1128" s="2" t="s">
        <v>3713</v>
      </c>
      <c r="F1128" s="2"/>
      <c r="G1128" s="2" t="s">
        <v>9</v>
      </c>
      <c r="H1128" s="7"/>
      <c r="I1128" s="2" t="s">
        <v>9</v>
      </c>
      <c r="K1128" t="e">
        <v>#N/A</v>
      </c>
      <c r="L1128" s="2" t="s">
        <v>8588</v>
      </c>
      <c r="M1128" t="s">
        <v>8130</v>
      </c>
      <c r="N1128" s="4"/>
    </row>
    <row r="1129" spans="1:14" ht="65" x14ac:dyDescent="0.3">
      <c r="A1129" s="1" t="str">
        <f>HYPERLINK("https://ipmanager.doe.gov/IPManager//ExternalLink.aspx?6ibkph2k9yi6F%2B0Vz7YoTq6RR9BlGHHisX2vSOQhRmI%3D","Link")</f>
        <v>Link</v>
      </c>
      <c r="B1129" s="2" t="s">
        <v>3714</v>
      </c>
      <c r="C1129" s="2" t="s">
        <v>3706</v>
      </c>
      <c r="D1129" s="2" t="s">
        <v>3707</v>
      </c>
      <c r="E1129" s="2" t="s">
        <v>3715</v>
      </c>
      <c r="F1129" s="2" t="s">
        <v>3716</v>
      </c>
      <c r="G1129" s="2" t="s">
        <v>584</v>
      </c>
      <c r="H1129" s="7"/>
      <c r="I1129" s="2" t="s">
        <v>9</v>
      </c>
      <c r="J1129" t="s">
        <v>7550</v>
      </c>
      <c r="K1129" t="s">
        <v>7932</v>
      </c>
      <c r="L1129" s="2" t="s">
        <v>8588</v>
      </c>
      <c r="M1129" t="s">
        <v>8130</v>
      </c>
      <c r="N1129" s="4"/>
    </row>
    <row r="1130" spans="1:14" ht="26" x14ac:dyDescent="0.3">
      <c r="A1130" s="1" t="str">
        <f>HYPERLINK("https://ipmanager.doe.gov/IPManager//ExternalLink.aspx?6ibkph2k9yi6F%2B0Vz7YoTr7J5I%2BY4foYQ1gXQnZ5cB0%3D","Link")</f>
        <v>Link</v>
      </c>
      <c r="B1130" s="2" t="s">
        <v>3727</v>
      </c>
      <c r="C1130" s="2" t="s">
        <v>3718</v>
      </c>
      <c r="D1130" s="2" t="s">
        <v>3719</v>
      </c>
      <c r="E1130" s="2" t="s">
        <v>3728</v>
      </c>
      <c r="F1130" s="2" t="s">
        <v>3729</v>
      </c>
      <c r="G1130" s="2" t="s">
        <v>1357</v>
      </c>
      <c r="H1130" s="7"/>
      <c r="I1130" s="2" t="s">
        <v>9</v>
      </c>
      <c r="K1130" t="e">
        <v>#N/A</v>
      </c>
      <c r="L1130" s="2" t="s">
        <v>8589</v>
      </c>
      <c r="M1130" t="s">
        <v>8131</v>
      </c>
      <c r="N1130" s="4"/>
    </row>
    <row r="1131" spans="1:14" ht="39" x14ac:dyDescent="0.3">
      <c r="A1131" s="1" t="str">
        <f>HYPERLINK("https://ipmanager.doe.gov/IPManager//ExternalLink.aspx?6ibkph2k9yi6F%2B0Vz7YoTq6RR9BlGHHiEohX3C1Qdjk%3D","Link")</f>
        <v>Link</v>
      </c>
      <c r="B1131" s="2" t="s">
        <v>3717</v>
      </c>
      <c r="C1131" s="2" t="s">
        <v>3718</v>
      </c>
      <c r="D1131" s="2" t="s">
        <v>3719</v>
      </c>
      <c r="E1131" s="2" t="s">
        <v>3720</v>
      </c>
      <c r="F1131" s="2"/>
      <c r="G1131" s="2" t="s">
        <v>9</v>
      </c>
      <c r="H1131" s="7"/>
      <c r="I1131" s="2" t="s">
        <v>9</v>
      </c>
      <c r="K1131" t="e">
        <v>#N/A</v>
      </c>
      <c r="L1131" s="2" t="s">
        <v>8589</v>
      </c>
      <c r="M1131" t="s">
        <v>8131</v>
      </c>
      <c r="N1131" s="4"/>
    </row>
    <row r="1132" spans="1:14" ht="39" x14ac:dyDescent="0.3">
      <c r="A1132" s="1" t="str">
        <f>HYPERLINK("https://ipmanager.doe.gov/IPManager//ExternalLink.aspx?6ibkph2k9yi6F%2B0Vz7YoTgZwfmYxrNyKJAqi7s%2B9GD8%3D","Link")</f>
        <v>Link</v>
      </c>
      <c r="B1132" s="2" t="s">
        <v>3722</v>
      </c>
      <c r="C1132" s="2" t="s">
        <v>3718</v>
      </c>
      <c r="D1132" s="2" t="s">
        <v>3719</v>
      </c>
      <c r="E1132" s="2" t="s">
        <v>3723</v>
      </c>
      <c r="F1132" s="2"/>
      <c r="G1132" s="2" t="s">
        <v>9</v>
      </c>
      <c r="H1132" s="7"/>
      <c r="I1132" s="2" t="s">
        <v>9</v>
      </c>
      <c r="K1132" t="e">
        <v>#N/A</v>
      </c>
      <c r="L1132" s="2" t="s">
        <v>8589</v>
      </c>
      <c r="M1132" t="s">
        <v>8131</v>
      </c>
      <c r="N1132" s="4"/>
    </row>
    <row r="1133" spans="1:14" ht="39" x14ac:dyDescent="0.3">
      <c r="A1133" s="1" t="str">
        <f>HYPERLINK("https://ipmanager.doe.gov/IPManager//ExternalLink.aspx?6ibkph2k9yi6F%2B0Vz7YoTr7J5I%2BY4foYkdqv9dlh8rw%3D","Link")</f>
        <v>Link</v>
      </c>
      <c r="B1133" s="2" t="s">
        <v>3724</v>
      </c>
      <c r="C1133" s="2" t="s">
        <v>3718</v>
      </c>
      <c r="D1133" s="2" t="s">
        <v>3719</v>
      </c>
      <c r="E1133" s="2" t="s">
        <v>3725</v>
      </c>
      <c r="F1133" s="2" t="s">
        <v>3726</v>
      </c>
      <c r="G1133" s="2" t="s">
        <v>1357</v>
      </c>
      <c r="H1133" s="7"/>
      <c r="I1133" s="2" t="s">
        <v>9</v>
      </c>
      <c r="J1133" t="s">
        <v>7551</v>
      </c>
      <c r="K1133" t="s">
        <v>7933</v>
      </c>
      <c r="L1133" s="2" t="s">
        <v>8589</v>
      </c>
      <c r="M1133" t="s">
        <v>8131</v>
      </c>
      <c r="N1133" s="4"/>
    </row>
    <row r="1134" spans="1:14" ht="26" x14ac:dyDescent="0.3">
      <c r="A1134" s="1" t="str">
        <f>HYPERLINK("https://ipmanager.doe.gov/IPManager//ExternalLink.aspx?6ibkph2k9yi6F%2B0Vz7YoTr7J5I%2BY4foYFL2yn%2B5DKlc%3D","Link")</f>
        <v>Link</v>
      </c>
      <c r="B1134" s="2" t="s">
        <v>3730</v>
      </c>
      <c r="C1134" s="2" t="s">
        <v>3718</v>
      </c>
      <c r="D1134" s="2" t="s">
        <v>3719</v>
      </c>
      <c r="E1134" s="2" t="s">
        <v>3731</v>
      </c>
      <c r="F1134" s="2"/>
      <c r="G1134" s="2" t="s">
        <v>9</v>
      </c>
      <c r="H1134" s="7"/>
      <c r="I1134" s="2" t="s">
        <v>9</v>
      </c>
      <c r="K1134" t="e">
        <v>#N/A</v>
      </c>
      <c r="L1134" s="2" t="s">
        <v>8589</v>
      </c>
      <c r="M1134" t="s">
        <v>8131</v>
      </c>
      <c r="N1134" s="4"/>
    </row>
    <row r="1135" spans="1:14" ht="39" x14ac:dyDescent="0.3">
      <c r="A1135" s="1" t="str">
        <f>HYPERLINK("https://ipmanager.doe.gov/IPManager//ExternalLink.aspx?6ibkph2k9yi6F%2B0Vz7YoTr7J5I%2BY4foYYq6gt71uvow%3D","Link")</f>
        <v>Link</v>
      </c>
      <c r="B1135" s="2" t="s">
        <v>3733</v>
      </c>
      <c r="C1135" s="2" t="s">
        <v>3718</v>
      </c>
      <c r="D1135" s="2" t="s">
        <v>3734</v>
      </c>
      <c r="E1135" s="2" t="s">
        <v>3735</v>
      </c>
      <c r="F1135" s="2" t="s">
        <v>3736</v>
      </c>
      <c r="G1135" s="2" t="s">
        <v>3176</v>
      </c>
      <c r="H1135" s="7" t="s">
        <v>3737</v>
      </c>
      <c r="I1135" s="2" t="s">
        <v>3738</v>
      </c>
      <c r="K1135" t="e">
        <v>#N/A</v>
      </c>
      <c r="L1135" s="2" t="s">
        <v>8589</v>
      </c>
      <c r="M1135" t="s">
        <v>8131</v>
      </c>
    </row>
    <row r="1136" spans="1:14" ht="39" x14ac:dyDescent="0.3">
      <c r="A1136" s="1" t="str">
        <f>HYPERLINK("https://ipmanager.doe.gov/IPManager//ExternalLink.aspx?6ibkph2k9yi6F%2B0Vz7YoTr7J5I%2BY4foYW%2Fq1AFWsIwI%3D","Link")</f>
        <v>Link</v>
      </c>
      <c r="B1136" s="2" t="s">
        <v>3739</v>
      </c>
      <c r="C1136" s="2" t="s">
        <v>3718</v>
      </c>
      <c r="D1136" s="2" t="s">
        <v>3734</v>
      </c>
      <c r="E1136" s="2" t="s">
        <v>3740</v>
      </c>
      <c r="F1136" s="2" t="s">
        <v>3741</v>
      </c>
      <c r="G1136" s="2" t="s">
        <v>3742</v>
      </c>
      <c r="H1136" s="7" t="s">
        <v>3743</v>
      </c>
      <c r="I1136" s="2" t="s">
        <v>3386</v>
      </c>
      <c r="K1136" t="e">
        <v>#N/A</v>
      </c>
      <c r="L1136" s="2" t="s">
        <v>8589</v>
      </c>
      <c r="M1136" t="s">
        <v>8131</v>
      </c>
    </row>
    <row r="1137" spans="1:14" ht="65" x14ac:dyDescent="0.3">
      <c r="A1137" s="1" t="str">
        <f>HYPERLINK("https://ipmanager.doe.gov/IPManager//ExternalLink.aspx?6ibkph2k9yi6F%2B0Vz7YoTipZ798QK%2BbPSIVZAyl0vxQ%3D","Link")</f>
        <v>Link</v>
      </c>
      <c r="B1137" s="2" t="s">
        <v>3750</v>
      </c>
      <c r="C1137" s="2" t="s">
        <v>3745</v>
      </c>
      <c r="D1137" s="2" t="s">
        <v>770</v>
      </c>
      <c r="E1137" s="2" t="s">
        <v>3751</v>
      </c>
      <c r="F1137" s="2" t="s">
        <v>3752</v>
      </c>
      <c r="G1137" s="2" t="s">
        <v>3753</v>
      </c>
      <c r="H1137" s="7"/>
      <c r="I1137" s="2" t="s">
        <v>9</v>
      </c>
      <c r="K1137" t="e">
        <v>#N/A</v>
      </c>
      <c r="L1137" s="2" t="s">
        <v>8590</v>
      </c>
      <c r="M1137" t="s">
        <v>8132</v>
      </c>
      <c r="N1137" s="4"/>
    </row>
    <row r="1138" spans="1:14" ht="52" x14ac:dyDescent="0.3">
      <c r="A1138" s="1" t="str">
        <f>HYPERLINK("https://ipmanager.doe.gov/IPManager//ExternalLink.aspx?6ibkph2k9yi6F%2B0Vz7YoTgZwfmYxrNyKX9d1HfKzEZE%3D","Link")</f>
        <v>Link</v>
      </c>
      <c r="B1138" s="2" t="s">
        <v>3760</v>
      </c>
      <c r="C1138" s="2" t="s">
        <v>3745</v>
      </c>
      <c r="D1138" s="2" t="s">
        <v>770</v>
      </c>
      <c r="E1138" s="2" t="s">
        <v>3761</v>
      </c>
      <c r="F1138" s="2" t="s">
        <v>3762</v>
      </c>
      <c r="G1138" s="2" t="s">
        <v>3763</v>
      </c>
      <c r="H1138" s="7"/>
      <c r="I1138" s="2" t="s">
        <v>9</v>
      </c>
      <c r="K1138" t="e">
        <v>#N/A</v>
      </c>
      <c r="L1138" s="2" t="s">
        <v>8590</v>
      </c>
      <c r="M1138" t="s">
        <v>8132</v>
      </c>
      <c r="N1138" s="4"/>
    </row>
    <row r="1139" spans="1:14" ht="65" x14ac:dyDescent="0.3">
      <c r="A1139" s="1" t="str">
        <f>HYPERLINK("https://ipmanager.doe.gov/IPManager//ExternalLink.aspx?6ibkph2k9yi6F%2B0Vz7YoTipZ798QK%2BbP7tAT6RxNcfk%3D","Link")</f>
        <v>Link</v>
      </c>
      <c r="B1139" s="2" t="s">
        <v>3744</v>
      </c>
      <c r="C1139" s="2" t="s">
        <v>3745</v>
      </c>
      <c r="D1139" s="2" t="s">
        <v>770</v>
      </c>
      <c r="E1139" s="2" t="s">
        <v>3746</v>
      </c>
      <c r="F1139" s="2" t="s">
        <v>3747</v>
      </c>
      <c r="G1139" s="2" t="s">
        <v>1668</v>
      </c>
      <c r="H1139" s="7" t="s">
        <v>3748</v>
      </c>
      <c r="I1139" s="2" t="s">
        <v>3749</v>
      </c>
      <c r="K1139" t="e">
        <v>#N/A</v>
      </c>
      <c r="L1139" s="2" t="s">
        <v>8590</v>
      </c>
      <c r="M1139" t="s">
        <v>8132</v>
      </c>
    </row>
    <row r="1140" spans="1:14" ht="65" x14ac:dyDescent="0.3">
      <c r="A1140" s="1" t="str">
        <f>HYPERLINK("https://ipmanager.doe.gov/IPManager//ExternalLink.aspx?6ibkph2k9yi6F%2B0Vz7YoTipZ798QK%2BbP3sJ%2Ftm%2BjAnE%3D","Link")</f>
        <v>Link</v>
      </c>
      <c r="B1140" s="2" t="s">
        <v>3754</v>
      </c>
      <c r="C1140" s="2" t="s">
        <v>3745</v>
      </c>
      <c r="D1140" s="2" t="s">
        <v>770</v>
      </c>
      <c r="E1140" s="2" t="s">
        <v>3755</v>
      </c>
      <c r="F1140" s="2"/>
      <c r="G1140" s="2" t="s">
        <v>9</v>
      </c>
      <c r="H1140" s="7"/>
      <c r="I1140" s="2" t="s">
        <v>9</v>
      </c>
      <c r="K1140" t="e">
        <v>#N/A</v>
      </c>
      <c r="L1140" s="2" t="s">
        <v>8590</v>
      </c>
      <c r="M1140" t="s">
        <v>8132</v>
      </c>
      <c r="N1140" s="4"/>
    </row>
    <row r="1141" spans="1:14" ht="65" x14ac:dyDescent="0.3">
      <c r="A1141" s="1" t="str">
        <f>HYPERLINK("https://ipmanager.doe.gov/IPManager//ExternalLink.aspx?6ibkph2k9yi6F%2B0Vz7YoTr7J5I%2BY4foYhZdL6g%2B2tz4%3D","Link")</f>
        <v>Link</v>
      </c>
      <c r="B1141" s="2" t="s">
        <v>3756</v>
      </c>
      <c r="C1141" s="2" t="s">
        <v>3745</v>
      </c>
      <c r="D1141" s="2" t="s">
        <v>770</v>
      </c>
      <c r="E1141" s="2" t="s">
        <v>3746</v>
      </c>
      <c r="F1141" s="2" t="s">
        <v>3757</v>
      </c>
      <c r="G1141" s="2" t="s">
        <v>3758</v>
      </c>
      <c r="H1141" s="7" t="s">
        <v>3759</v>
      </c>
      <c r="I1141" s="2" t="s">
        <v>3229</v>
      </c>
      <c r="K1141" t="e">
        <v>#N/A</v>
      </c>
      <c r="L1141" s="2" t="s">
        <v>8590</v>
      </c>
      <c r="M1141" t="s">
        <v>8132</v>
      </c>
    </row>
    <row r="1142" spans="1:14" ht="39" x14ac:dyDescent="0.3">
      <c r="A1142" s="1" t="str">
        <f>HYPERLINK("https://ipmanager.doe.gov/IPManager//ExternalLink.aspx?6ibkph2k9yi6F%2B0Vz7YoTu0g4zH%2BOsvylC3KPSuZp5c%3D","Link")</f>
        <v>Link</v>
      </c>
      <c r="B1142" s="2" t="s">
        <v>3764</v>
      </c>
      <c r="C1142" s="2" t="s">
        <v>3745</v>
      </c>
      <c r="D1142" s="2" t="s">
        <v>770</v>
      </c>
      <c r="E1142" s="2" t="s">
        <v>3765</v>
      </c>
      <c r="F1142" s="2"/>
      <c r="G1142" s="2" t="s">
        <v>9</v>
      </c>
      <c r="H1142" s="7"/>
      <c r="I1142" s="2" t="s">
        <v>9</v>
      </c>
      <c r="K1142" t="e">
        <v>#N/A</v>
      </c>
      <c r="L1142" s="2" t="s">
        <v>8590</v>
      </c>
      <c r="M1142" t="s">
        <v>8132</v>
      </c>
      <c r="N1142" s="4"/>
    </row>
    <row r="1143" spans="1:14" ht="39" x14ac:dyDescent="0.3">
      <c r="A1143" s="1" t="str">
        <f>HYPERLINK("https://ipmanager.doe.gov/IPManager//ExternalLink.aspx?6ibkph2k9yi6F%2B0Vz7YoTvE8yjoHgvp6BrBXOnfCI6Q%3D","Link")</f>
        <v>Link</v>
      </c>
      <c r="B1143" s="2" t="s">
        <v>3766</v>
      </c>
      <c r="C1143" s="2" t="s">
        <v>3767</v>
      </c>
      <c r="D1143" s="2" t="s">
        <v>3768</v>
      </c>
      <c r="E1143" s="2" t="s">
        <v>3769</v>
      </c>
      <c r="F1143" s="2" t="s">
        <v>7655</v>
      </c>
      <c r="G1143" s="2" t="s">
        <v>3770</v>
      </c>
      <c r="H1143" s="7"/>
      <c r="I1143" s="2" t="s">
        <v>9</v>
      </c>
      <c r="K1143" t="e">
        <v>#N/A</v>
      </c>
      <c r="L1143" s="2" t="s">
        <v>8591</v>
      </c>
      <c r="M1143" t="s">
        <v>8133</v>
      </c>
      <c r="N1143" s="4"/>
    </row>
    <row r="1144" spans="1:14" ht="52" x14ac:dyDescent="0.3">
      <c r="A1144" s="1" t="str">
        <f>HYPERLINK("https://ipmanager.doe.gov/IPManager//ExternalLink.aspx?6ibkph2k9yi6F%2B0Vz7YoTvPUg%2FVZPl3iA7QA4StZXt4%3D","Link")</f>
        <v>Link</v>
      </c>
      <c r="B1144" s="2" t="s">
        <v>3771</v>
      </c>
      <c r="C1144" s="2" t="s">
        <v>3772</v>
      </c>
      <c r="D1144" s="2" t="s">
        <v>3773</v>
      </c>
      <c r="E1144" s="2" t="s">
        <v>3774</v>
      </c>
      <c r="F1144" s="2"/>
      <c r="G1144" s="2" t="s">
        <v>9</v>
      </c>
      <c r="H1144" s="7"/>
      <c r="I1144" s="2" t="s">
        <v>9</v>
      </c>
      <c r="K1144" t="e">
        <v>#N/A</v>
      </c>
      <c r="L1144" s="2" t="s">
        <v>8592</v>
      </c>
      <c r="M1144" t="s">
        <v>8134</v>
      </c>
      <c r="N1144" s="4"/>
    </row>
    <row r="1145" spans="1:14" ht="39" x14ac:dyDescent="0.3">
      <c r="A1145" s="1" t="str">
        <f>HYPERLINK("https://ipmanager.doe.gov/IPManager//ExternalLink.aspx?6ibkph2k9yi6F%2B0Vz7YoTlNm8snv%2FZpHAaF7BUPLKVM%3D","Link")</f>
        <v>Link</v>
      </c>
      <c r="B1145" s="2" t="s">
        <v>3775</v>
      </c>
      <c r="C1145" s="2" t="s">
        <v>3772</v>
      </c>
      <c r="D1145" s="2" t="s">
        <v>3773</v>
      </c>
      <c r="E1145" s="2" t="s">
        <v>3776</v>
      </c>
      <c r="F1145" s="2"/>
      <c r="G1145" s="2" t="s">
        <v>9</v>
      </c>
      <c r="H1145" s="7"/>
      <c r="I1145" s="2" t="s">
        <v>9</v>
      </c>
      <c r="K1145" t="e">
        <v>#N/A</v>
      </c>
      <c r="L1145" s="2" t="s">
        <v>8592</v>
      </c>
      <c r="M1145" t="s">
        <v>8134</v>
      </c>
      <c r="N1145" s="4"/>
    </row>
    <row r="1146" spans="1:14" ht="52" x14ac:dyDescent="0.3">
      <c r="A1146" s="1" t="str">
        <f>HYPERLINK("https://ipmanager.doe.gov/IPManager//ExternalLink.aspx?6ibkph2k9yi6F%2B0Vz7YoTgZwfmYxrNyKleDHUI54QBg%3D","Link")</f>
        <v>Link</v>
      </c>
      <c r="B1146" s="2" t="s">
        <v>3777</v>
      </c>
      <c r="C1146" s="2" t="s">
        <v>3772</v>
      </c>
      <c r="D1146" s="2" t="s">
        <v>3773</v>
      </c>
      <c r="E1146" s="2" t="s">
        <v>3778</v>
      </c>
      <c r="F1146" s="2"/>
      <c r="G1146" s="2" t="s">
        <v>9</v>
      </c>
      <c r="H1146" s="7"/>
      <c r="I1146" s="2" t="s">
        <v>9</v>
      </c>
      <c r="K1146" t="e">
        <v>#N/A</v>
      </c>
      <c r="L1146" s="2" t="s">
        <v>8592</v>
      </c>
      <c r="M1146" t="s">
        <v>8134</v>
      </c>
      <c r="N1146" s="4"/>
    </row>
    <row r="1147" spans="1:14" ht="39" x14ac:dyDescent="0.3">
      <c r="A1147" s="1" t="str">
        <f>HYPERLINK("https://ipmanager.doe.gov/IPManager//ExternalLink.aspx?6ibkph2k9yi6F%2B0Vz7YoTgZwfmYxrNyKuPp3BfEQZGA%3D","Link")</f>
        <v>Link</v>
      </c>
      <c r="B1147" s="2" t="s">
        <v>3779</v>
      </c>
      <c r="C1147" s="2" t="s">
        <v>3772</v>
      </c>
      <c r="D1147" s="2" t="s">
        <v>3773</v>
      </c>
      <c r="E1147" s="2" t="s">
        <v>3780</v>
      </c>
      <c r="F1147" s="2" t="s">
        <v>3781</v>
      </c>
      <c r="G1147" s="2" t="s">
        <v>2329</v>
      </c>
      <c r="H1147" s="7">
        <v>9455446</v>
      </c>
      <c r="I1147" s="2" t="s">
        <v>2649</v>
      </c>
      <c r="J1147" t="s">
        <v>7675</v>
      </c>
      <c r="K1147" t="s">
        <v>7675</v>
      </c>
      <c r="L1147" s="2" t="s">
        <v>8592</v>
      </c>
      <c r="M1147" t="s">
        <v>8134</v>
      </c>
    </row>
    <row r="1148" spans="1:14" ht="39" x14ac:dyDescent="0.3">
      <c r="A1148" s="1" t="str">
        <f>HYPERLINK("https://ipmanager.doe.gov/IPManager//ExternalLink.aspx?6ibkph2k9yi6F%2B0Vz7YoTgZwfmYxrNyK2oGosHNsoiA%3D","Link")</f>
        <v>Link</v>
      </c>
      <c r="B1148" s="2" t="s">
        <v>3783</v>
      </c>
      <c r="C1148" s="2" t="s">
        <v>3772</v>
      </c>
      <c r="D1148" s="2" t="s">
        <v>3773</v>
      </c>
      <c r="E1148" s="2" t="s">
        <v>3784</v>
      </c>
      <c r="F1148" s="2" t="s">
        <v>3785</v>
      </c>
      <c r="G1148" s="2" t="s">
        <v>3786</v>
      </c>
      <c r="H1148" s="7" t="s">
        <v>3787</v>
      </c>
      <c r="I1148" s="2" t="s">
        <v>1302</v>
      </c>
      <c r="J1148" t="s">
        <v>3785</v>
      </c>
      <c r="K1148" t="s">
        <v>7676</v>
      </c>
      <c r="L1148" s="2" t="s">
        <v>8592</v>
      </c>
      <c r="M1148" t="s">
        <v>8134</v>
      </c>
    </row>
    <row r="1149" spans="1:14" ht="52" x14ac:dyDescent="0.3">
      <c r="A1149" s="1" t="str">
        <f>HYPERLINK("https://ipmanager.doe.gov/IPManager//ExternalLink.aspx?6ibkph2k9yi6F%2B0Vz7YoTgZwfmYxrNyKVYkXqqWhiQ4%3D","Link")</f>
        <v>Link</v>
      </c>
      <c r="B1149" s="2" t="s">
        <v>3788</v>
      </c>
      <c r="C1149" s="2" t="s">
        <v>3772</v>
      </c>
      <c r="D1149" s="2" t="s">
        <v>3773</v>
      </c>
      <c r="E1149" s="2" t="s">
        <v>3789</v>
      </c>
      <c r="F1149" s="2" t="s">
        <v>3790</v>
      </c>
      <c r="G1149" s="2" t="s">
        <v>3791</v>
      </c>
      <c r="H1149" s="7" t="s">
        <v>3792</v>
      </c>
      <c r="I1149" s="2" t="s">
        <v>3793</v>
      </c>
      <c r="J1149" t="s">
        <v>3790</v>
      </c>
      <c r="K1149" t="s">
        <v>7677</v>
      </c>
      <c r="L1149" s="2" t="s">
        <v>8592</v>
      </c>
      <c r="M1149" t="s">
        <v>8134</v>
      </c>
    </row>
    <row r="1150" spans="1:14" ht="52" x14ac:dyDescent="0.3">
      <c r="A1150" s="1" t="str">
        <f>HYPERLINK("https://ipmanager.doe.gov/IPManager//ExternalLink.aspx?6ibkph2k9yi6F%2B0Vz7YoTgZwfmYxrNyKgB3n4x4Atyw%3D","Link")</f>
        <v>Link</v>
      </c>
      <c r="B1150" s="2" t="s">
        <v>3795</v>
      </c>
      <c r="C1150" s="2" t="s">
        <v>3772</v>
      </c>
      <c r="D1150" s="2" t="s">
        <v>2271</v>
      </c>
      <c r="E1150" s="2" t="s">
        <v>3796</v>
      </c>
      <c r="F1150" s="2"/>
      <c r="G1150" s="2" t="s">
        <v>9</v>
      </c>
      <c r="H1150" s="7"/>
      <c r="I1150" s="2" t="s">
        <v>9</v>
      </c>
      <c r="K1150" t="e">
        <v>#N/A</v>
      </c>
      <c r="L1150" s="2" t="s">
        <v>8592</v>
      </c>
      <c r="M1150" t="s">
        <v>8134</v>
      </c>
      <c r="N1150" s="4"/>
    </row>
    <row r="1151" spans="1:14" ht="52" x14ac:dyDescent="0.3">
      <c r="A1151" s="1" t="str">
        <f>HYPERLINK("https://ipmanager.doe.gov/IPManager//ExternalLink.aspx?6ibkph2k9yi6F%2B0Vz7YoTjnDGhmGHGI76cd4SQBMcRA%3D","Link")</f>
        <v>Link</v>
      </c>
      <c r="B1151" s="2" t="s">
        <v>3797</v>
      </c>
      <c r="C1151" s="2" t="s">
        <v>3772</v>
      </c>
      <c r="D1151" s="2" t="s">
        <v>3285</v>
      </c>
      <c r="E1151" s="2" t="s">
        <v>3798</v>
      </c>
      <c r="F1151" s="2"/>
      <c r="G1151" s="2" t="s">
        <v>9</v>
      </c>
      <c r="H1151" s="7"/>
      <c r="I1151" s="2" t="s">
        <v>9</v>
      </c>
      <c r="K1151" t="e">
        <v>#N/A</v>
      </c>
      <c r="L1151" s="2" t="s">
        <v>8592</v>
      </c>
      <c r="M1151" t="s">
        <v>8134</v>
      </c>
      <c r="N1151" s="4"/>
    </row>
    <row r="1152" spans="1:14" ht="39" x14ac:dyDescent="0.3">
      <c r="A1152" s="1" t="str">
        <f>HYPERLINK("https://ipmanager.doe.gov/IPManager//ExternalLink.aspx?6ibkph2k9yi6F%2B0Vz7YoTr7J5I%2BY4foYASArkysSuk4%3D","Link")</f>
        <v>Link</v>
      </c>
      <c r="B1152" s="2" t="s">
        <v>3802</v>
      </c>
      <c r="C1152" s="2" t="s">
        <v>3772</v>
      </c>
      <c r="D1152" s="2" t="s">
        <v>2271</v>
      </c>
      <c r="E1152" s="2" t="s">
        <v>3803</v>
      </c>
      <c r="F1152" s="2"/>
      <c r="G1152" s="2" t="s">
        <v>9</v>
      </c>
      <c r="H1152" s="7"/>
      <c r="I1152" s="2" t="s">
        <v>9</v>
      </c>
      <c r="K1152" t="e">
        <v>#N/A</v>
      </c>
      <c r="L1152" s="2" t="s">
        <v>8592</v>
      </c>
      <c r="M1152" t="s">
        <v>8134</v>
      </c>
      <c r="N1152" s="4"/>
    </row>
    <row r="1153" spans="1:14" ht="52" x14ac:dyDescent="0.3">
      <c r="A1153" s="1" t="str">
        <f>HYPERLINK("https://ipmanager.doe.gov/IPManager//ExternalLink.aspx?6ibkph2k9yi6F%2B0Vz7YoTjnDGhmGHGI70jYd6EHB7Po%3D","Link")</f>
        <v>Link</v>
      </c>
      <c r="B1153" s="2" t="s">
        <v>3804</v>
      </c>
      <c r="C1153" s="2" t="s">
        <v>3772</v>
      </c>
      <c r="D1153" s="2" t="s">
        <v>2271</v>
      </c>
      <c r="E1153" s="2" t="s">
        <v>3778</v>
      </c>
      <c r="F1153" s="2"/>
      <c r="G1153" s="2" t="s">
        <v>9</v>
      </c>
      <c r="H1153" s="7"/>
      <c r="I1153" s="2" t="s">
        <v>9</v>
      </c>
      <c r="K1153" t="e">
        <v>#N/A</v>
      </c>
      <c r="L1153" s="2" t="s">
        <v>8592</v>
      </c>
      <c r="M1153" t="s">
        <v>8134</v>
      </c>
      <c r="N1153" s="4"/>
    </row>
    <row r="1154" spans="1:14" ht="65" x14ac:dyDescent="0.3">
      <c r="A1154" s="1" t="str">
        <f>HYPERLINK("https://ipmanager.doe.gov/IPManager//ExternalLink.aspx?6ibkph2k9yi6F%2B0Vz7YoTjnDGhmGHGI75rIrqyHFDdc%3D","Link")</f>
        <v>Link</v>
      </c>
      <c r="B1154" s="2" t="s">
        <v>3805</v>
      </c>
      <c r="C1154" s="2" t="s">
        <v>3772</v>
      </c>
      <c r="D1154" s="2" t="s">
        <v>2271</v>
      </c>
      <c r="E1154" s="2" t="s">
        <v>3806</v>
      </c>
      <c r="F1154" s="2"/>
      <c r="G1154" s="2" t="s">
        <v>9</v>
      </c>
      <c r="H1154" s="7"/>
      <c r="I1154" s="2" t="s">
        <v>9</v>
      </c>
      <c r="K1154" t="e">
        <v>#N/A</v>
      </c>
      <c r="L1154" s="2" t="s">
        <v>8592</v>
      </c>
      <c r="M1154" t="s">
        <v>8134</v>
      </c>
      <c r="N1154" s="4"/>
    </row>
    <row r="1155" spans="1:14" ht="26" x14ac:dyDescent="0.3">
      <c r="A1155" s="1" t="str">
        <f>HYPERLINK("https://ipmanager.doe.gov/IPManager//ExternalLink.aspx?6ibkph2k9yi6F%2B0Vz7YoTgZwfmYxrNyKIQQLqcMpSCU%3D","Link")</f>
        <v>Link</v>
      </c>
      <c r="B1155" s="2" t="s">
        <v>3807</v>
      </c>
      <c r="C1155" s="2" t="s">
        <v>3772</v>
      </c>
      <c r="D1155" s="2" t="s">
        <v>2271</v>
      </c>
      <c r="E1155" s="2" t="s">
        <v>3808</v>
      </c>
      <c r="F1155" s="2"/>
      <c r="G1155" s="2" t="s">
        <v>9</v>
      </c>
      <c r="H1155" s="7"/>
      <c r="I1155" s="2" t="s">
        <v>9</v>
      </c>
      <c r="K1155" t="e">
        <v>#N/A</v>
      </c>
      <c r="L1155" s="2" t="s">
        <v>8592</v>
      </c>
      <c r="M1155" t="s">
        <v>8134</v>
      </c>
      <c r="N1155" s="4"/>
    </row>
    <row r="1156" spans="1:14" ht="52" x14ac:dyDescent="0.3">
      <c r="A1156" s="1" t="str">
        <f>HYPERLINK("https://ipmanager.doe.gov/IPManager//ExternalLink.aspx?6ibkph2k9yi6F%2B0Vz7YoTgZwfmYxrNyKmOpBDYRIGcE%3D","Link")</f>
        <v>Link</v>
      </c>
      <c r="B1156" s="2" t="s">
        <v>3809</v>
      </c>
      <c r="C1156" s="2" t="s">
        <v>3772</v>
      </c>
      <c r="D1156" s="2" t="s">
        <v>2271</v>
      </c>
      <c r="E1156" s="2" t="s">
        <v>3810</v>
      </c>
      <c r="F1156" s="2"/>
      <c r="G1156" s="2" t="s">
        <v>9</v>
      </c>
      <c r="H1156" s="7"/>
      <c r="I1156" s="2" t="s">
        <v>9</v>
      </c>
      <c r="K1156" t="e">
        <v>#N/A</v>
      </c>
      <c r="L1156" s="2" t="s">
        <v>8592</v>
      </c>
      <c r="M1156" t="s">
        <v>8134</v>
      </c>
      <c r="N1156" s="4"/>
    </row>
    <row r="1157" spans="1:14" ht="39" x14ac:dyDescent="0.3">
      <c r="A1157" s="1" t="str">
        <f>HYPERLINK("https://ipmanager.doe.gov/IPManager//ExternalLink.aspx?6ibkph2k9yi6F%2B0Vz7YoTgZwfmYxrNyKcm6HfJD9frs%3D","Link")</f>
        <v>Link</v>
      </c>
      <c r="B1157" s="2" t="s">
        <v>3811</v>
      </c>
      <c r="C1157" s="2" t="s">
        <v>3772</v>
      </c>
      <c r="D1157" s="2" t="s">
        <v>2271</v>
      </c>
      <c r="E1157" s="2" t="s">
        <v>3812</v>
      </c>
      <c r="F1157" s="2"/>
      <c r="G1157" s="2" t="s">
        <v>9</v>
      </c>
      <c r="H1157" s="7"/>
      <c r="I1157" s="2" t="s">
        <v>9</v>
      </c>
      <c r="K1157" t="e">
        <v>#N/A</v>
      </c>
      <c r="L1157" s="2" t="s">
        <v>8592</v>
      </c>
      <c r="M1157" t="s">
        <v>8134</v>
      </c>
      <c r="N1157" s="4"/>
    </row>
    <row r="1158" spans="1:14" ht="39" x14ac:dyDescent="0.3">
      <c r="A1158" s="1" t="str">
        <f>HYPERLINK("https://ipmanager.doe.gov/IPManager//ExternalLink.aspx?6ibkph2k9yi6F%2B0Vz7YoTgZwfmYxrNyKbwsQFhtgq34%3D","Link")</f>
        <v>Link</v>
      </c>
      <c r="B1158" s="2" t="s">
        <v>3813</v>
      </c>
      <c r="C1158" s="2" t="s">
        <v>3772</v>
      </c>
      <c r="D1158" s="2" t="s">
        <v>2271</v>
      </c>
      <c r="E1158" s="2" t="s">
        <v>3814</v>
      </c>
      <c r="F1158" s="2"/>
      <c r="G1158" s="2" t="s">
        <v>9</v>
      </c>
      <c r="H1158" s="7"/>
      <c r="I1158" s="2" t="s">
        <v>9</v>
      </c>
      <c r="K1158" t="e">
        <v>#N/A</v>
      </c>
      <c r="L1158" s="2" t="s">
        <v>8592</v>
      </c>
      <c r="M1158" t="s">
        <v>8134</v>
      </c>
      <c r="N1158" s="4"/>
    </row>
    <row r="1159" spans="1:14" ht="78" x14ac:dyDescent="0.3">
      <c r="A1159" s="1" t="str">
        <f>HYPERLINK("https://ipmanager.doe.gov/IPManager//ExternalLink.aspx?6ibkph2k9yi6F%2B0Vz7YoTgZwfmYxrNyKlnfJUvV8qAA%3D","Link")</f>
        <v>Link</v>
      </c>
      <c r="B1159" s="2" t="s">
        <v>3815</v>
      </c>
      <c r="C1159" s="2" t="s">
        <v>3772</v>
      </c>
      <c r="D1159" s="2" t="s">
        <v>2271</v>
      </c>
      <c r="E1159" s="2" t="s">
        <v>3816</v>
      </c>
      <c r="F1159" s="2"/>
      <c r="G1159" s="2" t="s">
        <v>9</v>
      </c>
      <c r="H1159" s="7"/>
      <c r="I1159" s="2" t="s">
        <v>9</v>
      </c>
      <c r="K1159" t="e">
        <v>#N/A</v>
      </c>
      <c r="L1159" s="2" t="s">
        <v>8592</v>
      </c>
      <c r="M1159" t="s">
        <v>8134</v>
      </c>
      <c r="N1159" s="4"/>
    </row>
    <row r="1160" spans="1:14" ht="65" x14ac:dyDescent="0.3">
      <c r="A1160" s="1" t="str">
        <f>HYPERLINK("https://ipmanager.doe.gov/IPManager//ExternalLink.aspx?6ibkph2k9yi6F%2B0Vz7YoTgZwfmYxrNyK%2FX4Bn%2F%2FRiYo%3D","Link")</f>
        <v>Link</v>
      </c>
      <c r="B1160" s="2" t="s">
        <v>3817</v>
      </c>
      <c r="C1160" s="2" t="s">
        <v>3772</v>
      </c>
      <c r="D1160" s="2" t="s">
        <v>2271</v>
      </c>
      <c r="E1160" s="2" t="s">
        <v>3818</v>
      </c>
      <c r="F1160" s="2"/>
      <c r="G1160" s="2" t="s">
        <v>9</v>
      </c>
      <c r="H1160" s="7"/>
      <c r="I1160" s="2" t="s">
        <v>9</v>
      </c>
      <c r="K1160" t="e">
        <v>#N/A</v>
      </c>
      <c r="L1160" s="2" t="s">
        <v>8592</v>
      </c>
      <c r="M1160" t="s">
        <v>8134</v>
      </c>
      <c r="N1160" s="4"/>
    </row>
    <row r="1161" spans="1:14" ht="39" x14ac:dyDescent="0.3">
      <c r="A1161" s="1" t="str">
        <f>HYPERLINK("https://ipmanager.doe.gov/IPManager//ExternalLink.aspx?6ibkph2k9yi6F%2B0Vz7YoTgZwfmYxrNyKnAgqXxEPQpc%3D","Link")</f>
        <v>Link</v>
      </c>
      <c r="B1161" s="2" t="s">
        <v>3819</v>
      </c>
      <c r="C1161" s="2" t="s">
        <v>3772</v>
      </c>
      <c r="D1161" s="2" t="s">
        <v>2271</v>
      </c>
      <c r="E1161" s="2" t="s">
        <v>3820</v>
      </c>
      <c r="F1161" s="2"/>
      <c r="G1161" s="2" t="s">
        <v>9</v>
      </c>
      <c r="H1161" s="7"/>
      <c r="I1161" s="2" t="s">
        <v>9</v>
      </c>
      <c r="K1161" t="e">
        <v>#N/A</v>
      </c>
      <c r="L1161" s="2" t="s">
        <v>8592</v>
      </c>
      <c r="M1161" t="s">
        <v>8134</v>
      </c>
      <c r="N1161" s="4"/>
    </row>
    <row r="1162" spans="1:14" ht="52" x14ac:dyDescent="0.3">
      <c r="A1162" s="1" t="str">
        <f>HYPERLINK("https://ipmanager.doe.gov/IPManager//ExternalLink.aspx?6ibkph2k9yi6F%2B0Vz7YoTgZwfmYxrNyK6Ya9zUkohi8%3D","Link")</f>
        <v>Link</v>
      </c>
      <c r="B1162" s="2" t="s">
        <v>3821</v>
      </c>
      <c r="C1162" s="2" t="s">
        <v>3772</v>
      </c>
      <c r="D1162" s="2" t="s">
        <v>2271</v>
      </c>
      <c r="E1162" s="2" t="s">
        <v>3822</v>
      </c>
      <c r="F1162" s="2"/>
      <c r="G1162" s="2" t="s">
        <v>9</v>
      </c>
      <c r="H1162" s="7"/>
      <c r="I1162" s="2" t="s">
        <v>9</v>
      </c>
      <c r="K1162" t="e">
        <v>#N/A</v>
      </c>
      <c r="L1162" s="2" t="s">
        <v>8592</v>
      </c>
      <c r="M1162" t="s">
        <v>8134</v>
      </c>
      <c r="N1162" s="4"/>
    </row>
    <row r="1163" spans="1:14" ht="52" x14ac:dyDescent="0.3">
      <c r="A1163" s="1" t="str">
        <f>HYPERLINK("https://ipmanager.doe.gov/IPManager//ExternalLink.aspx?6ibkph2k9yi6F%2B0Vz7YoTgZwfmYxrNyK09zbcaychgM%3D","Link")</f>
        <v>Link</v>
      </c>
      <c r="B1163" s="2" t="s">
        <v>3823</v>
      </c>
      <c r="C1163" s="2" t="s">
        <v>3772</v>
      </c>
      <c r="D1163" s="2" t="s">
        <v>3773</v>
      </c>
      <c r="E1163" s="2" t="s">
        <v>3824</v>
      </c>
      <c r="F1163" s="2"/>
      <c r="G1163" s="2" t="s">
        <v>9</v>
      </c>
      <c r="H1163" s="7"/>
      <c r="I1163" s="2" t="s">
        <v>9</v>
      </c>
      <c r="K1163" t="e">
        <v>#N/A</v>
      </c>
      <c r="L1163" s="2" t="s">
        <v>8592</v>
      </c>
      <c r="M1163" t="s">
        <v>8134</v>
      </c>
      <c r="N1163" s="4"/>
    </row>
    <row r="1164" spans="1:14" ht="78" x14ac:dyDescent="0.3">
      <c r="A1164" s="1" t="str">
        <f>HYPERLINK("https://ipmanager.doe.gov/IPManager//ExternalLink.aspx?6ibkph2k9yi6F%2B0Vz7YoTjnDGhmGHGI7U8Zd%2ByYHV3w%3D","Link")</f>
        <v>Link</v>
      </c>
      <c r="B1164" s="2" t="s">
        <v>3825</v>
      </c>
      <c r="C1164" s="2" t="s">
        <v>3772</v>
      </c>
      <c r="D1164" s="2" t="s">
        <v>2271</v>
      </c>
      <c r="E1164" s="2" t="s">
        <v>3826</v>
      </c>
      <c r="F1164" s="2"/>
      <c r="G1164" s="2" t="s">
        <v>9</v>
      </c>
      <c r="H1164" s="7"/>
      <c r="I1164" s="2" t="s">
        <v>9</v>
      </c>
      <c r="K1164" t="e">
        <v>#N/A</v>
      </c>
      <c r="L1164" s="2" t="s">
        <v>8592</v>
      </c>
      <c r="M1164" t="s">
        <v>8134</v>
      </c>
      <c r="N1164" s="4"/>
    </row>
    <row r="1165" spans="1:14" ht="52" x14ac:dyDescent="0.3">
      <c r="A1165" s="1" t="str">
        <f>HYPERLINK("https://ipmanager.doe.gov/IPManager//ExternalLink.aspx?6ibkph2k9yi6F%2B0Vz7YoTjnDGhmGHGI7iVNwJq%2B2axY%3D","Link")</f>
        <v>Link</v>
      </c>
      <c r="B1165" s="2" t="s">
        <v>3827</v>
      </c>
      <c r="C1165" s="2" t="s">
        <v>3772</v>
      </c>
      <c r="D1165" s="2" t="s">
        <v>2271</v>
      </c>
      <c r="E1165" s="2" t="s">
        <v>3828</v>
      </c>
      <c r="F1165" s="2"/>
      <c r="G1165" s="2" t="s">
        <v>9</v>
      </c>
      <c r="H1165" s="7"/>
      <c r="I1165" s="2" t="s">
        <v>9</v>
      </c>
      <c r="K1165" t="e">
        <v>#N/A</v>
      </c>
      <c r="L1165" s="2" t="s">
        <v>8592</v>
      </c>
      <c r="M1165" t="s">
        <v>8134</v>
      </c>
      <c r="N1165" s="4"/>
    </row>
    <row r="1166" spans="1:14" ht="39" x14ac:dyDescent="0.3">
      <c r="A1166" s="1" t="str">
        <f>HYPERLINK("https://ipmanager.doe.gov/IPManager//ExternalLink.aspx?6ibkph2k9yi6F%2B0Vz7YoTjnDGhmGHGI7nrWx2Dq%2F0ig%3D","Link")</f>
        <v>Link</v>
      </c>
      <c r="B1166" s="2" t="s">
        <v>3829</v>
      </c>
      <c r="C1166" s="2" t="s">
        <v>3772</v>
      </c>
      <c r="D1166" s="2" t="s">
        <v>2271</v>
      </c>
      <c r="E1166" s="2" t="s">
        <v>3830</v>
      </c>
      <c r="F1166" s="2"/>
      <c r="G1166" s="2" t="s">
        <v>9</v>
      </c>
      <c r="H1166" s="7"/>
      <c r="I1166" s="2" t="s">
        <v>9</v>
      </c>
      <c r="K1166" t="e">
        <v>#N/A</v>
      </c>
      <c r="L1166" s="2" t="s">
        <v>8592</v>
      </c>
      <c r="M1166" t="s">
        <v>8134</v>
      </c>
      <c r="N1166" s="4"/>
    </row>
    <row r="1167" spans="1:14" ht="39" x14ac:dyDescent="0.3">
      <c r="A1167" s="1" t="str">
        <f>HYPERLINK("https://ipmanager.doe.gov/IPManager//ExternalLink.aspx?6ibkph2k9yi6F%2B0Vz7YoTjnDGhmGHGI7X88AhDBu8CI%3D","Link")</f>
        <v>Link</v>
      </c>
      <c r="B1167" s="2" t="s">
        <v>3831</v>
      </c>
      <c r="C1167" s="2" t="s">
        <v>3772</v>
      </c>
      <c r="D1167" s="2" t="s">
        <v>2271</v>
      </c>
      <c r="E1167" s="2" t="s">
        <v>3832</v>
      </c>
      <c r="F1167" s="2"/>
      <c r="G1167" s="2" t="s">
        <v>9</v>
      </c>
      <c r="H1167" s="7"/>
      <c r="I1167" s="2" t="s">
        <v>9</v>
      </c>
      <c r="K1167" t="e">
        <v>#N/A</v>
      </c>
      <c r="L1167" s="2" t="s">
        <v>8592</v>
      </c>
      <c r="M1167" t="s">
        <v>8134</v>
      </c>
      <c r="N1167" s="4"/>
    </row>
    <row r="1168" spans="1:14" ht="26" x14ac:dyDescent="0.3">
      <c r="A1168" s="1" t="str">
        <f>HYPERLINK("https://ipmanager.doe.gov/IPManager//ExternalLink.aspx?6ibkph2k9yi6F%2B0Vz7YoTjnDGhmGHGI7HZoyFbJwhqg%3D","Link")</f>
        <v>Link</v>
      </c>
      <c r="B1168" s="2" t="s">
        <v>3833</v>
      </c>
      <c r="C1168" s="2" t="s">
        <v>3772</v>
      </c>
      <c r="D1168" s="2" t="s">
        <v>2271</v>
      </c>
      <c r="E1168" s="2" t="s">
        <v>3834</v>
      </c>
      <c r="F1168" s="2" t="s">
        <v>3835</v>
      </c>
      <c r="G1168" s="2" t="s">
        <v>3836</v>
      </c>
      <c r="H1168" s="7" t="s">
        <v>3837</v>
      </c>
      <c r="I1168" s="2" t="s">
        <v>3838</v>
      </c>
      <c r="K1168" t="e">
        <v>#N/A</v>
      </c>
      <c r="L1168" s="2" t="s">
        <v>8592</v>
      </c>
      <c r="M1168" t="s">
        <v>8134</v>
      </c>
    </row>
    <row r="1169" spans="1:14" ht="39" x14ac:dyDescent="0.3">
      <c r="A1169" s="1" t="str">
        <f>HYPERLINK("https://ipmanager.doe.gov/IPManager//ExternalLink.aspx?6ibkph2k9yi6F%2B0Vz7YoTvPUg%2FVZPl3iIUYKe5ZfL1c%3D","Link")</f>
        <v>Link</v>
      </c>
      <c r="B1169" s="2" t="s">
        <v>3842</v>
      </c>
      <c r="C1169" s="2" t="s">
        <v>3772</v>
      </c>
      <c r="D1169" s="2" t="s">
        <v>3773</v>
      </c>
      <c r="E1169" s="2" t="s">
        <v>3843</v>
      </c>
      <c r="F1169" s="2" t="s">
        <v>3844</v>
      </c>
      <c r="G1169" s="2" t="s">
        <v>3845</v>
      </c>
      <c r="H1169" s="7" t="s">
        <v>3846</v>
      </c>
      <c r="I1169" s="2" t="s">
        <v>1846</v>
      </c>
      <c r="K1169" t="e">
        <v>#N/A</v>
      </c>
      <c r="L1169" s="2" t="s">
        <v>8592</v>
      </c>
      <c r="M1169" t="s">
        <v>8134</v>
      </c>
    </row>
    <row r="1170" spans="1:14" ht="39" x14ac:dyDescent="0.3">
      <c r="A1170" s="1" t="str">
        <f>HYPERLINK("https://ipmanager.doe.gov/IPManager//ExternalLink.aspx?6ibkph2k9yi6F%2B0Vz7YoTvPUg%2FVZPl3iE1xh1ITmUxE%3D","Link")</f>
        <v>Link</v>
      </c>
      <c r="B1170" s="2" t="s">
        <v>3850</v>
      </c>
      <c r="C1170" s="2" t="s">
        <v>3772</v>
      </c>
      <c r="D1170" s="2" t="s">
        <v>3773</v>
      </c>
      <c r="E1170" s="2" t="s">
        <v>3851</v>
      </c>
      <c r="F1170" s="2" t="s">
        <v>3852</v>
      </c>
      <c r="G1170" s="2" t="s">
        <v>3853</v>
      </c>
      <c r="H1170" s="7" t="s">
        <v>3854</v>
      </c>
      <c r="I1170" s="2" t="s">
        <v>1329</v>
      </c>
      <c r="K1170" t="e">
        <v>#N/A</v>
      </c>
      <c r="L1170" s="2" t="s">
        <v>8592</v>
      </c>
      <c r="M1170" t="s">
        <v>8134</v>
      </c>
    </row>
    <row r="1171" spans="1:14" ht="39" x14ac:dyDescent="0.3">
      <c r="A1171" s="1" t="str">
        <f>HYPERLINK("https://ipmanager.doe.gov/IPManager//ExternalLink.aspx?6ibkph2k9yi6F%2B0Vz7YoTo7DPLa3%2F%2FGgQtleH%2BMnBME%3D","Link")</f>
        <v>Link</v>
      </c>
      <c r="B1171" s="2" t="s">
        <v>3863</v>
      </c>
      <c r="C1171" s="2" t="s">
        <v>3772</v>
      </c>
      <c r="D1171" s="2" t="s">
        <v>3773</v>
      </c>
      <c r="E1171" s="2" t="s">
        <v>3864</v>
      </c>
      <c r="F1171" s="2" t="s">
        <v>3865</v>
      </c>
      <c r="G1171" s="2" t="s">
        <v>1218</v>
      </c>
      <c r="H1171" s="7"/>
      <c r="I1171" s="2" t="s">
        <v>9</v>
      </c>
      <c r="J1171" t="s">
        <v>7552</v>
      </c>
      <c r="K1171" t="s">
        <v>7934</v>
      </c>
      <c r="L1171" s="2" t="s">
        <v>8592</v>
      </c>
      <c r="M1171" t="s">
        <v>8134</v>
      </c>
      <c r="N1171" s="4"/>
    </row>
    <row r="1172" spans="1:14" ht="39" x14ac:dyDescent="0.3">
      <c r="A1172" s="1" t="str">
        <f>HYPERLINK("https://ipmanager.doe.gov/IPManager//ExternalLink.aspx?6ibkph2k9yi6F%2B0Vz7YoTgZwfmYxrNyKmmy0Q7OqsBA%3D","Link")</f>
        <v>Link</v>
      </c>
      <c r="B1172" s="2" t="s">
        <v>3867</v>
      </c>
      <c r="C1172" s="2" t="s">
        <v>3772</v>
      </c>
      <c r="D1172" s="2" t="s">
        <v>3773</v>
      </c>
      <c r="E1172" s="2" t="s">
        <v>3868</v>
      </c>
      <c r="F1172" s="2" t="s">
        <v>3869</v>
      </c>
      <c r="G1172" s="2" t="s">
        <v>3870</v>
      </c>
      <c r="H1172" s="7" t="s">
        <v>3871</v>
      </c>
      <c r="I1172" s="2" t="s">
        <v>3167</v>
      </c>
      <c r="K1172" t="e">
        <v>#N/A</v>
      </c>
      <c r="L1172" s="2" t="s">
        <v>8592</v>
      </c>
      <c r="M1172" t="s">
        <v>8134</v>
      </c>
    </row>
    <row r="1173" spans="1:14" ht="52" x14ac:dyDescent="0.3">
      <c r="A1173" s="1" t="str">
        <f>HYPERLINK("https://ipmanager.doe.gov/IPManager//ExternalLink.aspx?6ibkph2k9yi6F%2B0Vz7YoTgZwfmYxrNyKwJpVABHUA2M%3D","Link")</f>
        <v>Link</v>
      </c>
      <c r="B1173" s="2" t="s">
        <v>3872</v>
      </c>
      <c r="C1173" s="2" t="s">
        <v>3772</v>
      </c>
      <c r="D1173" s="2" t="s">
        <v>3773</v>
      </c>
      <c r="E1173" s="2" t="s">
        <v>3873</v>
      </c>
      <c r="F1173" s="2" t="s">
        <v>3874</v>
      </c>
      <c r="G1173" s="2" t="s">
        <v>3875</v>
      </c>
      <c r="H1173" s="7"/>
      <c r="I1173" s="2" t="s">
        <v>9</v>
      </c>
      <c r="J1173" t="s">
        <v>7553</v>
      </c>
      <c r="K1173" t="s">
        <v>7935</v>
      </c>
      <c r="L1173" s="2" t="s">
        <v>8592</v>
      </c>
      <c r="M1173" t="s">
        <v>8134</v>
      </c>
      <c r="N1173" s="4"/>
    </row>
    <row r="1174" spans="1:14" ht="26" x14ac:dyDescent="0.3">
      <c r="A1174" s="1" t="str">
        <f>HYPERLINK("https://ipmanager.doe.gov/IPManager//ExternalLink.aspx?6ibkph2k9yi6F%2B0Vz7YoTgZwfmYxrNyK3yz3G%2Fvvhfk%3D","Link")</f>
        <v>Link</v>
      </c>
      <c r="B1174" s="2" t="s">
        <v>3876</v>
      </c>
      <c r="C1174" s="2" t="s">
        <v>3772</v>
      </c>
      <c r="D1174" s="2" t="s">
        <v>3773</v>
      </c>
      <c r="E1174" s="2" t="s">
        <v>3877</v>
      </c>
      <c r="F1174" s="2" t="s">
        <v>3878</v>
      </c>
      <c r="G1174" s="2" t="s">
        <v>1883</v>
      </c>
      <c r="H1174" s="7" t="s">
        <v>3879</v>
      </c>
      <c r="I1174" s="2" t="s">
        <v>9</v>
      </c>
      <c r="K1174" t="e">
        <v>#N/A</v>
      </c>
      <c r="L1174" s="2" t="s">
        <v>8592</v>
      </c>
      <c r="M1174" t="s">
        <v>8134</v>
      </c>
    </row>
    <row r="1175" spans="1:14" ht="26" x14ac:dyDescent="0.3">
      <c r="A1175" s="1" t="str">
        <f>HYPERLINK("https://ipmanager.doe.gov/IPManager//ExternalLink.aspx?6ibkph2k9yi6F%2B0Vz7YoTgZwfmYxrNyKbXjOF%2BWdC8s%3D","Link")</f>
        <v>Link</v>
      </c>
      <c r="B1175" s="2" t="s">
        <v>3880</v>
      </c>
      <c r="C1175" s="2" t="s">
        <v>3772</v>
      </c>
      <c r="D1175" s="2" t="s">
        <v>3773</v>
      </c>
      <c r="E1175" s="2" t="s">
        <v>3881</v>
      </c>
      <c r="F1175" s="2" t="s">
        <v>3882</v>
      </c>
      <c r="G1175" s="2" t="s">
        <v>3318</v>
      </c>
      <c r="H1175" s="7"/>
      <c r="I1175" s="2" t="s">
        <v>9</v>
      </c>
      <c r="J1175" t="s">
        <v>7554</v>
      </c>
      <c r="K1175" t="s">
        <v>7936</v>
      </c>
      <c r="L1175" s="2" t="s">
        <v>8592</v>
      </c>
      <c r="M1175" t="s">
        <v>8134</v>
      </c>
      <c r="N1175" s="4"/>
    </row>
    <row r="1176" spans="1:14" ht="26" x14ac:dyDescent="0.3">
      <c r="A1176" s="1" t="str">
        <f>HYPERLINK("https://ipmanager.doe.gov/IPManager//ExternalLink.aspx?6ibkph2k9yi6F%2B0Vz7YoTgZwfmYxrNyK7lFN5TtfZGE%3D","Link")</f>
        <v>Link</v>
      </c>
      <c r="B1176" s="2" t="s">
        <v>3883</v>
      </c>
      <c r="C1176" s="2" t="s">
        <v>3772</v>
      </c>
      <c r="D1176" s="2" t="s">
        <v>3884</v>
      </c>
      <c r="E1176" s="2" t="s">
        <v>3885</v>
      </c>
      <c r="F1176" s="2" t="s">
        <v>3886</v>
      </c>
      <c r="G1176" s="2" t="s">
        <v>823</v>
      </c>
      <c r="H1176" s="7" t="s">
        <v>3887</v>
      </c>
      <c r="I1176" s="2" t="s">
        <v>740</v>
      </c>
      <c r="K1176" t="e">
        <v>#N/A</v>
      </c>
      <c r="L1176" s="2" t="s">
        <v>8592</v>
      </c>
      <c r="M1176" t="s">
        <v>8134</v>
      </c>
    </row>
    <row r="1177" spans="1:14" ht="39" x14ac:dyDescent="0.3">
      <c r="A1177" s="1" t="str">
        <f>HYPERLINK("https://ipmanager.doe.gov/IPManager//ExternalLink.aspx?6ibkph2k9yi6F%2B0Vz7YoTgZwfmYxrNyKyrw4jVm1xdE%3D","Link")</f>
        <v>Link</v>
      </c>
      <c r="B1177" s="2" t="s">
        <v>3888</v>
      </c>
      <c r="C1177" s="2" t="s">
        <v>3772</v>
      </c>
      <c r="D1177" s="2" t="s">
        <v>2271</v>
      </c>
      <c r="E1177" s="2" t="s">
        <v>3889</v>
      </c>
      <c r="F1177" s="2" t="s">
        <v>3890</v>
      </c>
      <c r="G1177" s="2" t="s">
        <v>1404</v>
      </c>
      <c r="H1177" s="7" t="s">
        <v>3891</v>
      </c>
      <c r="I1177" s="2" t="s">
        <v>3892</v>
      </c>
      <c r="K1177" t="e">
        <v>#N/A</v>
      </c>
      <c r="L1177" s="2" t="s">
        <v>8592</v>
      </c>
      <c r="M1177" t="s">
        <v>8134</v>
      </c>
    </row>
    <row r="1178" spans="1:14" ht="52" x14ac:dyDescent="0.3">
      <c r="A1178" s="1" t="str">
        <f>HYPERLINK("https://ipmanager.doe.gov/IPManager//ExternalLink.aspx?6ibkph2k9yi6F%2B0Vz7YoTjnDGhmGHGI7NOdgiMrd2bc%3D","Link")</f>
        <v>Link</v>
      </c>
      <c r="B1178" s="2" t="s">
        <v>3893</v>
      </c>
      <c r="C1178" s="2" t="s">
        <v>3772</v>
      </c>
      <c r="D1178" s="2" t="s">
        <v>2271</v>
      </c>
      <c r="E1178" s="2" t="s">
        <v>3894</v>
      </c>
      <c r="F1178" s="2" t="s">
        <v>3895</v>
      </c>
      <c r="G1178" s="2" t="s">
        <v>3896</v>
      </c>
      <c r="H1178" s="7" t="s">
        <v>3897</v>
      </c>
      <c r="I1178" s="2" t="s">
        <v>2130</v>
      </c>
      <c r="K1178" t="e">
        <v>#N/A</v>
      </c>
      <c r="L1178" s="2" t="s">
        <v>8592</v>
      </c>
      <c r="M1178" t="s">
        <v>8134</v>
      </c>
    </row>
    <row r="1179" spans="1:14" ht="52" x14ac:dyDescent="0.3">
      <c r="A1179" s="1" t="str">
        <f>HYPERLINK("https://ipmanager.doe.gov/IPManager//ExternalLink.aspx?6ibkph2k9yi6F%2B0Vz7YoTjnDGhmGHGI7Pv33EA%2Bl58o%3D","Link")</f>
        <v>Link</v>
      </c>
      <c r="B1179" s="2" t="s">
        <v>3898</v>
      </c>
      <c r="C1179" s="2" t="s">
        <v>3772</v>
      </c>
      <c r="D1179" s="2" t="s">
        <v>3773</v>
      </c>
      <c r="E1179" s="2" t="s">
        <v>3899</v>
      </c>
      <c r="F1179" s="2" t="s">
        <v>3900</v>
      </c>
      <c r="G1179" s="2" t="s">
        <v>3901</v>
      </c>
      <c r="H1179" s="7" t="s">
        <v>3902</v>
      </c>
      <c r="I1179" s="2" t="s">
        <v>3903</v>
      </c>
      <c r="K1179" t="e">
        <v>#N/A</v>
      </c>
      <c r="L1179" s="2" t="s">
        <v>8592</v>
      </c>
      <c r="M1179" t="s">
        <v>8134</v>
      </c>
    </row>
    <row r="1180" spans="1:14" ht="39" x14ac:dyDescent="0.3">
      <c r="A1180" s="1" t="str">
        <f>HYPERLINK("https://ipmanager.doe.gov/IPManager//ExternalLink.aspx?6ibkph2k9yi6F%2B0Vz7YoTjnDGhmGHGI7v2iApii3lvk%3D","Link")</f>
        <v>Link</v>
      </c>
      <c r="B1180" s="2" t="s">
        <v>3904</v>
      </c>
      <c r="C1180" s="2" t="s">
        <v>3772</v>
      </c>
      <c r="D1180" s="2" t="s">
        <v>3773</v>
      </c>
      <c r="E1180" s="2" t="s">
        <v>3905</v>
      </c>
      <c r="F1180" s="2" t="s">
        <v>3906</v>
      </c>
      <c r="G1180" s="2" t="s">
        <v>2723</v>
      </c>
      <c r="H1180" s="7" t="s">
        <v>3907</v>
      </c>
      <c r="I1180" s="2" t="s">
        <v>2948</v>
      </c>
      <c r="K1180" t="e">
        <v>#N/A</v>
      </c>
      <c r="L1180" s="2" t="s">
        <v>8592</v>
      </c>
      <c r="M1180" t="s">
        <v>8134</v>
      </c>
    </row>
    <row r="1181" spans="1:14" ht="39" x14ac:dyDescent="0.3">
      <c r="A1181" s="1" t="str">
        <f>HYPERLINK("https://ipmanager.doe.gov/IPManager//ExternalLink.aspx?6ibkph2k9yi6F%2B0Vz7YoTjnDGhmGHGI7luucHaB2M3Y%3D","Link")</f>
        <v>Link</v>
      </c>
      <c r="B1181" s="2" t="s">
        <v>3908</v>
      </c>
      <c r="C1181" s="2" t="s">
        <v>3772</v>
      </c>
      <c r="D1181" s="2" t="s">
        <v>2271</v>
      </c>
      <c r="E1181" s="2" t="s">
        <v>3909</v>
      </c>
      <c r="F1181" s="2" t="s">
        <v>3910</v>
      </c>
      <c r="G1181" s="2" t="s">
        <v>159</v>
      </c>
      <c r="H1181" s="7" t="s">
        <v>3911</v>
      </c>
      <c r="I1181" s="2" t="s">
        <v>855</v>
      </c>
      <c r="K1181" t="e">
        <v>#N/A</v>
      </c>
      <c r="L1181" s="2" t="s">
        <v>8592</v>
      </c>
      <c r="M1181" t="s">
        <v>8134</v>
      </c>
    </row>
    <row r="1182" spans="1:14" ht="26" x14ac:dyDescent="0.3">
      <c r="A1182" s="1" t="str">
        <f>HYPERLINK("https://ipmanager.doe.gov/IPManager//ExternalLink.aspx?6ibkph2k9yi6F%2B0Vz7YoTjnDGhmGHGI7Of0Y8EBElUk%3D","Link")</f>
        <v>Link</v>
      </c>
      <c r="B1182" s="2" t="s">
        <v>3912</v>
      </c>
      <c r="C1182" s="2" t="s">
        <v>3772</v>
      </c>
      <c r="D1182" s="2" t="s">
        <v>3773</v>
      </c>
      <c r="E1182" s="2" t="s">
        <v>3913</v>
      </c>
      <c r="F1182" s="2" t="s">
        <v>3914</v>
      </c>
      <c r="G1182" s="2" t="s">
        <v>1404</v>
      </c>
      <c r="H1182" s="7" t="s">
        <v>3915</v>
      </c>
      <c r="I1182" s="2" t="s">
        <v>3916</v>
      </c>
      <c r="K1182" t="e">
        <v>#N/A</v>
      </c>
      <c r="L1182" s="2" t="s">
        <v>8592</v>
      </c>
      <c r="M1182" t="s">
        <v>8134</v>
      </c>
    </row>
    <row r="1183" spans="1:14" ht="39" x14ac:dyDescent="0.3">
      <c r="A1183" s="1" t="str">
        <f>HYPERLINK("https://ipmanager.doe.gov/IPManager//ExternalLink.aspx?6ibkph2k9yi6F%2B0Vz7YoTjnDGhmGHGI7uiXi1p2R9gQ%3D","Link")</f>
        <v>Link</v>
      </c>
      <c r="B1183" s="2" t="s">
        <v>3920</v>
      </c>
      <c r="C1183" s="2" t="s">
        <v>3772</v>
      </c>
      <c r="D1183" s="2" t="s">
        <v>2271</v>
      </c>
      <c r="E1183" s="2" t="s">
        <v>3921</v>
      </c>
      <c r="F1183" s="2" t="s">
        <v>3922</v>
      </c>
      <c r="G1183" s="2" t="s">
        <v>3923</v>
      </c>
      <c r="H1183" s="7" t="s">
        <v>3924</v>
      </c>
      <c r="I1183" s="2" t="s">
        <v>201</v>
      </c>
      <c r="K1183" t="e">
        <v>#N/A</v>
      </c>
      <c r="L1183" s="2" t="s">
        <v>8592</v>
      </c>
      <c r="M1183" t="s">
        <v>8134</v>
      </c>
    </row>
    <row r="1184" spans="1:14" ht="39" x14ac:dyDescent="0.3">
      <c r="A1184" s="1" t="str">
        <f>HYPERLINK("https://ipmanager.doe.gov/IPManager//ExternalLink.aspx?6ibkph2k9yi6F%2B0Vz7YoTjnDGhmGHGI7q3xbhL8K4lY%3D","Link")</f>
        <v>Link</v>
      </c>
      <c r="B1184" s="2" t="s">
        <v>3925</v>
      </c>
      <c r="C1184" s="2" t="s">
        <v>3772</v>
      </c>
      <c r="D1184" s="2" t="s">
        <v>3773</v>
      </c>
      <c r="E1184" s="2" t="s">
        <v>3926</v>
      </c>
      <c r="F1184" s="2" t="s">
        <v>3927</v>
      </c>
      <c r="G1184" s="2" t="s">
        <v>2616</v>
      </c>
      <c r="H1184" s="7" t="s">
        <v>3928</v>
      </c>
      <c r="I1184" s="2" t="s">
        <v>2649</v>
      </c>
      <c r="K1184" t="e">
        <v>#N/A</v>
      </c>
      <c r="L1184" s="2" t="s">
        <v>8592</v>
      </c>
      <c r="M1184" t="s">
        <v>8134</v>
      </c>
    </row>
    <row r="1185" spans="1:14" ht="26" x14ac:dyDescent="0.3">
      <c r="A1185" s="1" t="str">
        <f>HYPERLINK("https://ipmanager.doe.gov/IPManager//ExternalLink.aspx?6ibkph2k9yi6F%2B0Vz7YoTjnDGhmGHGI7sNQt16CrSCA%3D","Link")</f>
        <v>Link</v>
      </c>
      <c r="B1185" s="2" t="s">
        <v>3929</v>
      </c>
      <c r="C1185" s="2" t="s">
        <v>3772</v>
      </c>
      <c r="D1185" s="2" t="s">
        <v>3773</v>
      </c>
      <c r="E1185" s="2" t="s">
        <v>3930</v>
      </c>
      <c r="F1185" s="2" t="s">
        <v>3931</v>
      </c>
      <c r="G1185" s="2" t="s">
        <v>823</v>
      </c>
      <c r="H1185" s="7"/>
      <c r="I1185" s="2" t="s">
        <v>9</v>
      </c>
      <c r="J1185" t="s">
        <v>7555</v>
      </c>
      <c r="K1185" t="e">
        <v>#N/A</v>
      </c>
      <c r="L1185" s="2" t="s">
        <v>8592</v>
      </c>
      <c r="M1185" t="s">
        <v>8134</v>
      </c>
      <c r="N1185" s="4"/>
    </row>
    <row r="1186" spans="1:14" ht="26" x14ac:dyDescent="0.3">
      <c r="A1186" s="1" t="str">
        <f>HYPERLINK("https://ipmanager.doe.gov/IPManager//ExternalLink.aspx?6ibkph2k9yi6F%2B0Vz7YoTjnDGhmGHGI77CJ5Rp8RIzY%3D","Link")</f>
        <v>Link</v>
      </c>
      <c r="B1186" s="2" t="s">
        <v>3932</v>
      </c>
      <c r="C1186" s="2" t="s">
        <v>3772</v>
      </c>
      <c r="D1186" s="2" t="s">
        <v>3773</v>
      </c>
      <c r="E1186" s="2" t="s">
        <v>3933</v>
      </c>
      <c r="F1186" s="2" t="s">
        <v>3794</v>
      </c>
      <c r="G1186" s="2" t="s">
        <v>3934</v>
      </c>
      <c r="H1186" s="7"/>
      <c r="I1186" s="2" t="s">
        <v>9</v>
      </c>
      <c r="J1186" t="s">
        <v>7556</v>
      </c>
      <c r="K1186" t="s">
        <v>7937</v>
      </c>
      <c r="L1186" s="2" t="s">
        <v>8592</v>
      </c>
      <c r="M1186" t="s">
        <v>8134</v>
      </c>
      <c r="N1186" s="4"/>
    </row>
    <row r="1187" spans="1:14" ht="52" x14ac:dyDescent="0.3">
      <c r="A1187" s="1" t="str">
        <f>HYPERLINK("https://ipmanager.doe.gov/IPManager//ExternalLink.aspx?6ibkph2k9yi6F%2B0Vz7YoTjnDGhmGHGI7YdNrZfntyFc%3D","Link")</f>
        <v>Link</v>
      </c>
      <c r="B1187" s="2" t="s">
        <v>3935</v>
      </c>
      <c r="C1187" s="2" t="s">
        <v>3772</v>
      </c>
      <c r="D1187" s="2" t="s">
        <v>3773</v>
      </c>
      <c r="E1187" s="2" t="s">
        <v>3936</v>
      </c>
      <c r="F1187" s="2" t="s">
        <v>3937</v>
      </c>
      <c r="G1187" s="2" t="s">
        <v>3938</v>
      </c>
      <c r="H1187" s="7" t="s">
        <v>3939</v>
      </c>
      <c r="I1187" s="2" t="s">
        <v>1846</v>
      </c>
      <c r="K1187" t="e">
        <v>#N/A</v>
      </c>
      <c r="L1187" s="2" t="s">
        <v>8592</v>
      </c>
      <c r="M1187" t="s">
        <v>8134</v>
      </c>
    </row>
    <row r="1188" spans="1:14" ht="26" x14ac:dyDescent="0.3">
      <c r="A1188" s="1" t="str">
        <f>HYPERLINK("https://ipmanager.doe.gov/IPManager//ExternalLink.aspx?6ibkph2k9yi6F%2B0Vz7YoTjnDGhmGHGI7%2Frxd2qAX%2Fqg%3D","Link")</f>
        <v>Link</v>
      </c>
      <c r="B1188" s="2" t="s">
        <v>3940</v>
      </c>
      <c r="C1188" s="2" t="s">
        <v>3772</v>
      </c>
      <c r="D1188" s="2" t="s">
        <v>3773</v>
      </c>
      <c r="E1188" s="2" t="s">
        <v>3941</v>
      </c>
      <c r="F1188" s="2" t="s">
        <v>3942</v>
      </c>
      <c r="G1188" s="2" t="s">
        <v>1785</v>
      </c>
      <c r="H1188" s="7" t="s">
        <v>3943</v>
      </c>
      <c r="I1188" s="2" t="s">
        <v>1325</v>
      </c>
      <c r="K1188" t="e">
        <v>#N/A</v>
      </c>
      <c r="L1188" s="2" t="s">
        <v>8592</v>
      </c>
      <c r="M1188" t="s">
        <v>8134</v>
      </c>
    </row>
    <row r="1189" spans="1:14" ht="39" x14ac:dyDescent="0.3">
      <c r="A1189" s="1" t="str">
        <f>HYPERLINK("https://ipmanager.doe.gov/IPManager//ExternalLink.aspx?6ibkph2k9yi6F%2B0Vz7YoTgZwfmYxrNyKpmsApOkf92s%3D","Link")</f>
        <v>Link</v>
      </c>
      <c r="B1189" s="2" t="s">
        <v>3944</v>
      </c>
      <c r="C1189" s="2" t="s">
        <v>3772</v>
      </c>
      <c r="D1189" s="2" t="s">
        <v>3773</v>
      </c>
      <c r="E1189" s="2" t="s">
        <v>3945</v>
      </c>
      <c r="F1189" s="2" t="s">
        <v>3946</v>
      </c>
      <c r="G1189" s="2" t="s">
        <v>2723</v>
      </c>
      <c r="H1189" s="8">
        <v>9627671</v>
      </c>
      <c r="I1189" s="2" t="s">
        <v>3947</v>
      </c>
      <c r="K1189" t="e">
        <v>#N/A</v>
      </c>
      <c r="L1189" s="2" t="s">
        <v>8592</v>
      </c>
      <c r="M1189" t="s">
        <v>8134</v>
      </c>
    </row>
    <row r="1190" spans="1:14" ht="39" x14ac:dyDescent="0.3">
      <c r="A1190" s="1" t="str">
        <f>HYPERLINK("https://ipmanager.doe.gov/IPManager//ExternalLink.aspx?6ibkph2k9yi6F%2B0Vz7YoTjnDGhmGHGI7DzjEyeD%2Fc5k%3D","Link")</f>
        <v>Link</v>
      </c>
      <c r="B1190" s="2" t="s">
        <v>3948</v>
      </c>
      <c r="C1190" s="2" t="s">
        <v>3772</v>
      </c>
      <c r="D1190" s="2" t="s">
        <v>3773</v>
      </c>
      <c r="E1190" s="2" t="s">
        <v>3949</v>
      </c>
      <c r="F1190" s="2" t="s">
        <v>3950</v>
      </c>
      <c r="G1190" s="2" t="s">
        <v>823</v>
      </c>
      <c r="H1190" s="7" t="s">
        <v>3951</v>
      </c>
      <c r="I1190" s="2" t="s">
        <v>9</v>
      </c>
      <c r="K1190" t="e">
        <v>#N/A</v>
      </c>
      <c r="L1190" s="2" t="s">
        <v>8592</v>
      </c>
      <c r="M1190" t="s">
        <v>8134</v>
      </c>
    </row>
    <row r="1191" spans="1:14" ht="52" x14ac:dyDescent="0.3">
      <c r="A1191" s="1" t="str">
        <f>HYPERLINK("https://ipmanager.doe.gov/IPManager//ExternalLink.aspx?6ibkph2k9yi6F%2B0Vz7YoTjnDGhmGHGI7azNBfQFF48A%3D","Link")</f>
        <v>Link</v>
      </c>
      <c r="B1191" s="2" t="s">
        <v>3952</v>
      </c>
      <c r="C1191" s="2" t="s">
        <v>3772</v>
      </c>
      <c r="D1191" s="2" t="s">
        <v>2271</v>
      </c>
      <c r="E1191" s="2" t="s">
        <v>3953</v>
      </c>
      <c r="F1191" s="2" t="s">
        <v>3954</v>
      </c>
      <c r="G1191" s="2" t="s">
        <v>3955</v>
      </c>
      <c r="H1191" s="7" t="s">
        <v>3956</v>
      </c>
      <c r="I1191" s="2" t="s">
        <v>3521</v>
      </c>
      <c r="K1191" t="e">
        <v>#N/A</v>
      </c>
      <c r="L1191" s="2" t="s">
        <v>8592</v>
      </c>
      <c r="M1191" t="s">
        <v>8134</v>
      </c>
    </row>
    <row r="1192" spans="1:14" ht="52" x14ac:dyDescent="0.3">
      <c r="A1192" s="1" t="str">
        <f>HYPERLINK("https://ipmanager.doe.gov/IPManager//ExternalLink.aspx?6ibkph2k9yi6F%2B0Vz7YoTr7J5I%2BY4foYv%2Bm1buhdWnQ%3D","Link")</f>
        <v>Link</v>
      </c>
      <c r="B1192" s="2" t="s">
        <v>3799</v>
      </c>
      <c r="C1192" s="2" t="s">
        <v>3772</v>
      </c>
      <c r="D1192" s="2" t="s">
        <v>3773</v>
      </c>
      <c r="E1192" s="2" t="s">
        <v>3800</v>
      </c>
      <c r="F1192" s="2" t="s">
        <v>3801</v>
      </c>
      <c r="G1192" s="2" t="s">
        <v>357</v>
      </c>
      <c r="H1192" s="7"/>
      <c r="I1192" s="2" t="s">
        <v>9</v>
      </c>
      <c r="K1192" t="e">
        <v>#N/A</v>
      </c>
      <c r="L1192" s="2" t="s">
        <v>8592</v>
      </c>
      <c r="M1192" t="s">
        <v>8134</v>
      </c>
      <c r="N1192" s="4"/>
    </row>
    <row r="1193" spans="1:14" ht="65" x14ac:dyDescent="0.3">
      <c r="A1193" s="1" t="str">
        <f>HYPERLINK("https://ipmanager.doe.gov/IPManager//ExternalLink.aspx?6ibkph2k9yi6F%2B0Vz7YoTjnDGhmGHGI7hoM6PjSmLc8%3D","Link")</f>
        <v>Link</v>
      </c>
      <c r="B1193" s="2" t="s">
        <v>3839</v>
      </c>
      <c r="C1193" s="2" t="s">
        <v>3772</v>
      </c>
      <c r="D1193" s="2" t="s">
        <v>3773</v>
      </c>
      <c r="E1193" s="2" t="s">
        <v>3840</v>
      </c>
      <c r="F1193" s="2" t="s">
        <v>3841</v>
      </c>
      <c r="G1193" s="2" t="s">
        <v>3170</v>
      </c>
      <c r="H1193" s="7"/>
      <c r="I1193" s="2" t="s">
        <v>9</v>
      </c>
      <c r="K1193" t="e">
        <v>#N/A</v>
      </c>
      <c r="L1193" s="2" t="s">
        <v>8592</v>
      </c>
      <c r="M1193" t="s">
        <v>8134</v>
      </c>
      <c r="N1193" s="4"/>
    </row>
    <row r="1194" spans="1:14" ht="39" x14ac:dyDescent="0.3">
      <c r="A1194" s="1" t="str">
        <f>HYPERLINK("https://ipmanager.doe.gov/IPManager//ExternalLink.aspx?6ibkph2k9yi6F%2B0Vz7YoTvPUg%2FVZPl3isIg6amwF5T0%3D","Link")</f>
        <v>Link</v>
      </c>
      <c r="B1194" s="2" t="s">
        <v>3847</v>
      </c>
      <c r="C1194" s="2" t="s">
        <v>3772</v>
      </c>
      <c r="D1194" s="2" t="s">
        <v>3773</v>
      </c>
      <c r="E1194" s="2" t="s">
        <v>3848</v>
      </c>
      <c r="F1194" s="2" t="s">
        <v>3849</v>
      </c>
      <c r="G1194" s="2" t="s">
        <v>3151</v>
      </c>
      <c r="H1194" s="7"/>
      <c r="I1194" s="2" t="s">
        <v>9</v>
      </c>
      <c r="K1194" t="e">
        <v>#N/A</v>
      </c>
      <c r="L1194" s="2" t="s">
        <v>8592</v>
      </c>
      <c r="M1194" t="s">
        <v>8134</v>
      </c>
      <c r="N1194" s="4"/>
    </row>
    <row r="1195" spans="1:14" ht="65" x14ac:dyDescent="0.3">
      <c r="A1195" s="1" t="str">
        <f>HYPERLINK("https://ipmanager.doe.gov/IPManager//ExternalLink.aspx?6ibkph2k9yi6F%2B0Vz7YoTvPUg%2FVZPl3iVmdbTpqSCGM%3D","Link")</f>
        <v>Link</v>
      </c>
      <c r="B1195" s="2" t="s">
        <v>3855</v>
      </c>
      <c r="C1195" s="2" t="s">
        <v>3772</v>
      </c>
      <c r="D1195" s="2" t="s">
        <v>3773</v>
      </c>
      <c r="E1195" s="2" t="s">
        <v>3856</v>
      </c>
      <c r="F1195" s="2" t="s">
        <v>3857</v>
      </c>
      <c r="G1195" s="2" t="s">
        <v>3170</v>
      </c>
      <c r="H1195" s="7"/>
      <c r="I1195" s="2" t="s">
        <v>9</v>
      </c>
      <c r="K1195" t="e">
        <v>#N/A</v>
      </c>
      <c r="L1195" s="2" t="s">
        <v>8592</v>
      </c>
      <c r="M1195" t="s">
        <v>8134</v>
      </c>
      <c r="N1195" s="4"/>
    </row>
    <row r="1196" spans="1:14" ht="39" x14ac:dyDescent="0.3">
      <c r="A1196" s="1" t="str">
        <f>HYPERLINK("https://ipmanager.doe.gov/IPManager//ExternalLink.aspx?6ibkph2k9yi6F%2B0Vz7YoTvPUg%2FVZPl3iR%2FoYaKOC1io%3D","Link")</f>
        <v>Link</v>
      </c>
      <c r="B1196" s="2" t="s">
        <v>3858</v>
      </c>
      <c r="C1196" s="2" t="s">
        <v>3772</v>
      </c>
      <c r="D1196" s="2" t="s">
        <v>2271</v>
      </c>
      <c r="E1196" s="2" t="s">
        <v>3859</v>
      </c>
      <c r="F1196" s="2" t="s">
        <v>3860</v>
      </c>
      <c r="G1196" s="2" t="s">
        <v>270</v>
      </c>
      <c r="H1196" s="2"/>
      <c r="I1196" s="2" t="s">
        <v>9</v>
      </c>
      <c r="J1196" t="s">
        <v>3860</v>
      </c>
      <c r="K1196" t="s">
        <v>7894</v>
      </c>
      <c r="L1196" s="2" t="s">
        <v>8592</v>
      </c>
      <c r="M1196" t="s">
        <v>8134</v>
      </c>
      <c r="N1196" s="4"/>
    </row>
    <row r="1197" spans="1:14" ht="39" x14ac:dyDescent="0.3">
      <c r="A1197" s="1" t="str">
        <f>HYPERLINK("https://ipmanager.doe.gov/IPManager//ExternalLink.aspx?6ibkph2k9yi6F%2B0Vz7YoTvPUg%2FVZPl3iIY7JagfttG0%3D","Link")</f>
        <v>Link</v>
      </c>
      <c r="B1197" s="2" t="s">
        <v>3861</v>
      </c>
      <c r="C1197" s="2" t="s">
        <v>3772</v>
      </c>
      <c r="D1197" s="2" t="s">
        <v>2271</v>
      </c>
      <c r="E1197" s="2" t="s">
        <v>3859</v>
      </c>
      <c r="F1197" s="2" t="s">
        <v>3862</v>
      </c>
      <c r="G1197" s="2" t="s">
        <v>9</v>
      </c>
      <c r="H1197" s="2"/>
      <c r="I1197" s="2" t="s">
        <v>9</v>
      </c>
      <c r="K1197" t="e">
        <v>#N/A</v>
      </c>
      <c r="L1197" s="2" t="s">
        <v>8592</v>
      </c>
      <c r="M1197" t="s">
        <v>8134</v>
      </c>
      <c r="N1197" s="4"/>
    </row>
    <row r="1198" spans="1:14" ht="39" x14ac:dyDescent="0.3">
      <c r="A1198" s="1" t="str">
        <f>HYPERLINK("https://ipmanager.doe.gov/IPManager//ExternalLink.aspx?6ibkph2k9yi6F%2B0Vz7YoTjnDGhmGHGI7PC9U5IXGR68%3D","Link")</f>
        <v>Link</v>
      </c>
      <c r="B1198" s="2" t="s">
        <v>3917</v>
      </c>
      <c r="C1198" s="2" t="s">
        <v>3772</v>
      </c>
      <c r="D1198" s="2" t="s">
        <v>2271</v>
      </c>
      <c r="E1198" s="2" t="s">
        <v>3918</v>
      </c>
      <c r="F1198" s="2" t="s">
        <v>3919</v>
      </c>
      <c r="G1198" s="2" t="s">
        <v>1494</v>
      </c>
      <c r="H1198" s="2"/>
      <c r="I1198" s="2" t="s">
        <v>9</v>
      </c>
      <c r="K1198" t="e">
        <v>#N/A</v>
      </c>
      <c r="L1198" s="2" t="s">
        <v>8592</v>
      </c>
      <c r="M1198" t="s">
        <v>8134</v>
      </c>
      <c r="N1198" s="4"/>
    </row>
    <row r="1199" spans="1:14" ht="39" x14ac:dyDescent="0.3">
      <c r="A1199" s="1" t="str">
        <f>HYPERLINK("https://ipmanager.doe.gov/IPManager//ExternalLink.aspx?6ibkph2k9yi6F%2B0Vz7YoTjnDGhmGHGI7JwHvcbPCwsw%3D","Link")</f>
        <v>Link</v>
      </c>
      <c r="B1199" s="2" t="s">
        <v>3957</v>
      </c>
      <c r="C1199" s="2" t="s">
        <v>3958</v>
      </c>
      <c r="D1199" s="2" t="s">
        <v>1793</v>
      </c>
      <c r="E1199" s="2" t="s">
        <v>3959</v>
      </c>
      <c r="F1199" s="2" t="s">
        <v>3960</v>
      </c>
      <c r="G1199" s="2" t="s">
        <v>1346</v>
      </c>
      <c r="H1199" s="7"/>
      <c r="I1199" s="2" t="s">
        <v>9</v>
      </c>
      <c r="K1199" t="e">
        <v>#N/A</v>
      </c>
      <c r="L1199" s="2" t="s">
        <v>8593</v>
      </c>
      <c r="M1199" t="s">
        <v>8135</v>
      </c>
      <c r="N1199" s="4"/>
    </row>
    <row r="1200" spans="1:14" ht="26" x14ac:dyDescent="0.3">
      <c r="A1200" s="1" t="str">
        <f>HYPERLINK("https://ipmanager.doe.gov/IPManager//ExternalLink.aspx?6ibkph2k9yi6F%2B0Vz7YoTjnDGhmGHGI76i6iVUpYx80%3D","Link")</f>
        <v>Link</v>
      </c>
      <c r="B1200" s="2" t="s">
        <v>3966</v>
      </c>
      <c r="C1200" s="2" t="s">
        <v>3958</v>
      </c>
      <c r="D1200" s="2" t="s">
        <v>1793</v>
      </c>
      <c r="E1200" s="2" t="s">
        <v>3967</v>
      </c>
      <c r="F1200" s="2" t="s">
        <v>3968</v>
      </c>
      <c r="G1200" s="2" t="s">
        <v>306</v>
      </c>
      <c r="H1200" s="7"/>
      <c r="I1200" s="2" t="s">
        <v>9</v>
      </c>
      <c r="K1200" t="e">
        <v>#N/A</v>
      </c>
      <c r="L1200" s="2" t="s">
        <v>8593</v>
      </c>
      <c r="M1200" t="s">
        <v>8135</v>
      </c>
      <c r="N1200" s="4"/>
    </row>
    <row r="1201" spans="1:14" ht="39" x14ac:dyDescent="0.3">
      <c r="A1201" s="1" t="str">
        <f>HYPERLINK("https://ipmanager.doe.gov/IPManager//ExternalLink.aspx?6ibkph2k9yi6F%2B0Vz7YoTr7J5I%2BY4foYZ%2Fpvb8%2Fompo%3D","Link")</f>
        <v>Link</v>
      </c>
      <c r="B1201" s="2" t="s">
        <v>3969</v>
      </c>
      <c r="C1201" s="2" t="s">
        <v>3958</v>
      </c>
      <c r="D1201" s="2" t="s">
        <v>1793</v>
      </c>
      <c r="E1201" s="2" t="s">
        <v>3970</v>
      </c>
      <c r="F1201" s="2" t="s">
        <v>3971</v>
      </c>
      <c r="G1201" s="2" t="s">
        <v>3972</v>
      </c>
      <c r="H1201" s="7"/>
      <c r="I1201" s="2" t="s">
        <v>9</v>
      </c>
      <c r="K1201" t="e">
        <v>#N/A</v>
      </c>
      <c r="L1201" s="2" t="s">
        <v>8593</v>
      </c>
      <c r="M1201" t="s">
        <v>8135</v>
      </c>
      <c r="N1201" s="4"/>
    </row>
    <row r="1202" spans="1:14" ht="39" x14ac:dyDescent="0.3">
      <c r="A1202" s="1" t="str">
        <f>HYPERLINK("https://ipmanager.doe.gov/IPManager//ExternalLink.aspx?6ibkph2k9yi6F%2B0Vz7YoTvPUg%2FVZPl3igbpnkIYPGJU%3D","Link")</f>
        <v>Link</v>
      </c>
      <c r="B1202" s="2" t="s">
        <v>3973</v>
      </c>
      <c r="C1202" s="2" t="s">
        <v>3958</v>
      </c>
      <c r="D1202" s="2" t="s">
        <v>1793</v>
      </c>
      <c r="E1202" s="2" t="s">
        <v>3974</v>
      </c>
      <c r="F1202" s="2" t="s">
        <v>3975</v>
      </c>
      <c r="G1202" s="2" t="s">
        <v>155</v>
      </c>
      <c r="H1202" s="7"/>
      <c r="I1202" s="2" t="s">
        <v>9</v>
      </c>
      <c r="J1202" t="s">
        <v>3975</v>
      </c>
      <c r="K1202" t="s">
        <v>7700</v>
      </c>
      <c r="L1202" s="2" t="s">
        <v>8593</v>
      </c>
      <c r="M1202" t="s">
        <v>8135</v>
      </c>
      <c r="N1202" s="4"/>
    </row>
    <row r="1203" spans="1:14" ht="52" x14ac:dyDescent="0.3">
      <c r="A1203" s="1" t="str">
        <f>HYPERLINK("https://ipmanager.doe.gov/IPManager//ExternalLink.aspx?6ibkph2k9yi6F%2B0Vz7YoTvPUg%2FVZPl3i2DSahXei7yQ%3D","Link")</f>
        <v>Link</v>
      </c>
      <c r="B1203" s="2" t="s">
        <v>3981</v>
      </c>
      <c r="C1203" s="2" t="s">
        <v>3958</v>
      </c>
      <c r="D1203" s="2" t="s">
        <v>1793</v>
      </c>
      <c r="E1203" s="2" t="s">
        <v>3982</v>
      </c>
      <c r="F1203" s="2" t="s">
        <v>3983</v>
      </c>
      <c r="G1203" s="2" t="s">
        <v>3984</v>
      </c>
      <c r="H1203" s="7"/>
      <c r="I1203" s="2" t="s">
        <v>9</v>
      </c>
      <c r="K1203" t="e">
        <v>#N/A</v>
      </c>
      <c r="L1203" s="2" t="s">
        <v>8593</v>
      </c>
      <c r="M1203" t="s">
        <v>8135</v>
      </c>
      <c r="N1203" s="4"/>
    </row>
    <row r="1204" spans="1:14" ht="39" x14ac:dyDescent="0.3">
      <c r="A1204" s="1" t="str">
        <f>HYPERLINK("https://ipmanager.doe.gov/IPManager//ExternalLink.aspx?6ibkph2k9yi6F%2B0Vz7YoTjnDGhmGHGI7YPEtWenWkzk%3D","Link")</f>
        <v>Link</v>
      </c>
      <c r="B1204" s="2" t="s">
        <v>3961</v>
      </c>
      <c r="C1204" s="2" t="s">
        <v>3958</v>
      </c>
      <c r="D1204" s="2" t="s">
        <v>1793</v>
      </c>
      <c r="E1204" s="2" t="s">
        <v>3962</v>
      </c>
      <c r="F1204" s="2" t="s">
        <v>3963</v>
      </c>
      <c r="G1204" s="2" t="s">
        <v>3964</v>
      </c>
      <c r="H1204" s="7" t="s">
        <v>3965</v>
      </c>
      <c r="I1204" s="2" t="s">
        <v>9</v>
      </c>
      <c r="K1204" t="e">
        <v>#N/A</v>
      </c>
      <c r="L1204" s="2" t="s">
        <v>8593</v>
      </c>
      <c r="M1204" t="s">
        <v>8135</v>
      </c>
    </row>
    <row r="1205" spans="1:14" ht="39" x14ac:dyDescent="0.3">
      <c r="A1205" s="1" t="str">
        <f>HYPERLINK("https://ipmanager.doe.gov/IPManager//ExternalLink.aspx?6ibkph2k9yi6F%2B0Vz7YoTvPUg%2FVZPl3ivuqtnEYsru8%3D","Link")</f>
        <v>Link</v>
      </c>
      <c r="B1205" s="2" t="s">
        <v>3976</v>
      </c>
      <c r="C1205" s="2" t="s">
        <v>3958</v>
      </c>
      <c r="D1205" s="2" t="s">
        <v>1793</v>
      </c>
      <c r="E1205" s="2" t="s">
        <v>3977</v>
      </c>
      <c r="F1205" s="2" t="s">
        <v>3978</v>
      </c>
      <c r="G1205" s="2" t="s">
        <v>3964</v>
      </c>
      <c r="H1205" s="7" t="s">
        <v>3979</v>
      </c>
      <c r="I1205" s="2" t="s">
        <v>3980</v>
      </c>
      <c r="K1205" t="e">
        <v>#N/A</v>
      </c>
      <c r="L1205" s="2" t="s">
        <v>8593</v>
      </c>
      <c r="M1205" t="s">
        <v>8135</v>
      </c>
    </row>
    <row r="1206" spans="1:14" ht="39" x14ac:dyDescent="0.3">
      <c r="A1206" s="1" t="str">
        <f>HYPERLINK("https://ipmanager.doe.gov/IPManager//ExternalLink.aspx?6ibkph2k9yi6F%2B0Vz7YoTq6RR9BlGHHiUm%2FkXhb8OX8%3D","Link")</f>
        <v>Link</v>
      </c>
      <c r="B1206" s="2" t="s">
        <v>3986</v>
      </c>
      <c r="C1206" s="2" t="s">
        <v>3958</v>
      </c>
      <c r="D1206" s="2" t="s">
        <v>1793</v>
      </c>
      <c r="E1206" s="2" t="s">
        <v>3987</v>
      </c>
      <c r="F1206" s="2" t="s">
        <v>3988</v>
      </c>
      <c r="G1206" s="2" t="s">
        <v>3597</v>
      </c>
      <c r="H1206" s="7"/>
      <c r="I1206" s="2" t="s">
        <v>9</v>
      </c>
      <c r="J1206" t="s">
        <v>7557</v>
      </c>
      <c r="K1206" t="s">
        <v>7938</v>
      </c>
      <c r="L1206" s="2" t="s">
        <v>8593</v>
      </c>
      <c r="M1206" t="s">
        <v>8135</v>
      </c>
      <c r="N1206" s="4"/>
    </row>
    <row r="1207" spans="1:14" ht="39" x14ac:dyDescent="0.3">
      <c r="A1207" s="1" t="str">
        <f>HYPERLINK("https://ipmanager.doe.gov/IPManager//ExternalLink.aspx?6ibkph2k9yi6F%2B0Vz7YoTnXVN2REjGcWGJIXAT26N50%3D","Link")</f>
        <v>Link</v>
      </c>
      <c r="B1207" s="2" t="s">
        <v>3989</v>
      </c>
      <c r="C1207" s="2" t="s">
        <v>3958</v>
      </c>
      <c r="D1207" s="2" t="s">
        <v>1793</v>
      </c>
      <c r="E1207" s="2" t="s">
        <v>3990</v>
      </c>
      <c r="F1207" s="2" t="s">
        <v>3991</v>
      </c>
      <c r="G1207" s="2" t="s">
        <v>3150</v>
      </c>
      <c r="H1207" s="7"/>
      <c r="I1207" s="2" t="s">
        <v>9</v>
      </c>
      <c r="J1207" t="s">
        <v>7558</v>
      </c>
      <c r="K1207" t="s">
        <v>7939</v>
      </c>
      <c r="L1207" s="2" t="s">
        <v>8593</v>
      </c>
      <c r="M1207" t="s">
        <v>8135</v>
      </c>
      <c r="N1207" s="4"/>
    </row>
    <row r="1208" spans="1:14" ht="52" x14ac:dyDescent="0.3">
      <c r="A1208" s="1" t="str">
        <f>HYPERLINK("https://ipmanager.doe.gov/IPManager//ExternalLink.aspx?6ibkph2k9yi6F%2B0Vz7YoTgZwfmYxrNyKoCf7fCilTgM%3D","Link")</f>
        <v>Link</v>
      </c>
      <c r="B1208" s="2" t="s">
        <v>3992</v>
      </c>
      <c r="C1208" s="2" t="s">
        <v>3958</v>
      </c>
      <c r="D1208" s="2" t="s">
        <v>1793</v>
      </c>
      <c r="E1208" s="2" t="s">
        <v>3993</v>
      </c>
      <c r="F1208" s="2" t="s">
        <v>3994</v>
      </c>
      <c r="G1208" s="2" t="s">
        <v>3985</v>
      </c>
      <c r="H1208" s="7" t="s">
        <v>3995</v>
      </c>
      <c r="I1208" s="2" t="s">
        <v>3996</v>
      </c>
      <c r="K1208" t="e">
        <v>#N/A</v>
      </c>
      <c r="L1208" s="2" t="s">
        <v>8593</v>
      </c>
      <c r="M1208" t="s">
        <v>8135</v>
      </c>
    </row>
    <row r="1209" spans="1:14" ht="39" x14ac:dyDescent="0.3">
      <c r="A1209" s="1" t="str">
        <f>HYPERLINK("https://ipmanager.doe.gov/IPManager//ExternalLink.aspx?6ibkph2k9yi6F%2B0Vz7YoTgZwfmYxrNyKV%2BzsH89tYb8%3D","Link")</f>
        <v>Link</v>
      </c>
      <c r="B1209" s="2" t="s">
        <v>3997</v>
      </c>
      <c r="C1209" s="2" t="s">
        <v>3958</v>
      </c>
      <c r="D1209" s="2" t="s">
        <v>1793</v>
      </c>
      <c r="E1209" s="2" t="s">
        <v>3998</v>
      </c>
      <c r="F1209" s="2" t="s">
        <v>3999</v>
      </c>
      <c r="G1209" s="2" t="s">
        <v>3985</v>
      </c>
      <c r="H1209" s="8">
        <v>9748857</v>
      </c>
      <c r="I1209" s="2" t="s">
        <v>3916</v>
      </c>
      <c r="K1209" t="e">
        <v>#N/A</v>
      </c>
      <c r="L1209" s="2" t="s">
        <v>8593</v>
      </c>
      <c r="M1209" t="s">
        <v>8135</v>
      </c>
    </row>
    <row r="1210" spans="1:14" ht="26" x14ac:dyDescent="0.3">
      <c r="A1210" s="1" t="str">
        <f>HYPERLINK("https://ipmanager.doe.gov/IPManager//ExternalLink.aspx?6ibkph2k9yi6F%2B0Vz7YoTq6RR9BlGHHi8qG6NzWC69g%3D","Link")</f>
        <v>Link</v>
      </c>
      <c r="B1210" s="2" t="s">
        <v>4001</v>
      </c>
      <c r="C1210" s="2" t="s">
        <v>3958</v>
      </c>
      <c r="D1210" s="2" t="s">
        <v>1793</v>
      </c>
      <c r="E1210" s="2" t="s">
        <v>4002</v>
      </c>
      <c r="F1210" s="2"/>
      <c r="G1210" s="2" t="s">
        <v>9</v>
      </c>
      <c r="H1210" s="7"/>
      <c r="I1210" s="2" t="s">
        <v>9</v>
      </c>
      <c r="K1210" t="e">
        <v>#N/A</v>
      </c>
      <c r="L1210" s="2" t="s">
        <v>8593</v>
      </c>
      <c r="M1210" t="s">
        <v>8135</v>
      </c>
      <c r="N1210" s="4"/>
    </row>
    <row r="1211" spans="1:14" ht="52" x14ac:dyDescent="0.3">
      <c r="A1211" s="1" t="str">
        <f>HYPERLINK("https://ipmanager.doe.gov/IPManager//ExternalLink.aspx?6ibkph2k9yi6F%2B0Vz7YoTr7J5I%2BY4foYgSypYusry38%3D","Link")</f>
        <v>Link</v>
      </c>
      <c r="B1211" s="2" t="s">
        <v>4004</v>
      </c>
      <c r="C1211" s="2" t="s">
        <v>3958</v>
      </c>
      <c r="D1211" s="2" t="s">
        <v>1793</v>
      </c>
      <c r="E1211" s="2" t="s">
        <v>4005</v>
      </c>
      <c r="F1211" s="2"/>
      <c r="G1211" s="2" t="s">
        <v>9</v>
      </c>
      <c r="H1211" s="7"/>
      <c r="I1211" s="2" t="s">
        <v>9</v>
      </c>
      <c r="K1211" t="e">
        <v>#N/A</v>
      </c>
      <c r="L1211" s="2" t="s">
        <v>8593</v>
      </c>
      <c r="M1211" t="s">
        <v>8135</v>
      </c>
      <c r="N1211" s="4"/>
    </row>
    <row r="1212" spans="1:14" ht="39" x14ac:dyDescent="0.3">
      <c r="A1212" s="1" t="str">
        <f>HYPERLINK("https://ipmanager.doe.gov/IPManager//ExternalLink.aspx?6ibkph2k9yi6F%2B0Vz7YoTlNm8snv%2FZpHJTk28isQDv8%3D","Link")</f>
        <v>Link</v>
      </c>
      <c r="B1212" s="2" t="s">
        <v>4028</v>
      </c>
      <c r="C1212" s="2" t="s">
        <v>4007</v>
      </c>
      <c r="D1212" s="2" t="s">
        <v>4008</v>
      </c>
      <c r="E1212" s="2" t="s">
        <v>4029</v>
      </c>
      <c r="F1212" s="2" t="s">
        <v>4030</v>
      </c>
      <c r="G1212" s="2" t="s">
        <v>1388</v>
      </c>
      <c r="H1212" s="7"/>
      <c r="I1212" s="2" t="s">
        <v>9</v>
      </c>
      <c r="J1212" t="s">
        <v>5249</v>
      </c>
      <c r="K1212" t="s">
        <v>7692</v>
      </c>
      <c r="L1212" s="2" t="s">
        <v>8594</v>
      </c>
      <c r="M1212" t="s">
        <v>8136</v>
      </c>
      <c r="N1212" s="4"/>
    </row>
    <row r="1213" spans="1:14" ht="39" x14ac:dyDescent="0.3">
      <c r="A1213" s="1" t="str">
        <f>HYPERLINK("https://ipmanager.doe.gov/IPManager//ExternalLink.aspx?6ibkph2k9yi6F%2B0Vz7YoTk2BI6w%2FjZ2fdVABX1MuNik%3D","Link")</f>
        <v>Link</v>
      </c>
      <c r="B1213" s="2" t="s">
        <v>4040</v>
      </c>
      <c r="C1213" s="2" t="s">
        <v>4007</v>
      </c>
      <c r="D1213" s="2" t="s">
        <v>4008</v>
      </c>
      <c r="E1213" s="2" t="s">
        <v>4041</v>
      </c>
      <c r="F1213" s="2" t="s">
        <v>4042</v>
      </c>
      <c r="G1213" s="2" t="s">
        <v>1802</v>
      </c>
      <c r="H1213" s="7"/>
      <c r="I1213" s="2" t="s">
        <v>9</v>
      </c>
      <c r="J1213" t="s">
        <v>4042</v>
      </c>
      <c r="K1213" t="s">
        <v>7678</v>
      </c>
      <c r="L1213" s="2" t="s">
        <v>8594</v>
      </c>
      <c r="M1213" t="s">
        <v>8136</v>
      </c>
      <c r="N1213" s="4"/>
    </row>
    <row r="1214" spans="1:14" ht="39" x14ac:dyDescent="0.3">
      <c r="A1214" s="1" t="str">
        <f>HYPERLINK("https://ipmanager.doe.gov/IPManager//ExternalLink.aspx?6ibkph2k9yi6F%2B0Vz7YoThEBhkR3uHVrAXg%2BNVt079w%3D","Link")</f>
        <v>Link</v>
      </c>
      <c r="B1214" s="2" t="s">
        <v>4006</v>
      </c>
      <c r="C1214" s="2" t="s">
        <v>4007</v>
      </c>
      <c r="D1214" s="2" t="s">
        <v>4008</v>
      </c>
      <c r="E1214" s="2" t="s">
        <v>4009</v>
      </c>
      <c r="F1214" s="2" t="s">
        <v>4010</v>
      </c>
      <c r="G1214" s="2" t="s">
        <v>4011</v>
      </c>
      <c r="H1214" s="7" t="s">
        <v>4012</v>
      </c>
      <c r="I1214" s="2" t="s">
        <v>597</v>
      </c>
      <c r="K1214" t="e">
        <v>#N/A</v>
      </c>
      <c r="L1214" s="2" t="s">
        <v>8594</v>
      </c>
      <c r="M1214" t="s">
        <v>8136</v>
      </c>
    </row>
    <row r="1215" spans="1:14" ht="52" x14ac:dyDescent="0.3">
      <c r="A1215" s="1" t="str">
        <f>HYPERLINK("https://ipmanager.doe.gov/IPManager//ExternalLink.aspx?6ibkph2k9yi6F%2B0Vz7YoTvPUg%2FVZPl3iA9Q6oTnz7vw%3D","Link")</f>
        <v>Link</v>
      </c>
      <c r="B1215" s="2" t="s">
        <v>4014</v>
      </c>
      <c r="C1215" s="2" t="s">
        <v>4007</v>
      </c>
      <c r="D1215" s="2" t="s">
        <v>4008</v>
      </c>
      <c r="E1215" s="2" t="s">
        <v>4015</v>
      </c>
      <c r="F1215" s="2" t="s">
        <v>4016</v>
      </c>
      <c r="G1215" s="2" t="s">
        <v>4017</v>
      </c>
      <c r="H1215" s="7" t="s">
        <v>4018</v>
      </c>
      <c r="I1215" s="2" t="s">
        <v>855</v>
      </c>
      <c r="K1215" t="e">
        <v>#N/A</v>
      </c>
      <c r="L1215" s="2" t="s">
        <v>8594</v>
      </c>
      <c r="M1215" t="s">
        <v>8136</v>
      </c>
    </row>
    <row r="1216" spans="1:14" ht="26" x14ac:dyDescent="0.3">
      <c r="A1216" s="1" t="str">
        <f>HYPERLINK("https://ipmanager.doe.gov/IPManager//ExternalLink.aspx?6ibkph2k9yi6F%2B0Vz7YoTo7DPLa3%2F%2FGg%2Fhs4BnmpdTo%3D","Link")</f>
        <v>Link</v>
      </c>
      <c r="B1216" s="2" t="s">
        <v>4019</v>
      </c>
      <c r="C1216" s="2" t="s">
        <v>4007</v>
      </c>
      <c r="D1216" s="2" t="s">
        <v>4008</v>
      </c>
      <c r="E1216" s="2" t="s">
        <v>4020</v>
      </c>
      <c r="F1216" s="2" t="s">
        <v>4021</v>
      </c>
      <c r="G1216" s="2" t="s">
        <v>4022</v>
      </c>
      <c r="H1216" s="7" t="s">
        <v>4023</v>
      </c>
      <c r="I1216" s="2" t="s">
        <v>4024</v>
      </c>
      <c r="K1216" t="e">
        <v>#N/A</v>
      </c>
      <c r="L1216" s="2" t="s">
        <v>8594</v>
      </c>
      <c r="M1216" t="s">
        <v>8136</v>
      </c>
    </row>
    <row r="1217" spans="1:14" ht="39" x14ac:dyDescent="0.3">
      <c r="A1217" s="1" t="str">
        <f>HYPERLINK("https://ipmanager.doe.gov/IPManager//ExternalLink.aspx?6ibkph2k9yi6F%2B0Vz7YoTlNm8snv%2FZpHCjmOAHZbq9k%3D","Link")</f>
        <v>Link</v>
      </c>
      <c r="B1217" s="2" t="s">
        <v>4025</v>
      </c>
      <c r="C1217" s="2" t="s">
        <v>4007</v>
      </c>
      <c r="D1217" s="2" t="s">
        <v>4008</v>
      </c>
      <c r="E1217" s="2" t="s">
        <v>4026</v>
      </c>
      <c r="F1217" s="2" t="s">
        <v>4027</v>
      </c>
      <c r="G1217" s="2" t="s">
        <v>4022</v>
      </c>
      <c r="H1217" s="7"/>
      <c r="I1217" s="2" t="s">
        <v>9</v>
      </c>
      <c r="J1217" t="s">
        <v>7559</v>
      </c>
      <c r="K1217" t="s">
        <v>7940</v>
      </c>
      <c r="L1217" s="2" t="s">
        <v>8594</v>
      </c>
      <c r="M1217" t="s">
        <v>8136</v>
      </c>
      <c r="N1217" s="4"/>
    </row>
    <row r="1218" spans="1:14" ht="39" x14ac:dyDescent="0.3">
      <c r="A1218" s="1" t="str">
        <f>HYPERLINK("https://ipmanager.doe.gov/IPManager//ExternalLink.aspx?6ibkph2k9yi6F%2B0Vz7YoTlNm8snv%2FZpH%2FMbrTKCfvWc%3D","Link")</f>
        <v>Link</v>
      </c>
      <c r="B1218" s="2" t="s">
        <v>4031</v>
      </c>
      <c r="C1218" s="2" t="s">
        <v>4007</v>
      </c>
      <c r="D1218" s="2" t="s">
        <v>4008</v>
      </c>
      <c r="E1218" s="2" t="s">
        <v>4032</v>
      </c>
      <c r="F1218" s="2" t="s">
        <v>4033</v>
      </c>
      <c r="G1218" s="2" t="s">
        <v>4022</v>
      </c>
      <c r="H1218" s="7" t="s">
        <v>4034</v>
      </c>
      <c r="I1218" s="2" t="s">
        <v>4035</v>
      </c>
      <c r="K1218" t="e">
        <v>#N/A</v>
      </c>
      <c r="L1218" s="2" t="s">
        <v>8594</v>
      </c>
      <c r="M1218" t="s">
        <v>8136</v>
      </c>
    </row>
    <row r="1219" spans="1:14" ht="39" x14ac:dyDescent="0.3">
      <c r="A1219" s="1" t="str">
        <f>HYPERLINK("https://ipmanager.doe.gov/IPManager//ExternalLink.aspx?6ibkph2k9yi6F%2B0Vz7YoTlNm8snv%2FZpHG%2FWzqQGz7TQ%3D","Link")</f>
        <v>Link</v>
      </c>
      <c r="B1219" s="2" t="s">
        <v>4036</v>
      </c>
      <c r="C1219" s="2" t="s">
        <v>4007</v>
      </c>
      <c r="D1219" s="2" t="s">
        <v>4008</v>
      </c>
      <c r="E1219" s="2" t="s">
        <v>4037</v>
      </c>
      <c r="F1219" s="2" t="s">
        <v>4038</v>
      </c>
      <c r="G1219" s="2" t="s">
        <v>3934</v>
      </c>
      <c r="H1219" s="7" t="s">
        <v>4039</v>
      </c>
      <c r="I1219" s="2" t="s">
        <v>689</v>
      </c>
      <c r="K1219" t="e">
        <v>#N/A</v>
      </c>
      <c r="L1219" s="2" t="s">
        <v>8594</v>
      </c>
      <c r="M1219" t="s">
        <v>8136</v>
      </c>
    </row>
    <row r="1220" spans="1:14" ht="39" x14ac:dyDescent="0.3">
      <c r="A1220" s="1" t="str">
        <f>HYPERLINK("https://ipmanager.doe.gov/IPManager//ExternalLink.aspx?6ibkph2k9yi6F%2B0Vz7YoTk2BI6w%2FjZ2f6PUnFcAWmXg%3D","Link")</f>
        <v>Link</v>
      </c>
      <c r="B1220" s="2" t="s">
        <v>4043</v>
      </c>
      <c r="C1220" s="2" t="s">
        <v>4007</v>
      </c>
      <c r="D1220" s="2" t="s">
        <v>4008</v>
      </c>
      <c r="E1220" s="2" t="s">
        <v>4009</v>
      </c>
      <c r="F1220" s="2" t="s">
        <v>4013</v>
      </c>
      <c r="G1220" s="2" t="s">
        <v>211</v>
      </c>
      <c r="H1220" s="7" t="s">
        <v>4044</v>
      </c>
      <c r="I1220" s="2" t="s">
        <v>381</v>
      </c>
      <c r="K1220" t="e">
        <v>#N/A</v>
      </c>
      <c r="L1220" s="2" t="s">
        <v>8594</v>
      </c>
      <c r="M1220" t="s">
        <v>8136</v>
      </c>
    </row>
    <row r="1221" spans="1:14" ht="26" x14ac:dyDescent="0.3">
      <c r="A1221" s="1" t="str">
        <f>HYPERLINK("https://ipmanager.doe.gov/IPManager//ExternalLink.aspx?6ibkph2k9yi6F%2B0Vz7YoTgZwfmYxrNyKKxO0GfgVh1k%3D","Link")</f>
        <v>Link</v>
      </c>
      <c r="B1221" s="2" t="s">
        <v>4045</v>
      </c>
      <c r="C1221" s="2" t="s">
        <v>4007</v>
      </c>
      <c r="D1221" s="2" t="s">
        <v>4008</v>
      </c>
      <c r="E1221" s="2" t="s">
        <v>4046</v>
      </c>
      <c r="F1221" s="2"/>
      <c r="G1221" s="2" t="s">
        <v>9</v>
      </c>
      <c r="H1221" s="7"/>
      <c r="I1221" s="2" t="s">
        <v>9</v>
      </c>
      <c r="K1221" t="e">
        <v>#N/A</v>
      </c>
      <c r="L1221" s="2" t="s">
        <v>8594</v>
      </c>
      <c r="M1221" t="s">
        <v>8136</v>
      </c>
      <c r="N1221" s="4"/>
    </row>
    <row r="1222" spans="1:14" ht="52" x14ac:dyDescent="0.3">
      <c r="A1222" s="1" t="str">
        <f>HYPERLINK("https://ipmanager.doe.gov/IPManager//ExternalLink.aspx?6ibkph2k9yi6F%2B0Vz7YoTgZwfmYxrNyKo1mAIvgIbcs%3D","Link")</f>
        <v>Link</v>
      </c>
      <c r="B1222" s="2" t="s">
        <v>4047</v>
      </c>
      <c r="C1222" s="2" t="s">
        <v>4048</v>
      </c>
      <c r="D1222" s="2" t="s">
        <v>308</v>
      </c>
      <c r="E1222" s="2" t="s">
        <v>4049</v>
      </c>
      <c r="F1222" s="2"/>
      <c r="G1222" s="2" t="s">
        <v>9</v>
      </c>
      <c r="H1222" s="7"/>
      <c r="I1222" s="2" t="s">
        <v>9</v>
      </c>
      <c r="K1222" t="e">
        <v>#N/A</v>
      </c>
      <c r="L1222" s="2" t="s">
        <v>8595</v>
      </c>
      <c r="M1222" t="s">
        <v>8137</v>
      </c>
      <c r="N1222" s="4"/>
    </row>
    <row r="1223" spans="1:14" ht="65" x14ac:dyDescent="0.3">
      <c r="A1223" s="1" t="str">
        <f>HYPERLINK("https://ipmanager.doe.gov/IPManager//ExternalLink.aspx?6ibkph2k9yi6F%2B0Vz7YoTgZwfmYxrNyKw8RAo%2B3C%2BUs%3D","Link")</f>
        <v>Link</v>
      </c>
      <c r="B1223" s="2" t="s">
        <v>4050</v>
      </c>
      <c r="C1223" s="2" t="s">
        <v>4048</v>
      </c>
      <c r="D1223" s="2" t="s">
        <v>308</v>
      </c>
      <c r="E1223" s="2" t="s">
        <v>4051</v>
      </c>
      <c r="F1223" s="2"/>
      <c r="G1223" s="2" t="s">
        <v>9</v>
      </c>
      <c r="H1223" s="7"/>
      <c r="I1223" s="2" t="s">
        <v>9</v>
      </c>
      <c r="K1223" t="e">
        <v>#N/A</v>
      </c>
      <c r="L1223" s="2" t="s">
        <v>8595</v>
      </c>
      <c r="M1223" t="s">
        <v>8137</v>
      </c>
      <c r="N1223" s="4"/>
    </row>
    <row r="1224" spans="1:14" ht="104" x14ac:dyDescent="0.3">
      <c r="A1224" s="1" t="str">
        <f>HYPERLINK("https://ipmanager.doe.gov/IPManager//ExternalLink.aspx?6ibkph2k9yi6F%2B0Vz7YoTq6RR9BlGHHiE9cf1vIFEYE%3D","Link")</f>
        <v>Link</v>
      </c>
      <c r="B1224" s="2" t="s">
        <v>4053</v>
      </c>
      <c r="C1224" s="2" t="s">
        <v>4054</v>
      </c>
      <c r="D1224" s="2" t="s">
        <v>4055</v>
      </c>
      <c r="E1224" s="2" t="s">
        <v>4056</v>
      </c>
      <c r="F1224" s="2" t="s">
        <v>4057</v>
      </c>
      <c r="G1224" s="2" t="s">
        <v>2902</v>
      </c>
      <c r="H1224" s="7"/>
      <c r="I1224" s="2" t="s">
        <v>9</v>
      </c>
      <c r="K1224" t="e">
        <v>#N/A</v>
      </c>
      <c r="L1224" s="2" t="s">
        <v>8596</v>
      </c>
      <c r="M1224" t="s">
        <v>8138</v>
      </c>
      <c r="N1224" s="4"/>
    </row>
    <row r="1225" spans="1:14" ht="26" x14ac:dyDescent="0.3">
      <c r="A1225" s="1" t="str">
        <f>HYPERLINK("https://ipmanager.doe.gov/IPManager//ExternalLink.aspx?6ibkph2k9yi6F%2B0Vz7YoTvPUg%2FVZPl3ikDbvnOcyJG4%3D","Link")</f>
        <v>Link</v>
      </c>
      <c r="B1225" s="2" t="s">
        <v>4058</v>
      </c>
      <c r="C1225" s="2" t="s">
        <v>4059</v>
      </c>
      <c r="D1225" s="2" t="s">
        <v>4060</v>
      </c>
      <c r="E1225" s="2" t="s">
        <v>4061</v>
      </c>
      <c r="F1225" s="2" t="s">
        <v>4062</v>
      </c>
      <c r="G1225" s="2" t="s">
        <v>1765</v>
      </c>
      <c r="H1225" s="7"/>
      <c r="I1225" s="2" t="s">
        <v>9</v>
      </c>
      <c r="K1225" t="e">
        <v>#N/A</v>
      </c>
      <c r="L1225" s="2" t="e">
        <v>#N/A</v>
      </c>
      <c r="M1225" t="e">
        <v>#N/A</v>
      </c>
      <c r="N1225" s="4"/>
    </row>
    <row r="1226" spans="1:14" ht="78" x14ac:dyDescent="0.3">
      <c r="A1226" s="1" t="str">
        <f>HYPERLINK("https://ipmanager.doe.gov/IPManager//ExternalLink.aspx?6ibkph2k9yi6F%2B0Vz7YoTr7J5I%2BY4foYCNJFlKM2Y9M%3D","Link")</f>
        <v>Link</v>
      </c>
      <c r="B1226" s="2" t="s">
        <v>4066</v>
      </c>
      <c r="C1226" s="2" t="s">
        <v>4064</v>
      </c>
      <c r="D1226" s="2" t="s">
        <v>3062</v>
      </c>
      <c r="E1226" s="2" t="s">
        <v>4067</v>
      </c>
      <c r="F1226" s="2" t="s">
        <v>4068</v>
      </c>
      <c r="G1226" s="2" t="s">
        <v>4069</v>
      </c>
      <c r="H1226" s="7" t="s">
        <v>4070</v>
      </c>
      <c r="I1226" s="2" t="s">
        <v>4071</v>
      </c>
      <c r="K1226" t="e">
        <v>#N/A</v>
      </c>
      <c r="L1226" s="2" t="s">
        <v>8597</v>
      </c>
      <c r="M1226" t="s">
        <v>8139</v>
      </c>
    </row>
    <row r="1227" spans="1:14" ht="52" x14ac:dyDescent="0.3">
      <c r="A1227" s="1" t="str">
        <f>HYPERLINK("https://ipmanager.doe.gov/IPManager//ExternalLink.aspx?6ibkph2k9yi6F%2B0Vz7YoTipZ798QK%2BbPu1RP8B4tNwA%3D","Link")</f>
        <v>Link</v>
      </c>
      <c r="B1227" s="2" t="s">
        <v>4063</v>
      </c>
      <c r="C1227" s="2" t="s">
        <v>4064</v>
      </c>
      <c r="D1227" s="2" t="s">
        <v>3066</v>
      </c>
      <c r="E1227" s="2" t="s">
        <v>4065</v>
      </c>
      <c r="F1227" s="2" t="s">
        <v>7653</v>
      </c>
      <c r="G1227" s="2" t="s">
        <v>3207</v>
      </c>
      <c r="H1227" s="7"/>
      <c r="I1227" s="2" t="s">
        <v>9</v>
      </c>
      <c r="K1227" t="e">
        <v>#N/A</v>
      </c>
      <c r="L1227" s="2" t="s">
        <v>8597</v>
      </c>
      <c r="M1227" t="s">
        <v>8139</v>
      </c>
      <c r="N1227" s="4"/>
    </row>
    <row r="1228" spans="1:14" ht="52" x14ac:dyDescent="0.3">
      <c r="A1228" s="1" t="str">
        <f>HYPERLINK("https://ipmanager.doe.gov/IPManager//ExternalLink.aspx?6ibkph2k9yi6F%2B0Vz7YoTq6RR9BlGHHiN88c0OsRQCI%3D","Link")</f>
        <v>Link</v>
      </c>
      <c r="B1228" s="2" t="s">
        <v>4088</v>
      </c>
      <c r="C1228" s="2" t="s">
        <v>4073</v>
      </c>
      <c r="D1228" s="2" t="s">
        <v>4089</v>
      </c>
      <c r="E1228" s="2" t="s">
        <v>3148</v>
      </c>
      <c r="F1228" s="2" t="s">
        <v>4090</v>
      </c>
      <c r="G1228" s="2" t="s">
        <v>4091</v>
      </c>
      <c r="H1228" s="7"/>
      <c r="I1228" s="2" t="s">
        <v>9</v>
      </c>
      <c r="K1228" t="e">
        <v>#N/A</v>
      </c>
      <c r="L1228" s="2" t="s">
        <v>8598</v>
      </c>
      <c r="M1228" t="s">
        <v>8140</v>
      </c>
      <c r="N1228" s="4"/>
    </row>
    <row r="1229" spans="1:14" ht="52" x14ac:dyDescent="0.3">
      <c r="A1229" s="1" t="str">
        <f>HYPERLINK("https://ipmanager.doe.gov/IPManager//ExternalLink.aspx?6ibkph2k9yi6F%2B0Vz7YoTlNm8snv%2FZpHBYzqxUQLoM8%3D","Link")</f>
        <v>Link</v>
      </c>
      <c r="B1229" s="2" t="s">
        <v>4083</v>
      </c>
      <c r="C1229" s="2" t="s">
        <v>4073</v>
      </c>
      <c r="D1229" s="2" t="s">
        <v>2019</v>
      </c>
      <c r="E1229" s="2" t="s">
        <v>4084</v>
      </c>
      <c r="F1229" s="2"/>
      <c r="G1229" s="2" t="s">
        <v>9</v>
      </c>
      <c r="H1229" s="7"/>
      <c r="I1229" s="2" t="s">
        <v>9</v>
      </c>
      <c r="K1229" t="e">
        <v>#N/A</v>
      </c>
      <c r="L1229" s="2" t="s">
        <v>8598</v>
      </c>
      <c r="M1229" t="s">
        <v>8140</v>
      </c>
      <c r="N1229" s="4"/>
    </row>
    <row r="1230" spans="1:14" ht="52" x14ac:dyDescent="0.3">
      <c r="A1230" s="1" t="str">
        <f>HYPERLINK("https://ipmanager.doe.gov/IPManager//ExternalLink.aspx?6ibkph2k9yi6F%2B0Vz7YoTq6RR9BlGHHiCsM8kYXiNVo%3D","Link")</f>
        <v>Link</v>
      </c>
      <c r="B1230" s="2" t="s">
        <v>4085</v>
      </c>
      <c r="C1230" s="2" t="s">
        <v>4073</v>
      </c>
      <c r="D1230" s="2" t="s">
        <v>2019</v>
      </c>
      <c r="E1230" s="2" t="s">
        <v>4086</v>
      </c>
      <c r="F1230" s="2"/>
      <c r="G1230" s="2" t="s">
        <v>9</v>
      </c>
      <c r="H1230" s="7"/>
      <c r="I1230" s="2" t="s">
        <v>9</v>
      </c>
      <c r="K1230" t="e">
        <v>#N/A</v>
      </c>
      <c r="L1230" s="2" t="s">
        <v>8598</v>
      </c>
      <c r="M1230" t="s">
        <v>8140</v>
      </c>
      <c r="N1230" s="4"/>
    </row>
    <row r="1231" spans="1:14" ht="65" x14ac:dyDescent="0.3">
      <c r="A1231" s="1" t="str">
        <f>HYPERLINK("https://ipmanager.doe.gov/IPManager//ExternalLink.aspx?6ibkph2k9yi6F%2B0Vz7YoTlNm8snv%2FZpHOb5N1sOAjWc%3D","Link")</f>
        <v>Link</v>
      </c>
      <c r="B1231" s="2" t="s">
        <v>4098</v>
      </c>
      <c r="C1231" s="2" t="s">
        <v>4073</v>
      </c>
      <c r="D1231" s="2" t="s">
        <v>2019</v>
      </c>
      <c r="E1231" s="2" t="s">
        <v>4099</v>
      </c>
      <c r="F1231" s="2"/>
      <c r="G1231" s="2" t="s">
        <v>9</v>
      </c>
      <c r="H1231" s="7"/>
      <c r="I1231" s="2" t="s">
        <v>9</v>
      </c>
      <c r="K1231" t="e">
        <v>#N/A</v>
      </c>
      <c r="L1231" s="2" t="s">
        <v>8598</v>
      </c>
      <c r="M1231" t="s">
        <v>8140</v>
      </c>
      <c r="N1231" s="4"/>
    </row>
    <row r="1232" spans="1:14" ht="52" x14ac:dyDescent="0.3">
      <c r="A1232" s="1" t="str">
        <f>HYPERLINK("https://ipmanager.doe.gov/IPManager//ExternalLink.aspx?6ibkph2k9yi6F%2B0Vz7YoTq6RR9BlGHHii%2F%2FDMN2bYI0%3D","Link")</f>
        <v>Link</v>
      </c>
      <c r="B1232" s="2" t="s">
        <v>4100</v>
      </c>
      <c r="C1232" s="2" t="s">
        <v>4073</v>
      </c>
      <c r="D1232" s="2" t="s">
        <v>2019</v>
      </c>
      <c r="E1232" s="2" t="s">
        <v>4101</v>
      </c>
      <c r="F1232" s="2"/>
      <c r="G1232" s="2" t="s">
        <v>9</v>
      </c>
      <c r="H1232" s="7"/>
      <c r="I1232" s="2" t="s">
        <v>9</v>
      </c>
      <c r="K1232" t="e">
        <v>#N/A</v>
      </c>
      <c r="L1232" s="2" t="s">
        <v>8598</v>
      </c>
      <c r="M1232" t="s">
        <v>8140</v>
      </c>
      <c r="N1232" s="4"/>
    </row>
    <row r="1233" spans="1:14" ht="39" x14ac:dyDescent="0.3">
      <c r="A1233" s="1" t="str">
        <f>HYPERLINK("https://ipmanager.doe.gov/IPManager//ExternalLink.aspx?6ibkph2k9yi6F%2B0Vz7YoTlNm8snv%2FZpHNFT2E%2F4PDQA%3D","Link")</f>
        <v>Link</v>
      </c>
      <c r="B1233" s="2" t="s">
        <v>4106</v>
      </c>
      <c r="C1233" s="2" t="s">
        <v>4073</v>
      </c>
      <c r="D1233" s="2" t="s">
        <v>2019</v>
      </c>
      <c r="E1233" s="2" t="s">
        <v>4107</v>
      </c>
      <c r="F1233" s="2"/>
      <c r="G1233" s="2" t="s">
        <v>9</v>
      </c>
      <c r="H1233" s="7"/>
      <c r="I1233" s="2" t="s">
        <v>9</v>
      </c>
      <c r="K1233" t="e">
        <v>#N/A</v>
      </c>
      <c r="L1233" s="2" t="s">
        <v>8598</v>
      </c>
      <c r="M1233" t="s">
        <v>8140</v>
      </c>
      <c r="N1233" s="4"/>
    </row>
    <row r="1234" spans="1:14" ht="39" x14ac:dyDescent="0.3">
      <c r="A1234" s="1" t="str">
        <f>HYPERLINK("https://ipmanager.doe.gov/IPManager//ExternalLink.aspx?6ibkph2k9yi6F%2B0Vz7YoTk2BI6w%2FjZ2fPP5OaMxdKgQ%3D","Link")</f>
        <v>Link</v>
      </c>
      <c r="B1234" s="2" t="s">
        <v>4108</v>
      </c>
      <c r="C1234" s="2" t="s">
        <v>4073</v>
      </c>
      <c r="D1234" s="2" t="s">
        <v>2019</v>
      </c>
      <c r="E1234" s="2" t="s">
        <v>4109</v>
      </c>
      <c r="F1234" s="2" t="s">
        <v>4110</v>
      </c>
      <c r="G1234" s="2" t="s">
        <v>4111</v>
      </c>
      <c r="H1234" s="7"/>
      <c r="I1234" s="2" t="s">
        <v>9</v>
      </c>
      <c r="J1234" t="s">
        <v>7560</v>
      </c>
      <c r="K1234" t="s">
        <v>7941</v>
      </c>
      <c r="L1234" s="2" t="s">
        <v>8598</v>
      </c>
      <c r="M1234" t="s">
        <v>8140</v>
      </c>
      <c r="N1234" s="4"/>
    </row>
    <row r="1235" spans="1:14" ht="52" x14ac:dyDescent="0.3">
      <c r="A1235" s="1" t="str">
        <f>HYPERLINK("https://ipmanager.doe.gov/IPManager//ExternalLink.aspx?6ibkph2k9yi6F%2B0Vz7YoTjnDGhmGHGI7dj%2FbSWFNMdw%3D","Link")</f>
        <v>Link</v>
      </c>
      <c r="B1235" s="2" t="s">
        <v>4119</v>
      </c>
      <c r="C1235" s="2" t="s">
        <v>4073</v>
      </c>
      <c r="D1235" s="2" t="s">
        <v>2019</v>
      </c>
      <c r="E1235" s="2" t="s">
        <v>4120</v>
      </c>
      <c r="F1235" s="2"/>
      <c r="G1235" s="2" t="s">
        <v>9</v>
      </c>
      <c r="H1235" s="7"/>
      <c r="I1235" s="2" t="s">
        <v>9</v>
      </c>
      <c r="K1235" t="e">
        <v>#N/A</v>
      </c>
      <c r="L1235" s="2" t="s">
        <v>8598</v>
      </c>
      <c r="M1235" t="s">
        <v>8140</v>
      </c>
      <c r="N1235" s="4"/>
    </row>
    <row r="1236" spans="1:14" ht="39" x14ac:dyDescent="0.3">
      <c r="A1236" s="1" t="str">
        <f>HYPERLINK("https://ipmanager.doe.gov/IPManager//ExternalLink.aspx?6ibkph2k9yi6F%2B0Vz7YoTr7J5I%2BY4foYD6b4%2FayFpDg%3D","Link")</f>
        <v>Link</v>
      </c>
      <c r="B1236" s="2" t="s">
        <v>4072</v>
      </c>
      <c r="C1236" s="2" t="s">
        <v>4073</v>
      </c>
      <c r="D1236" s="2" t="s">
        <v>2019</v>
      </c>
      <c r="E1236" s="2" t="s">
        <v>4074</v>
      </c>
      <c r="F1236" s="2" t="s">
        <v>4075</v>
      </c>
      <c r="G1236" s="2" t="s">
        <v>2396</v>
      </c>
      <c r="H1236" s="7"/>
      <c r="I1236" s="2" t="s">
        <v>9</v>
      </c>
      <c r="K1236" t="e">
        <v>#N/A</v>
      </c>
      <c r="L1236" s="2" t="s">
        <v>8598</v>
      </c>
      <c r="M1236" t="s">
        <v>8140</v>
      </c>
      <c r="N1236" s="4"/>
    </row>
    <row r="1237" spans="1:14" ht="52" x14ac:dyDescent="0.3">
      <c r="A1237" s="1" t="str">
        <f>HYPERLINK("https://ipmanager.doe.gov/IPManager//ExternalLink.aspx?6ibkph2k9yi6F%2B0Vz7YoTk2BI6w%2FjZ2fIeyaoJJH7xA%3D","Link")</f>
        <v>Link</v>
      </c>
      <c r="B1237" s="2" t="s">
        <v>4076</v>
      </c>
      <c r="C1237" s="2" t="s">
        <v>4073</v>
      </c>
      <c r="D1237" s="2" t="s">
        <v>2019</v>
      </c>
      <c r="E1237" s="2" t="s">
        <v>4077</v>
      </c>
      <c r="F1237" s="2" t="s">
        <v>4078</v>
      </c>
      <c r="G1237" s="2" t="s">
        <v>3254</v>
      </c>
      <c r="H1237" s="7"/>
      <c r="I1237" s="2" t="s">
        <v>9</v>
      </c>
      <c r="K1237" t="e">
        <v>#N/A</v>
      </c>
      <c r="L1237" s="2" t="s">
        <v>8598</v>
      </c>
      <c r="M1237" t="s">
        <v>8140</v>
      </c>
      <c r="N1237" s="4"/>
    </row>
    <row r="1238" spans="1:14" ht="52" x14ac:dyDescent="0.3">
      <c r="A1238" s="1" t="str">
        <f>HYPERLINK("https://ipmanager.doe.gov/IPManager//ExternalLink.aspx?6ibkph2k9yi6F%2B0Vz7YoTo7DPLa3%2F%2FGgeq9MV8xj%2Fco%3D","Link")</f>
        <v>Link</v>
      </c>
      <c r="B1238" s="2" t="s">
        <v>4079</v>
      </c>
      <c r="C1238" s="2" t="s">
        <v>4073</v>
      </c>
      <c r="D1238" s="2" t="s">
        <v>2019</v>
      </c>
      <c r="E1238" s="2" t="s">
        <v>4080</v>
      </c>
      <c r="F1238" s="2" t="s">
        <v>4081</v>
      </c>
      <c r="G1238" s="2" t="s">
        <v>4082</v>
      </c>
      <c r="H1238" s="7"/>
      <c r="I1238" s="2" t="s">
        <v>9</v>
      </c>
      <c r="K1238" t="e">
        <v>#N/A</v>
      </c>
      <c r="L1238" s="2" t="s">
        <v>8598</v>
      </c>
      <c r="M1238" t="s">
        <v>8140</v>
      </c>
      <c r="N1238" s="4"/>
    </row>
    <row r="1239" spans="1:14" ht="39" x14ac:dyDescent="0.3">
      <c r="A1239" s="1" t="str">
        <f>HYPERLINK("https://ipmanager.doe.gov/IPManager//ExternalLink.aspx?6ibkph2k9yi6F%2B0Vz7YoTo7DPLa3%2F%2FGg9UJmemYjY4E%3D","Link")</f>
        <v>Link</v>
      </c>
      <c r="B1239" s="2" t="s">
        <v>4092</v>
      </c>
      <c r="C1239" s="2" t="s">
        <v>4073</v>
      </c>
      <c r="D1239" s="2" t="s">
        <v>2019</v>
      </c>
      <c r="E1239" s="2" t="s">
        <v>4093</v>
      </c>
      <c r="F1239" s="2" t="s">
        <v>4094</v>
      </c>
      <c r="G1239" s="2" t="s">
        <v>4095</v>
      </c>
      <c r="H1239" s="7"/>
      <c r="I1239" s="2" t="s">
        <v>9</v>
      </c>
      <c r="K1239" t="e">
        <v>#N/A</v>
      </c>
      <c r="L1239" s="2" t="s">
        <v>8598</v>
      </c>
      <c r="M1239" t="s">
        <v>8140</v>
      </c>
      <c r="N1239" s="4"/>
    </row>
    <row r="1240" spans="1:14" ht="78" x14ac:dyDescent="0.3">
      <c r="A1240" s="1" t="str">
        <f>HYPERLINK("https://ipmanager.doe.gov/IPManager//ExternalLink.aspx?6ibkph2k9yi6F%2B0Vz7YoTgZwfmYxrNyKiwgnSaKY8CU%3D","Link")</f>
        <v>Link</v>
      </c>
      <c r="B1240" s="2" t="s">
        <v>4096</v>
      </c>
      <c r="C1240" s="2" t="s">
        <v>4073</v>
      </c>
      <c r="D1240" s="2" t="s">
        <v>2019</v>
      </c>
      <c r="E1240" s="2" t="s">
        <v>4097</v>
      </c>
      <c r="F1240" s="2" t="s">
        <v>4078</v>
      </c>
      <c r="G1240" s="2" t="s">
        <v>3254</v>
      </c>
      <c r="H1240" s="7"/>
      <c r="I1240" s="2" t="s">
        <v>9</v>
      </c>
      <c r="K1240" t="e">
        <v>#N/A</v>
      </c>
      <c r="L1240" s="2" t="s">
        <v>8598</v>
      </c>
      <c r="M1240" t="s">
        <v>8140</v>
      </c>
      <c r="N1240" s="4"/>
    </row>
    <row r="1241" spans="1:14" ht="39" x14ac:dyDescent="0.3">
      <c r="A1241" s="1" t="str">
        <f>HYPERLINK("https://ipmanager.doe.gov/IPManager//ExternalLink.aspx?6ibkph2k9yi6F%2B0Vz7YoTlNm8snv%2FZpHxNVjLwX0AV8%3D","Link")</f>
        <v>Link</v>
      </c>
      <c r="B1241" s="2" t="s">
        <v>4102</v>
      </c>
      <c r="C1241" s="2" t="s">
        <v>4073</v>
      </c>
      <c r="D1241" s="2" t="s">
        <v>2019</v>
      </c>
      <c r="E1241" s="2" t="s">
        <v>4103</v>
      </c>
      <c r="F1241" s="2" t="s">
        <v>4104</v>
      </c>
      <c r="G1241" s="2" t="s">
        <v>4105</v>
      </c>
      <c r="H1241" s="7"/>
      <c r="I1241" s="2" t="s">
        <v>9</v>
      </c>
      <c r="K1241" t="e">
        <v>#N/A</v>
      </c>
      <c r="L1241" s="2" t="s">
        <v>8598</v>
      </c>
      <c r="M1241" t="s">
        <v>8140</v>
      </c>
      <c r="N1241" s="4"/>
    </row>
    <row r="1242" spans="1:14" ht="52" x14ac:dyDescent="0.3">
      <c r="A1242" s="1" t="str">
        <f>HYPERLINK("https://ipmanager.doe.gov/IPManager//ExternalLink.aspx?6ibkph2k9yi6F%2B0Vz7YoTk2BI6w%2FjZ2fy8eRpnT1XrA%3D","Link")</f>
        <v>Link</v>
      </c>
      <c r="B1242" s="2" t="s">
        <v>4112</v>
      </c>
      <c r="C1242" s="2" t="s">
        <v>4073</v>
      </c>
      <c r="D1242" s="2" t="s">
        <v>2019</v>
      </c>
      <c r="E1242" s="2" t="s">
        <v>4113</v>
      </c>
      <c r="F1242" s="2" t="s">
        <v>4114</v>
      </c>
      <c r="G1242" s="2" t="s">
        <v>4111</v>
      </c>
      <c r="H1242" s="7"/>
      <c r="I1242" s="2" t="s">
        <v>9</v>
      </c>
      <c r="K1242" t="e">
        <v>#N/A</v>
      </c>
      <c r="L1242" s="2" t="s">
        <v>8598</v>
      </c>
      <c r="M1242" t="s">
        <v>8140</v>
      </c>
      <c r="N1242" s="4"/>
    </row>
    <row r="1243" spans="1:14" ht="39" x14ac:dyDescent="0.3">
      <c r="A1243" s="1" t="str">
        <f>HYPERLINK("https://ipmanager.doe.gov/IPManager//ExternalLink.aspx?6ibkph2k9yi6F%2B0Vz7YoTjnDGhmGHGI7rsu2OO3O9MQ%3D","Link")</f>
        <v>Link</v>
      </c>
      <c r="B1243" s="2" t="s">
        <v>4115</v>
      </c>
      <c r="C1243" s="2" t="s">
        <v>4073</v>
      </c>
      <c r="D1243" s="2" t="s">
        <v>2019</v>
      </c>
      <c r="E1243" s="2" t="s">
        <v>4116</v>
      </c>
      <c r="F1243" s="2" t="s">
        <v>4117</v>
      </c>
      <c r="G1243" s="2" t="s">
        <v>4118</v>
      </c>
      <c r="H1243" s="7"/>
      <c r="I1243" s="2" t="s">
        <v>9</v>
      </c>
      <c r="K1243" t="e">
        <v>#N/A</v>
      </c>
      <c r="L1243" s="2" t="s">
        <v>8598</v>
      </c>
      <c r="M1243" t="s">
        <v>8140</v>
      </c>
      <c r="N1243" s="4"/>
    </row>
    <row r="1244" spans="1:14" ht="52" x14ac:dyDescent="0.3">
      <c r="A1244" s="1" t="str">
        <f>HYPERLINK("https://ipmanager.doe.gov/IPManager//ExternalLink.aspx?6ibkph2k9yi6F%2B0Vz7YoTgZwfmYxrNyKcQrTQojH8D0%3D","Link")</f>
        <v>Link</v>
      </c>
      <c r="B1244" s="2" t="s">
        <v>4121</v>
      </c>
      <c r="C1244" s="2" t="s">
        <v>4122</v>
      </c>
      <c r="D1244" s="2" t="s">
        <v>4123</v>
      </c>
      <c r="E1244" s="2" t="s">
        <v>4124</v>
      </c>
      <c r="F1244" s="2" t="s">
        <v>4125</v>
      </c>
      <c r="G1244" s="2" t="s">
        <v>755</v>
      </c>
      <c r="H1244" s="2"/>
      <c r="I1244" s="2" t="s">
        <v>9</v>
      </c>
      <c r="K1244" t="e">
        <v>#N/A</v>
      </c>
      <c r="L1244" s="2" t="s">
        <v>8599</v>
      </c>
      <c r="M1244" t="s">
        <v>8141</v>
      </c>
      <c r="N1244" s="4"/>
    </row>
    <row r="1245" spans="1:14" ht="65" x14ac:dyDescent="0.3">
      <c r="A1245" s="1" t="str">
        <f>HYPERLINK("https://ipmanager.doe.gov/IPManager//ExternalLink.aspx?6ibkph2k9yi6F%2B0Vz7YoTo7DPLa3%2F%2FGgeMG5gbs%2FcvA%3D","Link")</f>
        <v>Link</v>
      </c>
      <c r="B1245" s="2" t="s">
        <v>4126</v>
      </c>
      <c r="C1245" s="2" t="s">
        <v>4127</v>
      </c>
      <c r="D1245" s="2" t="s">
        <v>4128</v>
      </c>
      <c r="E1245" s="2" t="s">
        <v>4129</v>
      </c>
      <c r="F1245" s="2" t="s">
        <v>4130</v>
      </c>
      <c r="G1245" s="2" t="s">
        <v>470</v>
      </c>
      <c r="H1245" s="7"/>
      <c r="I1245" s="2" t="s">
        <v>9</v>
      </c>
      <c r="K1245" t="e">
        <v>#N/A</v>
      </c>
      <c r="L1245" s="2" t="s">
        <v>8600</v>
      </c>
      <c r="M1245" t="s">
        <v>8142</v>
      </c>
      <c r="N1245" s="4"/>
    </row>
    <row r="1246" spans="1:14" ht="39" x14ac:dyDescent="0.3">
      <c r="A1246" s="1" t="str">
        <f>HYPERLINK("https://ipmanager.doe.gov/IPManager//ExternalLink.aspx?6ibkph2k9yi6F%2B0Vz7YoTk2BI6w%2FjZ2fODONT456yKU%3D","Link")</f>
        <v>Link</v>
      </c>
      <c r="B1246" s="2" t="s">
        <v>4131</v>
      </c>
      <c r="C1246" s="2" t="s">
        <v>4127</v>
      </c>
      <c r="D1246" s="2" t="s">
        <v>4128</v>
      </c>
      <c r="E1246" s="2" t="s">
        <v>4132</v>
      </c>
      <c r="F1246" s="2" t="s">
        <v>4133</v>
      </c>
      <c r="G1246" s="2" t="s">
        <v>947</v>
      </c>
      <c r="H1246" s="7"/>
      <c r="I1246" s="2" t="s">
        <v>9</v>
      </c>
      <c r="K1246" t="e">
        <v>#N/A</v>
      </c>
      <c r="L1246" s="2" t="s">
        <v>8600</v>
      </c>
      <c r="M1246" t="s">
        <v>8142</v>
      </c>
      <c r="N1246" s="4"/>
    </row>
    <row r="1247" spans="1:14" ht="26" x14ac:dyDescent="0.3">
      <c r="A1247" s="1" t="str">
        <f>HYPERLINK("https://ipmanager.doe.gov/IPManager//ExternalLink.aspx?6ibkph2k9yi6F%2B0Vz7YoTq6RR9BlGHHiG77gjwv0r2k%3D","Link")</f>
        <v>Link</v>
      </c>
      <c r="B1247" s="2" t="s">
        <v>4140</v>
      </c>
      <c r="C1247" s="2" t="s">
        <v>4135</v>
      </c>
      <c r="D1247" s="2" t="s">
        <v>4141</v>
      </c>
      <c r="E1247" s="2" t="s">
        <v>4142</v>
      </c>
      <c r="F1247" s="2" t="s">
        <v>4143</v>
      </c>
      <c r="G1247" s="2" t="s">
        <v>2442</v>
      </c>
      <c r="H1247" s="7"/>
      <c r="I1247" s="2" t="s">
        <v>9</v>
      </c>
      <c r="K1247" t="e">
        <v>#N/A</v>
      </c>
      <c r="L1247" s="2" t="s">
        <v>8601</v>
      </c>
      <c r="M1247" t="s">
        <v>8143</v>
      </c>
      <c r="N1247" s="4"/>
    </row>
    <row r="1248" spans="1:14" ht="26" x14ac:dyDescent="0.3">
      <c r="A1248" s="1" t="str">
        <f>HYPERLINK("https://ipmanager.doe.gov/IPManager//ExternalLink.aspx?6ibkph2k9yi6F%2B0Vz7YoTq6RR9BlGHHiA28e8ansjiM%3D","Link")</f>
        <v>Link</v>
      </c>
      <c r="B1248" s="2" t="s">
        <v>4134</v>
      </c>
      <c r="C1248" s="2" t="s">
        <v>4135</v>
      </c>
      <c r="D1248" s="2" t="s">
        <v>4136</v>
      </c>
      <c r="E1248" s="2" t="s">
        <v>4137</v>
      </c>
      <c r="F1248" s="2"/>
      <c r="G1248" s="2" t="s">
        <v>9</v>
      </c>
      <c r="H1248" s="7"/>
      <c r="I1248" s="2" t="s">
        <v>9</v>
      </c>
      <c r="K1248" t="e">
        <v>#N/A</v>
      </c>
      <c r="L1248" s="2" t="s">
        <v>8601</v>
      </c>
      <c r="M1248" t="s">
        <v>8143</v>
      </c>
      <c r="N1248" s="4"/>
    </row>
    <row r="1249" spans="1:14" ht="26" x14ac:dyDescent="0.3">
      <c r="A1249" s="1" t="str">
        <f>HYPERLINK("https://ipmanager.doe.gov/IPManager//ExternalLink.aspx?6ibkph2k9yi6F%2B0Vz7YoTq6RR9BlGHHieWxbpyRd47o%3D","Link")</f>
        <v>Link</v>
      </c>
      <c r="B1249" s="2" t="s">
        <v>4138</v>
      </c>
      <c r="C1249" s="2" t="s">
        <v>4135</v>
      </c>
      <c r="D1249" s="2" t="s">
        <v>4136</v>
      </c>
      <c r="E1249" s="2" t="s">
        <v>4139</v>
      </c>
      <c r="F1249" s="2"/>
      <c r="G1249" s="2" t="s">
        <v>9</v>
      </c>
      <c r="H1249" s="7"/>
      <c r="I1249" s="2" t="s">
        <v>9</v>
      </c>
      <c r="K1249" t="e">
        <v>#N/A</v>
      </c>
      <c r="L1249" s="2" t="s">
        <v>8601</v>
      </c>
      <c r="M1249" t="s">
        <v>8143</v>
      </c>
      <c r="N1249" s="4"/>
    </row>
    <row r="1250" spans="1:14" ht="117" x14ac:dyDescent="0.3">
      <c r="A1250" s="1" t="str">
        <f>HYPERLINK("https://ipmanager.doe.gov/IPManager//ExternalLink.aspx?6ibkph2k9yi6F%2B0Vz7YoTq6RR9BlGHHiIwURofUct1E%3D","Link")</f>
        <v>Link</v>
      </c>
      <c r="B1250" s="2" t="s">
        <v>4144</v>
      </c>
      <c r="C1250" s="2" t="s">
        <v>4135</v>
      </c>
      <c r="D1250" s="2" t="s">
        <v>4136</v>
      </c>
      <c r="E1250" s="2" t="s">
        <v>4145</v>
      </c>
      <c r="F1250" s="2"/>
      <c r="G1250" s="2" t="s">
        <v>9</v>
      </c>
      <c r="H1250" s="7"/>
      <c r="I1250" s="2" t="s">
        <v>9</v>
      </c>
      <c r="K1250" t="e">
        <v>#N/A</v>
      </c>
      <c r="L1250" s="2" t="s">
        <v>8601</v>
      </c>
      <c r="M1250" t="s">
        <v>8143</v>
      </c>
      <c r="N1250" s="4"/>
    </row>
    <row r="1251" spans="1:14" ht="65" x14ac:dyDescent="0.3">
      <c r="A1251" s="1" t="str">
        <f>HYPERLINK("https://ipmanager.doe.gov/IPManager//ExternalLink.aspx?6ibkph2k9yi6F%2B0Vz7YoTk2BI6w%2FjZ2f%2FNhMSlnu7V8%3D","Link")</f>
        <v>Link</v>
      </c>
      <c r="B1251" s="2" t="s">
        <v>4146</v>
      </c>
      <c r="C1251" s="2" t="s">
        <v>4147</v>
      </c>
      <c r="D1251" s="2" t="s">
        <v>4148</v>
      </c>
      <c r="E1251" s="2" t="s">
        <v>4149</v>
      </c>
      <c r="F1251" s="2"/>
      <c r="G1251" s="2" t="s">
        <v>9</v>
      </c>
      <c r="H1251" s="7"/>
      <c r="I1251" s="2" t="s">
        <v>9</v>
      </c>
      <c r="K1251" t="e">
        <v>#N/A</v>
      </c>
      <c r="L1251" s="2" t="s">
        <v>8602</v>
      </c>
      <c r="M1251" t="s">
        <v>8144</v>
      </c>
      <c r="N1251" s="4"/>
    </row>
    <row r="1252" spans="1:14" ht="26" x14ac:dyDescent="0.3">
      <c r="A1252" s="1" t="str">
        <f>HYPERLINK("https://ipmanager.doe.gov/IPManager//ExternalLink.aspx?6ibkph2k9yi6F%2B0Vz7YoTlNm8snv%2FZpHrORWyUTCDcs%3D","Link")</f>
        <v>Link</v>
      </c>
      <c r="B1252" s="2" t="s">
        <v>4150</v>
      </c>
      <c r="C1252" s="2" t="s">
        <v>4147</v>
      </c>
      <c r="D1252" s="2" t="s">
        <v>233</v>
      </c>
      <c r="E1252" s="2" t="s">
        <v>4151</v>
      </c>
      <c r="F1252" s="2"/>
      <c r="G1252" s="2" t="s">
        <v>9</v>
      </c>
      <c r="H1252" s="7"/>
      <c r="I1252" s="2" t="s">
        <v>9</v>
      </c>
      <c r="K1252" t="e">
        <v>#N/A</v>
      </c>
      <c r="L1252" s="2" t="s">
        <v>8602</v>
      </c>
      <c r="M1252" t="s">
        <v>8144</v>
      </c>
      <c r="N1252" s="4"/>
    </row>
    <row r="1253" spans="1:14" ht="26" x14ac:dyDescent="0.3">
      <c r="A1253" s="1" t="str">
        <f>HYPERLINK("https://ipmanager.doe.gov/IPManager//ExternalLink.aspx?6ibkph2k9yi6F%2B0Vz7YoTq6RR9BlGHHi5tENLqYdtNE%3D","Link")</f>
        <v>Link</v>
      </c>
      <c r="B1253" s="2" t="s">
        <v>4152</v>
      </c>
      <c r="C1253" s="2" t="s">
        <v>4147</v>
      </c>
      <c r="D1253" s="2" t="s">
        <v>233</v>
      </c>
      <c r="E1253" s="2" t="s">
        <v>4153</v>
      </c>
      <c r="F1253" s="2" t="s">
        <v>4154</v>
      </c>
      <c r="G1253" s="2" t="s">
        <v>2428</v>
      </c>
      <c r="H1253" s="8">
        <v>9923111</v>
      </c>
      <c r="I1253" s="2" t="s">
        <v>4155</v>
      </c>
      <c r="K1253" t="e">
        <v>#N/A</v>
      </c>
      <c r="L1253" s="2" t="s">
        <v>8602</v>
      </c>
      <c r="M1253" t="s">
        <v>8144</v>
      </c>
    </row>
    <row r="1254" spans="1:14" ht="39" x14ac:dyDescent="0.3">
      <c r="A1254" s="1" t="str">
        <f>HYPERLINK("https://ipmanager.doe.gov/IPManager//ExternalLink.aspx?6ibkph2k9yi6F%2B0Vz7YoTgZwfmYxrNyK72WL%2FNPPPmA%3D","Link")</f>
        <v>Link</v>
      </c>
      <c r="B1254" s="2" t="s">
        <v>4163</v>
      </c>
      <c r="C1254" s="2" t="s">
        <v>4158</v>
      </c>
      <c r="D1254" s="2" t="s">
        <v>4159</v>
      </c>
      <c r="E1254" s="2" t="s">
        <v>4164</v>
      </c>
      <c r="F1254" s="2" t="s">
        <v>4165</v>
      </c>
      <c r="G1254" s="2" t="s">
        <v>4166</v>
      </c>
      <c r="H1254" s="2"/>
      <c r="I1254" s="2" t="s">
        <v>9</v>
      </c>
      <c r="K1254" t="e">
        <v>#N/A</v>
      </c>
      <c r="L1254" s="2" t="s">
        <v>8603</v>
      </c>
      <c r="M1254" t="s">
        <v>8145</v>
      </c>
      <c r="N1254" s="4"/>
    </row>
    <row r="1255" spans="1:14" ht="65" x14ac:dyDescent="0.3">
      <c r="A1255" s="1" t="str">
        <f>HYPERLINK("https://ipmanager.doe.gov/IPManager//ExternalLink.aspx?6ibkph2k9yi6F%2B0Vz7YoTr7J5I%2BY4foYTsCCyxVhHEw%3D","Link")</f>
        <v>Link</v>
      </c>
      <c r="B1255" s="2" t="s">
        <v>4157</v>
      </c>
      <c r="C1255" s="2" t="s">
        <v>4158</v>
      </c>
      <c r="D1255" s="2" t="s">
        <v>4159</v>
      </c>
      <c r="E1255" s="2" t="s">
        <v>4160</v>
      </c>
      <c r="F1255" s="2"/>
      <c r="G1255" s="2" t="s">
        <v>9</v>
      </c>
      <c r="H1255" s="7"/>
      <c r="I1255" s="2" t="s">
        <v>9</v>
      </c>
      <c r="K1255" t="e">
        <v>#N/A</v>
      </c>
      <c r="L1255" s="2" t="s">
        <v>8603</v>
      </c>
      <c r="M1255" t="s">
        <v>8145</v>
      </c>
      <c r="N1255" s="4"/>
    </row>
    <row r="1256" spans="1:14" ht="39" x14ac:dyDescent="0.3">
      <c r="A1256" s="1" t="str">
        <f>HYPERLINK("https://ipmanager.doe.gov/IPManager//ExternalLink.aspx?6ibkph2k9yi6F%2B0Vz7YoTipZ798QK%2BbPNjmKJpNS5bU%3D","Link")</f>
        <v>Link</v>
      </c>
      <c r="B1256" s="2" t="s">
        <v>4161</v>
      </c>
      <c r="C1256" s="2" t="s">
        <v>4158</v>
      </c>
      <c r="D1256" s="2" t="s">
        <v>4159</v>
      </c>
      <c r="E1256" s="2" t="s">
        <v>4162</v>
      </c>
      <c r="F1256" s="2"/>
      <c r="G1256" s="2" t="s">
        <v>9</v>
      </c>
      <c r="H1256" s="7"/>
      <c r="I1256" s="2" t="s">
        <v>9</v>
      </c>
      <c r="K1256" t="e">
        <v>#N/A</v>
      </c>
      <c r="L1256" s="2" t="s">
        <v>8603</v>
      </c>
      <c r="M1256" t="s">
        <v>8145</v>
      </c>
      <c r="N1256" s="4"/>
    </row>
    <row r="1257" spans="1:14" ht="78" x14ac:dyDescent="0.3">
      <c r="A1257" s="1" t="str">
        <f>HYPERLINK("https://ipmanager.doe.gov/IPManager//ExternalLink.aspx?6ibkph2k9yi6F%2B0Vz7YoTipZ798QK%2BbPBwB60%2FlznIg%3D","Link")</f>
        <v>Link</v>
      </c>
      <c r="B1257" s="2" t="s">
        <v>4172</v>
      </c>
      <c r="C1257" s="2" t="s">
        <v>4168</v>
      </c>
      <c r="D1257" s="2" t="s">
        <v>4173</v>
      </c>
      <c r="E1257" s="2" t="s">
        <v>4174</v>
      </c>
      <c r="F1257" s="2" t="s">
        <v>4175</v>
      </c>
      <c r="G1257" s="2" t="s">
        <v>4176</v>
      </c>
      <c r="H1257" s="7"/>
      <c r="I1257" s="2" t="s">
        <v>9</v>
      </c>
      <c r="K1257" t="e">
        <v>#N/A</v>
      </c>
      <c r="L1257" s="2" t="s">
        <v>8604</v>
      </c>
      <c r="M1257" t="s">
        <v>8146</v>
      </c>
      <c r="N1257" s="4"/>
    </row>
    <row r="1258" spans="1:14" ht="78" x14ac:dyDescent="0.3">
      <c r="A1258" s="1" t="str">
        <f>HYPERLINK("https://ipmanager.doe.gov/IPManager//ExternalLink.aspx?6ibkph2k9yi6F%2B0Vz7YoTipZ798QK%2BbP0DLDbwgJL5A%3D","Link")</f>
        <v>Link</v>
      </c>
      <c r="B1258" s="2" t="s">
        <v>4177</v>
      </c>
      <c r="C1258" s="2" t="s">
        <v>4168</v>
      </c>
      <c r="D1258" s="2" t="s">
        <v>4173</v>
      </c>
      <c r="E1258" s="2" t="s">
        <v>4178</v>
      </c>
      <c r="F1258" s="2" t="s">
        <v>4179</v>
      </c>
      <c r="G1258" s="2" t="s">
        <v>4180</v>
      </c>
      <c r="H1258" s="7"/>
      <c r="I1258" s="2" t="s">
        <v>9</v>
      </c>
      <c r="K1258" t="e">
        <v>#N/A</v>
      </c>
      <c r="L1258" s="2" t="s">
        <v>8604</v>
      </c>
      <c r="M1258" t="s">
        <v>8146</v>
      </c>
      <c r="N1258" s="4"/>
    </row>
    <row r="1259" spans="1:14" ht="52" x14ac:dyDescent="0.3">
      <c r="A1259" s="1" t="str">
        <f>HYPERLINK("https://ipmanager.doe.gov/IPManager//ExternalLink.aspx?6ibkph2k9yi6F%2B0Vz7YoTo7DPLa3%2F%2FGgOdpnigI6nEo%3D","Link")</f>
        <v>Link</v>
      </c>
      <c r="B1259" s="2" t="s">
        <v>4167</v>
      </c>
      <c r="C1259" s="2" t="s">
        <v>4168</v>
      </c>
      <c r="D1259" s="2" t="s">
        <v>4169</v>
      </c>
      <c r="E1259" s="2" t="s">
        <v>4170</v>
      </c>
      <c r="F1259" s="2" t="s">
        <v>4171</v>
      </c>
      <c r="G1259" s="2" t="s">
        <v>2115</v>
      </c>
      <c r="H1259" s="7"/>
      <c r="I1259" s="2" t="s">
        <v>9</v>
      </c>
      <c r="K1259" t="e">
        <v>#N/A</v>
      </c>
      <c r="L1259" s="2" t="s">
        <v>8604</v>
      </c>
      <c r="M1259" t="s">
        <v>8146</v>
      </c>
      <c r="N1259" s="4"/>
    </row>
    <row r="1260" spans="1:14" ht="52" x14ac:dyDescent="0.3">
      <c r="A1260" s="1" t="str">
        <f>HYPERLINK("https://ipmanager.doe.gov/IPManager//ExternalLink.aspx?6ibkph2k9yi6F%2B0Vz7YoTgZwfmYxrNyKCcEagYZxzjo%3D","Link")</f>
        <v>Link</v>
      </c>
      <c r="B1260" s="2" t="s">
        <v>4181</v>
      </c>
      <c r="C1260" s="2" t="s">
        <v>4182</v>
      </c>
      <c r="D1260" s="2" t="s">
        <v>770</v>
      </c>
      <c r="E1260" s="2" t="s">
        <v>4183</v>
      </c>
      <c r="F1260" s="2"/>
      <c r="G1260" s="2" t="s">
        <v>9</v>
      </c>
      <c r="H1260" s="7"/>
      <c r="I1260" s="2" t="s">
        <v>9</v>
      </c>
      <c r="K1260" t="e">
        <v>#N/A</v>
      </c>
      <c r="L1260" s="2" t="e">
        <v>#N/A</v>
      </c>
      <c r="M1260" t="e">
        <v>#N/A</v>
      </c>
      <c r="N1260" s="4"/>
    </row>
    <row r="1261" spans="1:14" ht="39" x14ac:dyDescent="0.3">
      <c r="A1261" s="1" t="str">
        <f>HYPERLINK("https://ipmanager.doe.gov/IPManager//ExternalLink.aspx?6ibkph2k9yi6F%2B0Vz7YoTr7J5I%2BY4foYfS3vr0FemaU%3D","Link")</f>
        <v>Link</v>
      </c>
      <c r="B1261" s="2" t="s">
        <v>4184</v>
      </c>
      <c r="C1261" s="2" t="s">
        <v>4185</v>
      </c>
      <c r="D1261" s="2" t="s">
        <v>4186</v>
      </c>
      <c r="E1261" s="2" t="s">
        <v>4187</v>
      </c>
      <c r="F1261" s="2"/>
      <c r="G1261" s="2" t="s">
        <v>9</v>
      </c>
      <c r="H1261" s="7"/>
      <c r="I1261" s="2" t="s">
        <v>9</v>
      </c>
      <c r="K1261" t="e">
        <v>#N/A</v>
      </c>
      <c r="L1261" s="2" t="e">
        <v>#N/A</v>
      </c>
      <c r="M1261" t="e">
        <v>#N/A</v>
      </c>
      <c r="N1261" s="4"/>
    </row>
    <row r="1262" spans="1:14" ht="39" x14ac:dyDescent="0.3">
      <c r="A1262" s="1" t="str">
        <f>HYPERLINK("https://ipmanager.doe.gov/IPManager//ExternalLink.aspx?6ibkph2k9yi6F%2B0Vz7YoTgZwfmYxrNyKa8hgXxsqDbs%3D","Link")</f>
        <v>Link</v>
      </c>
      <c r="B1262" s="2" t="s">
        <v>4188</v>
      </c>
      <c r="C1262" s="2" t="s">
        <v>4189</v>
      </c>
      <c r="D1262" s="2" t="s">
        <v>3527</v>
      </c>
      <c r="E1262" s="2" t="s">
        <v>4190</v>
      </c>
      <c r="F1262" s="2"/>
      <c r="G1262" s="2" t="s">
        <v>9</v>
      </c>
      <c r="H1262" s="7"/>
      <c r="I1262" s="2" t="s">
        <v>9</v>
      </c>
      <c r="K1262" t="e">
        <v>#N/A</v>
      </c>
      <c r="L1262" s="2" t="s">
        <v>8605</v>
      </c>
      <c r="M1262" t="s">
        <v>8147</v>
      </c>
      <c r="N1262" s="4"/>
    </row>
    <row r="1263" spans="1:14" ht="39" x14ac:dyDescent="0.3">
      <c r="A1263" s="1" t="str">
        <f>HYPERLINK("https://ipmanager.doe.gov/IPManager//ExternalLink.aspx?6ibkph2k9yi6F%2B0Vz7YoTipZ798QK%2BbP26ayhaGGros%3D","Link")</f>
        <v>Link</v>
      </c>
      <c r="B1263" s="2" t="s">
        <v>4191</v>
      </c>
      <c r="C1263" s="2" t="s">
        <v>4189</v>
      </c>
      <c r="D1263" s="2" t="s">
        <v>3527</v>
      </c>
      <c r="E1263" s="2" t="s">
        <v>4192</v>
      </c>
      <c r="F1263" s="2"/>
      <c r="G1263" s="2" t="s">
        <v>9</v>
      </c>
      <c r="H1263" s="7"/>
      <c r="I1263" s="2" t="s">
        <v>9</v>
      </c>
      <c r="K1263" t="e">
        <v>#N/A</v>
      </c>
      <c r="L1263" s="2" t="s">
        <v>8605</v>
      </c>
      <c r="M1263" t="s">
        <v>8147</v>
      </c>
      <c r="N1263" s="4"/>
    </row>
    <row r="1264" spans="1:14" ht="39" x14ac:dyDescent="0.3">
      <c r="A1264" s="1" t="str">
        <f>HYPERLINK("https://ipmanager.doe.gov/IPManager//ExternalLink.aspx?6ibkph2k9yi6F%2B0Vz7YoTr7J5I%2BY4foY3d3iVRwsYkE%3D","Link")</f>
        <v>Link</v>
      </c>
      <c r="B1264" s="2" t="s">
        <v>4194</v>
      </c>
      <c r="C1264" s="2" t="s">
        <v>4189</v>
      </c>
      <c r="D1264" s="2" t="s">
        <v>3527</v>
      </c>
      <c r="E1264" s="2" t="s">
        <v>4190</v>
      </c>
      <c r="F1264" s="2"/>
      <c r="G1264" s="2" t="s">
        <v>9</v>
      </c>
      <c r="H1264" s="7"/>
      <c r="I1264" s="2" t="s">
        <v>9</v>
      </c>
      <c r="K1264" t="e">
        <v>#N/A</v>
      </c>
      <c r="L1264" s="2" t="s">
        <v>8605</v>
      </c>
      <c r="M1264" t="s">
        <v>8147</v>
      </c>
      <c r="N1264" s="4"/>
    </row>
    <row r="1265" spans="1:14" ht="39" x14ac:dyDescent="0.3">
      <c r="A1265" s="1" t="str">
        <f>HYPERLINK("https://ipmanager.doe.gov/IPManager//ExternalLink.aspx?6ibkph2k9yi6F%2B0Vz7YoTgZwfmYxrNyKZbcqZRBAS%2Bc%3D","Link")</f>
        <v>Link</v>
      </c>
      <c r="B1265" s="2" t="s">
        <v>4195</v>
      </c>
      <c r="C1265" s="2" t="s">
        <v>4189</v>
      </c>
      <c r="D1265" s="2" t="s">
        <v>3527</v>
      </c>
      <c r="E1265" s="2" t="s">
        <v>4192</v>
      </c>
      <c r="F1265" s="2"/>
      <c r="G1265" s="2" t="s">
        <v>9</v>
      </c>
      <c r="H1265" s="7"/>
      <c r="I1265" s="2" t="s">
        <v>9</v>
      </c>
      <c r="K1265" t="e">
        <v>#N/A</v>
      </c>
      <c r="L1265" s="2" t="s">
        <v>8605</v>
      </c>
      <c r="M1265" t="s">
        <v>8147</v>
      </c>
      <c r="N1265" s="4"/>
    </row>
    <row r="1266" spans="1:14" ht="52" x14ac:dyDescent="0.3">
      <c r="A1266" s="1" t="str">
        <f>HYPERLINK("https://ipmanager.doe.gov/IPManager//ExternalLink.aspx?6ibkph2k9yi6F%2B0Vz7YoTgZwfmYxrNyKTU9vDm4pPG8%3D","Link")</f>
        <v>Link</v>
      </c>
      <c r="B1266" s="2" t="s">
        <v>4196</v>
      </c>
      <c r="C1266" s="2" t="s">
        <v>4197</v>
      </c>
      <c r="D1266" s="2" t="s">
        <v>4198</v>
      </c>
      <c r="E1266" s="2" t="s">
        <v>4199</v>
      </c>
      <c r="F1266" s="2"/>
      <c r="G1266" s="2" t="s">
        <v>9</v>
      </c>
      <c r="H1266" s="7"/>
      <c r="I1266" s="2" t="s">
        <v>9</v>
      </c>
      <c r="K1266" t="e">
        <v>#N/A</v>
      </c>
      <c r="L1266" s="2" t="s">
        <v>8606</v>
      </c>
      <c r="M1266" t="s">
        <v>8148</v>
      </c>
      <c r="N1266" s="4"/>
    </row>
    <row r="1267" spans="1:14" ht="39" x14ac:dyDescent="0.3">
      <c r="A1267" s="1" t="str">
        <f>HYPERLINK("https://ipmanager.doe.gov/IPManager//ExternalLink.aspx?6ibkph2k9yi6F%2B0Vz7YoTr7J5I%2BY4foY%2FrduZ6dEcjg%3D","Link")</f>
        <v>Link</v>
      </c>
      <c r="B1267" s="2" t="s">
        <v>4200</v>
      </c>
      <c r="C1267" s="2" t="s">
        <v>4201</v>
      </c>
      <c r="D1267" s="2" t="s">
        <v>452</v>
      </c>
      <c r="E1267" s="2" t="s">
        <v>4202</v>
      </c>
      <c r="F1267" s="2" t="s">
        <v>4203</v>
      </c>
      <c r="G1267" s="2" t="s">
        <v>2091</v>
      </c>
      <c r="H1267" s="7"/>
      <c r="I1267" s="2" t="s">
        <v>9</v>
      </c>
      <c r="K1267" t="e">
        <v>#N/A</v>
      </c>
      <c r="L1267" s="2" t="s">
        <v>8428</v>
      </c>
      <c r="M1267" t="s">
        <v>8429</v>
      </c>
      <c r="N1267" s="4"/>
    </row>
    <row r="1268" spans="1:14" ht="26" x14ac:dyDescent="0.3">
      <c r="A1268" s="1" t="str">
        <f>HYPERLINK("https://ipmanager.doe.gov/IPManager//ExternalLink.aspx?6ibkph2k9yi6F%2B0Vz7YoTlNm8snv%2FZpHifOCqOM78bQ%3D","Link")</f>
        <v>Link</v>
      </c>
      <c r="B1268" s="2" t="s">
        <v>4204</v>
      </c>
      <c r="C1268" s="2" t="s">
        <v>4201</v>
      </c>
      <c r="D1268" s="2" t="s">
        <v>452</v>
      </c>
      <c r="E1268" s="2" t="s">
        <v>4205</v>
      </c>
      <c r="F1268" s="2" t="s">
        <v>4206</v>
      </c>
      <c r="G1268" s="2" t="s">
        <v>938</v>
      </c>
      <c r="H1268" s="7"/>
      <c r="I1268" s="2" t="s">
        <v>9</v>
      </c>
      <c r="K1268" t="e">
        <v>#N/A</v>
      </c>
      <c r="L1268" s="2" t="s">
        <v>8428</v>
      </c>
      <c r="M1268" t="s">
        <v>8429</v>
      </c>
      <c r="N1268" s="4"/>
    </row>
    <row r="1269" spans="1:14" ht="65" x14ac:dyDescent="0.3">
      <c r="A1269" s="1" t="str">
        <f>HYPERLINK("https://ipmanager.doe.gov/IPManager//ExternalLink.aspx?6ibkph2k9yi6F%2B0Vz7YoTgZwfmYxrNyKRmczoOKTiwY%3D","Link")</f>
        <v>Link</v>
      </c>
      <c r="B1269" s="2" t="s">
        <v>4216</v>
      </c>
      <c r="C1269" s="2" t="s">
        <v>4201</v>
      </c>
      <c r="D1269" s="2" t="s">
        <v>452</v>
      </c>
      <c r="E1269" s="2" t="s">
        <v>4217</v>
      </c>
      <c r="F1269" s="2" t="s">
        <v>4218</v>
      </c>
      <c r="G1269" s="2" t="s">
        <v>916</v>
      </c>
      <c r="H1269" s="7"/>
      <c r="I1269" s="2" t="s">
        <v>9</v>
      </c>
      <c r="K1269" t="e">
        <v>#N/A</v>
      </c>
      <c r="L1269" s="2" t="s">
        <v>8428</v>
      </c>
      <c r="M1269" t="s">
        <v>8429</v>
      </c>
      <c r="N1269" s="4"/>
    </row>
    <row r="1270" spans="1:14" ht="52" x14ac:dyDescent="0.3">
      <c r="A1270" s="1" t="str">
        <f>HYPERLINK("https://ipmanager.doe.gov/IPManager//ExternalLink.aspx?6ibkph2k9yi6F%2B0Vz7YoTjnDGhmGHGI7s0oPgkIPbpY%3D","Link")</f>
        <v>Link</v>
      </c>
      <c r="B1270" s="2" t="s">
        <v>4221</v>
      </c>
      <c r="C1270" s="2" t="s">
        <v>4201</v>
      </c>
      <c r="D1270" s="2" t="s">
        <v>452</v>
      </c>
      <c r="E1270" s="2" t="s">
        <v>4222</v>
      </c>
      <c r="F1270" s="2" t="s">
        <v>4223</v>
      </c>
      <c r="G1270" s="2" t="s">
        <v>938</v>
      </c>
      <c r="H1270" s="7"/>
      <c r="I1270" s="2" t="s">
        <v>9</v>
      </c>
      <c r="K1270" t="e">
        <v>#N/A</v>
      </c>
      <c r="L1270" s="2" t="s">
        <v>8428</v>
      </c>
      <c r="M1270" t="s">
        <v>8429</v>
      </c>
      <c r="N1270" s="4"/>
    </row>
    <row r="1271" spans="1:14" ht="26" x14ac:dyDescent="0.3">
      <c r="A1271" s="1" t="str">
        <f>HYPERLINK("https://ipmanager.doe.gov/IPManager//ExternalLink.aspx?6ibkph2k9yi6F%2B0Vz7YoTjnDGhmGHGI7oaOyrgMdsOI%3D","Link")</f>
        <v>Link</v>
      </c>
      <c r="B1271" s="2" t="s">
        <v>4225</v>
      </c>
      <c r="C1271" s="2" t="s">
        <v>4201</v>
      </c>
      <c r="D1271" s="2" t="s">
        <v>452</v>
      </c>
      <c r="E1271" s="2" t="s">
        <v>4226</v>
      </c>
      <c r="F1271" s="2" t="s">
        <v>4232</v>
      </c>
      <c r="G1271" s="2" t="s">
        <v>2091</v>
      </c>
      <c r="H1271" s="7"/>
      <c r="I1271" s="2" t="s">
        <v>9</v>
      </c>
      <c r="K1271" t="e">
        <v>#N/A</v>
      </c>
      <c r="L1271" s="2" t="s">
        <v>8428</v>
      </c>
      <c r="M1271" t="s">
        <v>8429</v>
      </c>
      <c r="N1271" s="4"/>
    </row>
    <row r="1272" spans="1:14" ht="52" x14ac:dyDescent="0.3">
      <c r="A1272" s="1" t="str">
        <f>HYPERLINK("https://ipmanager.doe.gov/IPManager//ExternalLink.aspx?6ibkph2k9yi6F%2B0Vz7YoTr7J5I%2BY4foYX8uDOPAvBUg%3D","Link")</f>
        <v>Link</v>
      </c>
      <c r="B1272" s="2" t="s">
        <v>4235</v>
      </c>
      <c r="C1272" s="2" t="s">
        <v>4201</v>
      </c>
      <c r="D1272" s="2" t="s">
        <v>452</v>
      </c>
      <c r="E1272" s="2" t="s">
        <v>4220</v>
      </c>
      <c r="F1272" s="2" t="s">
        <v>4236</v>
      </c>
      <c r="G1272" s="2" t="s">
        <v>4237</v>
      </c>
      <c r="H1272" s="7"/>
      <c r="I1272" s="2" t="s">
        <v>9</v>
      </c>
      <c r="K1272" t="e">
        <v>#N/A</v>
      </c>
      <c r="L1272" s="2" t="s">
        <v>8428</v>
      </c>
      <c r="M1272" t="s">
        <v>8429</v>
      </c>
      <c r="N1272" s="4"/>
    </row>
    <row r="1273" spans="1:14" ht="52" x14ac:dyDescent="0.3">
      <c r="A1273" s="1" t="str">
        <f>HYPERLINK("https://ipmanager.doe.gov/IPManager//ExternalLink.aspx?6ibkph2k9yi6F%2B0Vz7YoTnXVN2REjGcWBN3JmTq6GWw%3D","Link")</f>
        <v>Link</v>
      </c>
      <c r="B1273" s="2" t="s">
        <v>4238</v>
      </c>
      <c r="C1273" s="2" t="s">
        <v>4201</v>
      </c>
      <c r="D1273" s="2" t="s">
        <v>452</v>
      </c>
      <c r="E1273" s="2" t="s">
        <v>4220</v>
      </c>
      <c r="F1273" s="2" t="s">
        <v>4239</v>
      </c>
      <c r="G1273" s="2" t="s">
        <v>167</v>
      </c>
      <c r="H1273" s="7"/>
      <c r="I1273" s="2" t="s">
        <v>9</v>
      </c>
      <c r="J1273" t="s">
        <v>4239</v>
      </c>
      <c r="K1273" t="s">
        <v>7711</v>
      </c>
      <c r="L1273" s="2" t="s">
        <v>8428</v>
      </c>
      <c r="M1273" t="s">
        <v>8429</v>
      </c>
      <c r="N1273" s="4"/>
    </row>
    <row r="1274" spans="1:14" ht="52" x14ac:dyDescent="0.3">
      <c r="A1274" s="1" t="str">
        <f>HYPERLINK("https://ipmanager.doe.gov/IPManager//ExternalLink.aspx?6ibkph2k9yi6F%2B0Vz7YoTo7DPLa3%2F%2FGgqFV08ydAr90%3D","Link")</f>
        <v>Link</v>
      </c>
      <c r="B1274" s="2" t="s">
        <v>4213</v>
      </c>
      <c r="C1274" s="2" t="s">
        <v>4201</v>
      </c>
      <c r="D1274" s="2" t="s">
        <v>1891</v>
      </c>
      <c r="E1274" s="2" t="s">
        <v>4208</v>
      </c>
      <c r="F1274" s="2"/>
      <c r="G1274" s="2" t="s">
        <v>9</v>
      </c>
      <c r="H1274" s="7"/>
      <c r="I1274" s="2" t="s">
        <v>9</v>
      </c>
      <c r="K1274" t="e">
        <v>#N/A</v>
      </c>
      <c r="L1274" s="2" t="s">
        <v>8428</v>
      </c>
      <c r="M1274" t="s">
        <v>8429</v>
      </c>
      <c r="N1274" s="4"/>
    </row>
    <row r="1275" spans="1:14" ht="26" x14ac:dyDescent="0.3">
      <c r="A1275" s="1" t="str">
        <f>HYPERLINK("https://ipmanager.doe.gov/IPManager//ExternalLink.aspx?6ibkph2k9yi6F%2B0Vz7YoTipZ798QK%2BbPTUWOhtrwcnU%3D","Link")</f>
        <v>Link</v>
      </c>
      <c r="B1275" s="2" t="s">
        <v>4214</v>
      </c>
      <c r="C1275" s="2" t="s">
        <v>4201</v>
      </c>
      <c r="D1275" s="2" t="s">
        <v>452</v>
      </c>
      <c r="E1275" s="2" t="s">
        <v>4215</v>
      </c>
      <c r="F1275" s="2"/>
      <c r="G1275" s="2" t="s">
        <v>9</v>
      </c>
      <c r="H1275" s="7"/>
      <c r="I1275" s="2" t="s">
        <v>9</v>
      </c>
      <c r="K1275" t="e">
        <v>#N/A</v>
      </c>
      <c r="L1275" s="2" t="s">
        <v>8428</v>
      </c>
      <c r="M1275" t="s">
        <v>8429</v>
      </c>
      <c r="N1275" s="4"/>
    </row>
    <row r="1276" spans="1:14" ht="52" x14ac:dyDescent="0.3">
      <c r="A1276" s="1" t="str">
        <f>HYPERLINK("https://ipmanager.doe.gov/IPManager//ExternalLink.aspx?6ibkph2k9yi6F%2B0Vz7YoTjnDGhmGHGI7PVeFnnl6HBY%3D","Link")</f>
        <v>Link</v>
      </c>
      <c r="B1276" s="2" t="s">
        <v>4219</v>
      </c>
      <c r="C1276" s="2" t="s">
        <v>4201</v>
      </c>
      <c r="D1276" s="2" t="s">
        <v>452</v>
      </c>
      <c r="E1276" s="2" t="s">
        <v>4220</v>
      </c>
      <c r="F1276" s="2"/>
      <c r="G1276" s="2" t="s">
        <v>9</v>
      </c>
      <c r="H1276" s="7"/>
      <c r="I1276" s="2" t="s">
        <v>9</v>
      </c>
      <c r="K1276" t="e">
        <v>#N/A</v>
      </c>
      <c r="L1276" s="2" t="s">
        <v>8428</v>
      </c>
      <c r="M1276" t="s">
        <v>8429</v>
      </c>
      <c r="N1276" s="4"/>
    </row>
    <row r="1277" spans="1:14" ht="39" x14ac:dyDescent="0.3">
      <c r="A1277" s="1" t="str">
        <f>HYPERLINK("https://ipmanager.doe.gov/IPManager//ExternalLink.aspx?6ibkph2k9yi6F%2B0Vz7YoTr7J5I%2BY4foYAJ5e%2B038lOE%3D","Link")</f>
        <v>Link</v>
      </c>
      <c r="B1277" s="2" t="s">
        <v>4224</v>
      </c>
      <c r="C1277" s="2" t="s">
        <v>4201</v>
      </c>
      <c r="D1277" s="2" t="s">
        <v>452</v>
      </c>
      <c r="E1277" s="2" t="s">
        <v>4202</v>
      </c>
      <c r="F1277" s="2"/>
      <c r="G1277" s="2" t="s">
        <v>9</v>
      </c>
      <c r="H1277" s="7"/>
      <c r="I1277" s="2" t="s">
        <v>9</v>
      </c>
      <c r="K1277" t="e">
        <v>#N/A</v>
      </c>
      <c r="L1277" s="2" t="s">
        <v>8428</v>
      </c>
      <c r="M1277" t="s">
        <v>8429</v>
      </c>
      <c r="N1277" s="4"/>
    </row>
    <row r="1278" spans="1:14" ht="26" x14ac:dyDescent="0.3">
      <c r="A1278" s="1" t="str">
        <f>HYPERLINK("https://ipmanager.doe.gov/IPManager//ExternalLink.aspx?6ibkph2k9yi6F%2B0Vz7YoTr7J5I%2BY4foYmn2t%2BE53%2Fac%3D","Link")</f>
        <v>Link</v>
      </c>
      <c r="B1278" s="2" t="s">
        <v>4225</v>
      </c>
      <c r="C1278" s="2" t="s">
        <v>4201</v>
      </c>
      <c r="D1278" s="2" t="s">
        <v>452</v>
      </c>
      <c r="E1278" s="2" t="s">
        <v>4226</v>
      </c>
      <c r="F1278" s="2"/>
      <c r="G1278" s="2" t="s">
        <v>9</v>
      </c>
      <c r="H1278" s="7"/>
      <c r="I1278" s="2" t="s">
        <v>9</v>
      </c>
      <c r="K1278" t="e">
        <v>#N/A</v>
      </c>
      <c r="L1278" s="2" t="s">
        <v>8428</v>
      </c>
      <c r="M1278" t="s">
        <v>8429</v>
      </c>
      <c r="N1278" s="4"/>
    </row>
    <row r="1279" spans="1:14" ht="52" x14ac:dyDescent="0.3">
      <c r="A1279" s="1" t="str">
        <f>HYPERLINK("https://ipmanager.doe.gov/IPManager//ExternalLink.aspx?6ibkph2k9yi6F%2B0Vz7YoTjnDGhmGHGI7%2FzoP%2F6nGvB0%3D","Link")</f>
        <v>Link</v>
      </c>
      <c r="B1279" s="2" t="s">
        <v>4227</v>
      </c>
      <c r="C1279" s="2" t="s">
        <v>4201</v>
      </c>
      <c r="D1279" s="2" t="s">
        <v>452</v>
      </c>
      <c r="E1279" s="2" t="s">
        <v>4222</v>
      </c>
      <c r="F1279" s="2"/>
      <c r="G1279" s="2" t="s">
        <v>9</v>
      </c>
      <c r="H1279" s="7"/>
      <c r="I1279" s="2" t="s">
        <v>9</v>
      </c>
      <c r="K1279" t="e">
        <v>#N/A</v>
      </c>
      <c r="L1279" s="2" t="s">
        <v>8428</v>
      </c>
      <c r="M1279" t="s">
        <v>8429</v>
      </c>
      <c r="N1279" s="4"/>
    </row>
    <row r="1280" spans="1:14" ht="52" x14ac:dyDescent="0.3">
      <c r="A1280" s="1" t="str">
        <f>HYPERLINK("https://ipmanager.doe.gov/IPManager//ExternalLink.aspx?6ibkph2k9yi6F%2B0Vz7YoTr7J5I%2BY4foYT%2B8ck6R54Ls%3D","Link")</f>
        <v>Link</v>
      </c>
      <c r="B1280" s="2" t="s">
        <v>4207</v>
      </c>
      <c r="C1280" s="2" t="s">
        <v>4201</v>
      </c>
      <c r="D1280" s="2" t="s">
        <v>1891</v>
      </c>
      <c r="E1280" s="2" t="s">
        <v>4208</v>
      </c>
      <c r="F1280" s="2" t="s">
        <v>4209</v>
      </c>
      <c r="G1280" s="2" t="s">
        <v>1478</v>
      </c>
      <c r="H1280" s="7"/>
      <c r="I1280" s="2" t="s">
        <v>9</v>
      </c>
      <c r="J1280" t="s">
        <v>4209</v>
      </c>
      <c r="K1280" t="s">
        <v>7766</v>
      </c>
      <c r="L1280" s="2" t="s">
        <v>8428</v>
      </c>
      <c r="M1280" t="s">
        <v>8429</v>
      </c>
      <c r="N1280" s="4"/>
    </row>
    <row r="1281" spans="1:14" ht="52" x14ac:dyDescent="0.3">
      <c r="A1281" s="1" t="str">
        <f>HYPERLINK("https://ipmanager.doe.gov/IPManager//ExternalLink.aspx?6ibkph2k9yi6F%2B0Vz7YoTr7J5I%2BY4foYhv%2F4lM6kyKI%3D","Link")</f>
        <v>Link</v>
      </c>
      <c r="B1281" s="2" t="s">
        <v>4212</v>
      </c>
      <c r="C1281" s="2" t="s">
        <v>4201</v>
      </c>
      <c r="D1281" s="2" t="s">
        <v>1891</v>
      </c>
      <c r="E1281" s="2" t="s">
        <v>4208</v>
      </c>
      <c r="F1281" s="2" t="s">
        <v>4210</v>
      </c>
      <c r="G1281" s="2" t="s">
        <v>4211</v>
      </c>
      <c r="H1281" s="7"/>
      <c r="I1281" s="2" t="s">
        <v>9</v>
      </c>
      <c r="K1281" t="e">
        <v>#N/A</v>
      </c>
      <c r="L1281" s="2" t="s">
        <v>8428</v>
      </c>
      <c r="M1281" t="s">
        <v>8429</v>
      </c>
      <c r="N1281" s="4"/>
    </row>
    <row r="1282" spans="1:14" ht="26" x14ac:dyDescent="0.3">
      <c r="A1282" s="1" t="str">
        <f>HYPERLINK("https://ipmanager.doe.gov/IPManager//ExternalLink.aspx?6ibkph2k9yi6F%2B0Vz7YoTjnDGhmGHGI7heKldcM7W28%3D","Link")</f>
        <v>Link</v>
      </c>
      <c r="B1282" s="2" t="s">
        <v>4228</v>
      </c>
      <c r="C1282" s="2" t="s">
        <v>4201</v>
      </c>
      <c r="D1282" s="2" t="s">
        <v>1891</v>
      </c>
      <c r="E1282" s="2" t="s">
        <v>4229</v>
      </c>
      <c r="F1282" s="2" t="s">
        <v>4230</v>
      </c>
      <c r="G1282" s="2" t="s">
        <v>4231</v>
      </c>
      <c r="H1282" s="7"/>
      <c r="I1282" s="2" t="s">
        <v>9</v>
      </c>
      <c r="K1282" t="e">
        <v>#N/A</v>
      </c>
      <c r="L1282" s="2" t="s">
        <v>8428</v>
      </c>
      <c r="M1282" t="s">
        <v>8429</v>
      </c>
      <c r="N1282" s="4"/>
    </row>
    <row r="1283" spans="1:14" ht="26" x14ac:dyDescent="0.3">
      <c r="A1283" s="1" t="str">
        <f>HYPERLINK("https://ipmanager.doe.gov/IPManager//ExternalLink.aspx?6ibkph2k9yi6F%2B0Vz7YoTgZwfmYxrNyKjKIfOKwz4cU%3D","Link")</f>
        <v>Link</v>
      </c>
      <c r="B1283" s="2" t="s">
        <v>4233</v>
      </c>
      <c r="C1283" s="2" t="s">
        <v>4201</v>
      </c>
      <c r="D1283" s="2" t="s">
        <v>1891</v>
      </c>
      <c r="E1283" s="2" t="s">
        <v>4229</v>
      </c>
      <c r="F1283" s="2" t="s">
        <v>4234</v>
      </c>
      <c r="G1283" s="2" t="s">
        <v>3150</v>
      </c>
      <c r="H1283" s="7"/>
      <c r="I1283" s="2" t="s">
        <v>9</v>
      </c>
      <c r="J1283" t="s">
        <v>4234</v>
      </c>
      <c r="K1283" t="s">
        <v>7723</v>
      </c>
      <c r="L1283" s="2" t="s">
        <v>8428</v>
      </c>
      <c r="M1283" t="s">
        <v>8429</v>
      </c>
      <c r="N1283" s="4"/>
    </row>
    <row r="1284" spans="1:14" ht="26" x14ac:dyDescent="0.3">
      <c r="A1284" s="1" t="str">
        <f>HYPERLINK("https://ipmanager.doe.gov/IPManager//ExternalLink.aspx?6ibkph2k9yi6F%2B0Vz7YoTvE8yjoHgvp6SH1dx6l%2F4%2FM%3D","Link")</f>
        <v>Link</v>
      </c>
      <c r="B1284" s="2" t="s">
        <v>4247</v>
      </c>
      <c r="C1284" s="2" t="s">
        <v>4241</v>
      </c>
      <c r="D1284" s="2" t="s">
        <v>4248</v>
      </c>
      <c r="E1284" s="2" t="s">
        <v>4249</v>
      </c>
      <c r="F1284" s="2" t="s">
        <v>4250</v>
      </c>
      <c r="G1284" s="2" t="s">
        <v>713</v>
      </c>
      <c r="H1284" s="2"/>
      <c r="I1284" s="2" t="s">
        <v>9</v>
      </c>
      <c r="K1284" t="e">
        <v>#N/A</v>
      </c>
      <c r="L1284" s="2" t="s">
        <v>8607</v>
      </c>
      <c r="M1284" t="s">
        <v>8149</v>
      </c>
      <c r="N1284" s="4"/>
    </row>
    <row r="1285" spans="1:14" ht="78" x14ac:dyDescent="0.3">
      <c r="A1285" s="1" t="str">
        <f>HYPERLINK("https://ipmanager.doe.gov/IPManager//ExternalLink.aspx?6ibkph2k9yi6F%2B0Vz7YoTk2BI6w%2FjZ2fCVlmhfPap3Q%3D","Link")</f>
        <v>Link</v>
      </c>
      <c r="B1285" s="2" t="s">
        <v>4256</v>
      </c>
      <c r="C1285" s="2" t="s">
        <v>4241</v>
      </c>
      <c r="D1285" s="2" t="s">
        <v>4248</v>
      </c>
      <c r="E1285" s="2" t="s">
        <v>4252</v>
      </c>
      <c r="F1285" s="2" t="s">
        <v>4257</v>
      </c>
      <c r="G1285" s="2" t="s">
        <v>4258</v>
      </c>
      <c r="H1285" s="2"/>
      <c r="I1285" s="2" t="s">
        <v>9</v>
      </c>
      <c r="J1285" t="s">
        <v>4257</v>
      </c>
      <c r="K1285" t="s">
        <v>7690</v>
      </c>
      <c r="L1285" s="2" t="s">
        <v>8607</v>
      </c>
      <c r="M1285" t="s">
        <v>8149</v>
      </c>
      <c r="N1285" s="4"/>
    </row>
    <row r="1286" spans="1:14" ht="78" x14ac:dyDescent="0.3">
      <c r="A1286" s="1" t="str">
        <f>HYPERLINK("https://ipmanager.doe.gov/IPManager//ExternalLink.aspx?6ibkph2k9yi6F%2B0Vz7YoTgZwfmYxrNyKXHa%2BBYb26u8%3D","Link")</f>
        <v>Link</v>
      </c>
      <c r="B1286" s="2" t="s">
        <v>4262</v>
      </c>
      <c r="C1286" s="2" t="s">
        <v>4241</v>
      </c>
      <c r="D1286" s="2" t="s">
        <v>4248</v>
      </c>
      <c r="E1286" s="2" t="s">
        <v>4252</v>
      </c>
      <c r="F1286" s="2" t="s">
        <v>4257</v>
      </c>
      <c r="G1286" s="2" t="s">
        <v>4258</v>
      </c>
      <c r="H1286" s="2"/>
      <c r="I1286" s="2" t="s">
        <v>9</v>
      </c>
      <c r="J1286" t="s">
        <v>4257</v>
      </c>
      <c r="K1286" t="s">
        <v>7690</v>
      </c>
      <c r="L1286" s="2" t="s">
        <v>8607</v>
      </c>
      <c r="M1286" t="s">
        <v>8149</v>
      </c>
      <c r="N1286" s="4"/>
    </row>
    <row r="1287" spans="1:14" ht="78" x14ac:dyDescent="0.3">
      <c r="A1287" s="1" t="str">
        <f>HYPERLINK("https://ipmanager.doe.gov/IPManager//ExternalLink.aspx?6ibkph2k9yi6F%2B0Vz7YoTr7J5I%2BY4foYumTdQ9aMCYo%3D","Link")</f>
        <v>Link</v>
      </c>
      <c r="B1287" s="2" t="s">
        <v>4263</v>
      </c>
      <c r="C1287" s="2" t="s">
        <v>4241</v>
      </c>
      <c r="D1287" s="2" t="s">
        <v>4248</v>
      </c>
      <c r="E1287" s="2" t="s">
        <v>4252</v>
      </c>
      <c r="F1287" s="2" t="s">
        <v>4264</v>
      </c>
      <c r="G1287" s="2" t="s">
        <v>4265</v>
      </c>
      <c r="H1287" s="2"/>
      <c r="I1287" s="2" t="s">
        <v>9</v>
      </c>
      <c r="K1287" t="e">
        <v>#N/A</v>
      </c>
      <c r="L1287" s="2" t="s">
        <v>8607</v>
      </c>
      <c r="M1287" t="s">
        <v>8149</v>
      </c>
      <c r="N1287" s="4"/>
    </row>
    <row r="1288" spans="1:14" ht="65" x14ac:dyDescent="0.3">
      <c r="A1288" s="1" t="str">
        <f>HYPERLINK("https://ipmanager.doe.gov/IPManager//ExternalLink.aspx?6ibkph2k9yi6F%2B0Vz7YoTp68px7nSN2gUWLati4c0i8%3D","Link")</f>
        <v>Link</v>
      </c>
      <c r="B1288" s="2" t="s">
        <v>4243</v>
      </c>
      <c r="C1288" s="2" t="s">
        <v>4241</v>
      </c>
      <c r="D1288" s="2" t="s">
        <v>1246</v>
      </c>
      <c r="E1288" s="2" t="s">
        <v>4244</v>
      </c>
      <c r="F1288" s="2" t="s">
        <v>4245</v>
      </c>
      <c r="G1288" s="2" t="s">
        <v>4246</v>
      </c>
      <c r="H1288" s="7"/>
      <c r="I1288" s="2" t="s">
        <v>9</v>
      </c>
      <c r="K1288" t="e">
        <v>#N/A</v>
      </c>
      <c r="L1288" s="2" t="s">
        <v>8607</v>
      </c>
      <c r="M1288" t="s">
        <v>8149</v>
      </c>
      <c r="N1288" s="4"/>
    </row>
    <row r="1289" spans="1:14" ht="78" x14ac:dyDescent="0.3">
      <c r="A1289" s="1" t="str">
        <f>HYPERLINK("https://ipmanager.doe.gov/IPManager//ExternalLink.aspx?6ibkph2k9yi6F%2B0Vz7YoTp68px7nSN2gL3qsN%2Fn19SE%3D","Link")</f>
        <v>Link</v>
      </c>
      <c r="B1289" s="2" t="s">
        <v>4240</v>
      </c>
      <c r="C1289" s="2" t="s">
        <v>4241</v>
      </c>
      <c r="D1289" s="2" t="s">
        <v>1246</v>
      </c>
      <c r="E1289" s="2" t="s">
        <v>4242</v>
      </c>
      <c r="F1289" s="2"/>
      <c r="G1289" s="2" t="s">
        <v>9</v>
      </c>
      <c r="H1289" s="7"/>
      <c r="I1289" s="2" t="s">
        <v>9</v>
      </c>
      <c r="K1289" t="e">
        <v>#N/A</v>
      </c>
      <c r="L1289" s="2" t="s">
        <v>8607</v>
      </c>
      <c r="M1289" t="s">
        <v>8149</v>
      </c>
      <c r="N1289" s="4"/>
    </row>
    <row r="1290" spans="1:14" ht="78" x14ac:dyDescent="0.3">
      <c r="A1290" s="1" t="str">
        <f>HYPERLINK("https://ipmanager.doe.gov/IPManager//ExternalLink.aspx?6ibkph2k9yi6F%2B0Vz7YoTvPUg%2FVZPl3iz7AoMHS9XWw%3D","Link")</f>
        <v>Link</v>
      </c>
      <c r="B1290" s="2" t="s">
        <v>4251</v>
      </c>
      <c r="C1290" s="2" t="s">
        <v>4241</v>
      </c>
      <c r="D1290" s="2" t="s">
        <v>4248</v>
      </c>
      <c r="E1290" s="2" t="s">
        <v>4252</v>
      </c>
      <c r="F1290" s="2" t="s">
        <v>4253</v>
      </c>
      <c r="G1290" s="2" t="s">
        <v>4254</v>
      </c>
      <c r="H1290" s="8">
        <v>10138182</v>
      </c>
      <c r="I1290" s="2" t="s">
        <v>4255</v>
      </c>
      <c r="K1290" t="e">
        <v>#N/A</v>
      </c>
      <c r="L1290" s="2" t="s">
        <v>8607</v>
      </c>
      <c r="M1290" t="s">
        <v>8149</v>
      </c>
    </row>
    <row r="1291" spans="1:14" ht="52" x14ac:dyDescent="0.3">
      <c r="A1291" s="1" t="str">
        <f>HYPERLINK("https://ipmanager.doe.gov/IPManager//ExternalLink.aspx?6ibkph2k9yi6F%2B0Vz7YoTvPUg%2FVZPl3i0PFG9C0ZO1U%3D","Link")</f>
        <v>Link</v>
      </c>
      <c r="B1291" s="2" t="s">
        <v>4259</v>
      </c>
      <c r="C1291" s="2" t="s">
        <v>4241</v>
      </c>
      <c r="D1291" s="2" t="s">
        <v>1246</v>
      </c>
      <c r="E1291" s="2" t="s">
        <v>4260</v>
      </c>
      <c r="F1291" s="2"/>
      <c r="G1291" s="2" t="s">
        <v>9</v>
      </c>
      <c r="H1291" s="7"/>
      <c r="I1291" s="2" t="s">
        <v>9</v>
      </c>
      <c r="K1291" t="e">
        <v>#N/A</v>
      </c>
      <c r="L1291" s="2" t="s">
        <v>8607</v>
      </c>
      <c r="M1291" t="s">
        <v>8149</v>
      </c>
      <c r="N1291" s="4"/>
    </row>
    <row r="1292" spans="1:14" ht="39" x14ac:dyDescent="0.3">
      <c r="A1292" s="1" t="str">
        <f>HYPERLINK("https://ipmanager.doe.gov/IPManager//ExternalLink.aspx?6ibkph2k9yi6F%2B0Vz7YoTvPUg%2FVZPl3ipHftV9IdS68%3D","Link")</f>
        <v>Link</v>
      </c>
      <c r="B1292" s="2" t="s">
        <v>4261</v>
      </c>
      <c r="C1292" s="2" t="s">
        <v>4241</v>
      </c>
      <c r="D1292" s="2" t="s">
        <v>1246</v>
      </c>
      <c r="E1292" s="2" t="s">
        <v>4249</v>
      </c>
      <c r="F1292" s="2"/>
      <c r="G1292" s="2" t="s">
        <v>9</v>
      </c>
      <c r="H1292" s="7"/>
      <c r="I1292" s="2" t="s">
        <v>9</v>
      </c>
      <c r="K1292" t="e">
        <v>#N/A</v>
      </c>
      <c r="L1292" s="2" t="s">
        <v>8607</v>
      </c>
      <c r="M1292" t="s">
        <v>8149</v>
      </c>
      <c r="N1292" s="4"/>
    </row>
    <row r="1293" spans="1:14" ht="78" x14ac:dyDescent="0.3">
      <c r="A1293" s="1" t="str">
        <f>HYPERLINK("https://ipmanager.doe.gov/IPManager//ExternalLink.aspx?6ibkph2k9yi6F%2B0Vz7YoTkqAgjuWMa9QqhdG7yN7MdY%3D","Link")</f>
        <v>Link</v>
      </c>
      <c r="B1293" s="2" t="s">
        <v>4266</v>
      </c>
      <c r="C1293" s="2" t="s">
        <v>4241</v>
      </c>
      <c r="D1293" s="2" t="s">
        <v>4248</v>
      </c>
      <c r="E1293" s="2" t="s">
        <v>4267</v>
      </c>
      <c r="F1293" s="2"/>
      <c r="G1293" s="2" t="s">
        <v>9</v>
      </c>
      <c r="H1293" s="7"/>
      <c r="I1293" s="2" t="s">
        <v>9</v>
      </c>
      <c r="K1293" t="e">
        <v>#N/A</v>
      </c>
      <c r="L1293" s="2" t="s">
        <v>8607</v>
      </c>
      <c r="M1293" t="s">
        <v>8149</v>
      </c>
      <c r="N1293" s="4"/>
    </row>
    <row r="1294" spans="1:14" ht="91" x14ac:dyDescent="0.3">
      <c r="A1294" s="1" t="str">
        <f>HYPERLINK("https://ipmanager.doe.gov/IPManager//ExternalLink.aspx?6ibkph2k9yi6F%2B0Vz7YoTkqAgjuWMa9QegXhfUfvvxM%3D","Link")</f>
        <v>Link</v>
      </c>
      <c r="B1294" s="2" t="s">
        <v>4268</v>
      </c>
      <c r="C1294" s="2" t="s">
        <v>4269</v>
      </c>
      <c r="D1294" s="2" t="s">
        <v>4270</v>
      </c>
      <c r="E1294" s="2" t="s">
        <v>4271</v>
      </c>
      <c r="F1294" s="2" t="s">
        <v>4272</v>
      </c>
      <c r="G1294" s="2" t="s">
        <v>3686</v>
      </c>
      <c r="H1294" s="7"/>
      <c r="I1294" s="2" t="s">
        <v>9</v>
      </c>
      <c r="K1294" t="e">
        <v>#N/A</v>
      </c>
      <c r="L1294" s="2" t="s">
        <v>8608</v>
      </c>
      <c r="M1294" t="s">
        <v>7979</v>
      </c>
      <c r="N1294" s="4"/>
    </row>
    <row r="1295" spans="1:14" ht="26" x14ac:dyDescent="0.3">
      <c r="A1295" s="1" t="str">
        <f>HYPERLINK("https://ipmanager.doe.gov/IPManager//ExternalLink.aspx?6ibkph2k9yi6F%2B0Vz7YoTvPUg%2FVZPl3itN%2ByRjvHUlU%3D","Link")</f>
        <v>Link</v>
      </c>
      <c r="B1295" s="2" t="s">
        <v>4273</v>
      </c>
      <c r="C1295" s="2" t="s">
        <v>4274</v>
      </c>
      <c r="D1295" s="2" t="s">
        <v>4275</v>
      </c>
      <c r="E1295" s="2" t="s">
        <v>4276</v>
      </c>
      <c r="F1295" s="2" t="s">
        <v>4277</v>
      </c>
      <c r="G1295" s="2" t="s">
        <v>2006</v>
      </c>
      <c r="H1295" s="7"/>
      <c r="I1295" s="2" t="s">
        <v>9</v>
      </c>
      <c r="J1295" t="s">
        <v>7561</v>
      </c>
      <c r="K1295" t="s">
        <v>7942</v>
      </c>
      <c r="L1295" s="2" t="s">
        <v>8609</v>
      </c>
      <c r="M1295" t="s">
        <v>8150</v>
      </c>
      <c r="N1295" s="4"/>
    </row>
    <row r="1296" spans="1:14" ht="65" x14ac:dyDescent="0.3">
      <c r="A1296" s="1" t="str">
        <f>HYPERLINK("https://ipmanager.doe.gov/IPManager//ExternalLink.aspx?6ibkph2k9yi6F%2B0Vz7YoTk2BI6w%2FjZ2f1JObDnYFKBc%3D","Link")</f>
        <v>Link</v>
      </c>
      <c r="B1296" s="2" t="s">
        <v>4278</v>
      </c>
      <c r="C1296" s="2" t="s">
        <v>4274</v>
      </c>
      <c r="D1296" s="2" t="s">
        <v>4275</v>
      </c>
      <c r="E1296" s="2" t="s">
        <v>4279</v>
      </c>
      <c r="F1296" s="2"/>
      <c r="G1296" s="2" t="s">
        <v>9</v>
      </c>
      <c r="H1296" s="7"/>
      <c r="I1296" s="2" t="s">
        <v>9</v>
      </c>
      <c r="K1296" t="e">
        <v>#N/A</v>
      </c>
      <c r="L1296" s="2" t="s">
        <v>8609</v>
      </c>
      <c r="M1296" t="s">
        <v>8150</v>
      </c>
      <c r="N1296" s="4"/>
    </row>
    <row r="1297" spans="1:14" ht="26" x14ac:dyDescent="0.3">
      <c r="A1297" s="1" t="str">
        <f>HYPERLINK("https://ipmanager.doe.gov/IPManager//ExternalLink.aspx?6ibkph2k9yi6F%2B0Vz7YoTvPUg%2FVZPl3izO%2Bv4%2B9NM7k%3D","Link")</f>
        <v>Link</v>
      </c>
      <c r="B1297" s="2" t="s">
        <v>4291</v>
      </c>
      <c r="C1297" s="2" t="s">
        <v>4281</v>
      </c>
      <c r="D1297" s="2" t="s">
        <v>4169</v>
      </c>
      <c r="E1297" s="2" t="s">
        <v>4292</v>
      </c>
      <c r="F1297" s="2" t="s">
        <v>4293</v>
      </c>
      <c r="G1297" s="2" t="s">
        <v>4294</v>
      </c>
      <c r="H1297" s="8">
        <v>10135388</v>
      </c>
      <c r="I1297" s="2" t="s">
        <v>3482</v>
      </c>
      <c r="K1297" t="e">
        <v>#N/A</v>
      </c>
      <c r="L1297" s="2" t="s">
        <v>8610</v>
      </c>
      <c r="M1297" t="s">
        <v>8151</v>
      </c>
    </row>
    <row r="1298" spans="1:14" ht="26" x14ac:dyDescent="0.3">
      <c r="A1298" s="1" t="str">
        <f>HYPERLINK("https://ipmanager.doe.gov/IPManager//ExternalLink.aspx?6ibkph2k9yi6F%2B0Vz7YoTvPUg%2FVZPl3i%2BVITeYPhgHg%3D","Link")</f>
        <v>Link</v>
      </c>
      <c r="B1298" s="2" t="s">
        <v>4298</v>
      </c>
      <c r="C1298" s="2" t="s">
        <v>4281</v>
      </c>
      <c r="D1298" s="2" t="s">
        <v>4169</v>
      </c>
      <c r="E1298" s="2" t="s">
        <v>4299</v>
      </c>
      <c r="F1298" s="2" t="s">
        <v>4300</v>
      </c>
      <c r="G1298" s="2" t="s">
        <v>4156</v>
      </c>
      <c r="H1298" s="7" t="s">
        <v>4301</v>
      </c>
      <c r="I1298" s="2" t="s">
        <v>3947</v>
      </c>
      <c r="K1298" t="e">
        <v>#N/A</v>
      </c>
      <c r="L1298" s="2" t="s">
        <v>8610</v>
      </c>
      <c r="M1298" t="s">
        <v>8151</v>
      </c>
    </row>
    <row r="1299" spans="1:14" ht="26" x14ac:dyDescent="0.3">
      <c r="A1299" s="1" t="str">
        <f>HYPERLINK("https://ipmanager.doe.gov/IPManager//ExternalLink.aspx?6ibkph2k9yi6F%2B0Vz7YoTipZ798QK%2BbPxb%2Fxl%2BbVUjo%3D","Link")</f>
        <v>Link</v>
      </c>
      <c r="B1299" s="2" t="s">
        <v>4280</v>
      </c>
      <c r="C1299" s="2" t="s">
        <v>4281</v>
      </c>
      <c r="D1299" s="2" t="s">
        <v>4169</v>
      </c>
      <c r="E1299" s="2" t="s">
        <v>4282</v>
      </c>
      <c r="F1299" s="2" t="s">
        <v>4283</v>
      </c>
      <c r="G1299" s="2" t="s">
        <v>4284</v>
      </c>
      <c r="H1299" s="7"/>
      <c r="I1299" s="2" t="s">
        <v>9</v>
      </c>
      <c r="K1299" t="e">
        <v>#N/A</v>
      </c>
      <c r="L1299" s="2" t="s">
        <v>8610</v>
      </c>
      <c r="M1299" t="s">
        <v>8151</v>
      </c>
      <c r="N1299" s="4"/>
    </row>
    <row r="1300" spans="1:14" ht="26" x14ac:dyDescent="0.3">
      <c r="A1300" s="1" t="str">
        <f>HYPERLINK("https://ipmanager.doe.gov/IPManager//ExternalLink.aspx?6ibkph2k9yi6F%2B0Vz7YoTipZ798QK%2BbPxNneHFw1RfE%3D","Link")</f>
        <v>Link</v>
      </c>
      <c r="B1300" s="2" t="s">
        <v>4285</v>
      </c>
      <c r="C1300" s="2" t="s">
        <v>4281</v>
      </c>
      <c r="D1300" s="2" t="s">
        <v>4169</v>
      </c>
      <c r="E1300" s="2" t="s">
        <v>4286</v>
      </c>
      <c r="F1300" s="2" t="s">
        <v>4287</v>
      </c>
      <c r="G1300" s="2" t="s">
        <v>4284</v>
      </c>
      <c r="H1300" s="7"/>
      <c r="I1300" s="2" t="s">
        <v>9</v>
      </c>
      <c r="K1300" t="e">
        <v>#N/A</v>
      </c>
      <c r="L1300" s="2" t="s">
        <v>8610</v>
      </c>
      <c r="M1300" t="s">
        <v>8151</v>
      </c>
      <c r="N1300" s="4"/>
    </row>
    <row r="1301" spans="1:14" ht="26" x14ac:dyDescent="0.3">
      <c r="A1301" s="1" t="str">
        <f>HYPERLINK("https://ipmanager.doe.gov/IPManager//ExternalLink.aspx?6ibkph2k9yi6F%2B0Vz7YoTvPUg%2FVZPl3iAL%2Fw5PeKFPk%3D","Link")</f>
        <v>Link</v>
      </c>
      <c r="B1301" s="2" t="s">
        <v>4288</v>
      </c>
      <c r="C1301" s="2" t="s">
        <v>4281</v>
      </c>
      <c r="D1301" s="2" t="s">
        <v>4169</v>
      </c>
      <c r="E1301" s="2" t="s">
        <v>4289</v>
      </c>
      <c r="F1301" s="2" t="s">
        <v>4290</v>
      </c>
      <c r="G1301" s="2" t="s">
        <v>4284</v>
      </c>
      <c r="H1301" s="7"/>
      <c r="I1301" s="2" t="s">
        <v>9</v>
      </c>
      <c r="K1301" t="e">
        <v>#N/A</v>
      </c>
      <c r="L1301" s="2" t="s">
        <v>8610</v>
      </c>
      <c r="M1301" t="s">
        <v>8151</v>
      </c>
      <c r="N1301" s="4"/>
    </row>
    <row r="1302" spans="1:14" ht="26" x14ac:dyDescent="0.3">
      <c r="A1302" s="1" t="str">
        <f>HYPERLINK("https://ipmanager.doe.gov/IPManager//ExternalLink.aspx?6ibkph2k9yi6F%2B0Vz7YoTvPUg%2FVZPl3iCvUwYuyqycI%3D","Link")</f>
        <v>Link</v>
      </c>
      <c r="B1302" s="2" t="s">
        <v>4295</v>
      </c>
      <c r="C1302" s="2" t="s">
        <v>4281</v>
      </c>
      <c r="D1302" s="2" t="s">
        <v>4169</v>
      </c>
      <c r="E1302" s="2" t="s">
        <v>4292</v>
      </c>
      <c r="F1302" s="2" t="s">
        <v>4296</v>
      </c>
      <c r="G1302" s="2" t="s">
        <v>4297</v>
      </c>
      <c r="H1302" s="7"/>
      <c r="I1302" s="2" t="s">
        <v>9</v>
      </c>
      <c r="J1302" t="s">
        <v>4296</v>
      </c>
      <c r="K1302" t="s">
        <v>7735</v>
      </c>
      <c r="L1302" s="2" t="s">
        <v>8610</v>
      </c>
      <c r="M1302" t="s">
        <v>8151</v>
      </c>
      <c r="N1302" s="4"/>
    </row>
    <row r="1303" spans="1:14" ht="52" x14ac:dyDescent="0.3">
      <c r="A1303" s="1" t="str">
        <f>HYPERLINK("https://ipmanager.doe.gov/IPManager//ExternalLink.aspx?6ibkph2k9yi6F%2B0Vz7YoTvPUg%2FVZPl3idNyBzsj%2F56E%3D","Link")</f>
        <v>Link</v>
      </c>
      <c r="B1303" s="2" t="s">
        <v>4302</v>
      </c>
      <c r="C1303" s="2" t="s">
        <v>4303</v>
      </c>
      <c r="D1303" s="2" t="s">
        <v>4304</v>
      </c>
      <c r="E1303" s="2" t="s">
        <v>4305</v>
      </c>
      <c r="F1303" s="2" t="s">
        <v>4306</v>
      </c>
      <c r="G1303" s="2" t="s">
        <v>4307</v>
      </c>
      <c r="H1303" s="7"/>
      <c r="I1303" s="2" t="s">
        <v>9</v>
      </c>
      <c r="K1303" t="e">
        <v>#N/A</v>
      </c>
      <c r="L1303" s="2" t="s">
        <v>8611</v>
      </c>
      <c r="M1303" t="s">
        <v>8152</v>
      </c>
      <c r="N1303" s="4"/>
    </row>
    <row r="1304" spans="1:14" ht="78" x14ac:dyDescent="0.3">
      <c r="A1304" s="1" t="str">
        <f>HYPERLINK("https://ipmanager.doe.gov/IPManager//ExternalLink.aspx?6ibkph2k9yi6F%2B0Vz7YoTvPUg%2FVZPl3imtqyqAmqQjs%3D","Link")</f>
        <v>Link</v>
      </c>
      <c r="B1304" s="2" t="s">
        <v>4308</v>
      </c>
      <c r="C1304" s="2" t="s">
        <v>4303</v>
      </c>
      <c r="D1304" s="2" t="s">
        <v>4304</v>
      </c>
      <c r="E1304" s="2" t="s">
        <v>4309</v>
      </c>
      <c r="F1304" s="2" t="s">
        <v>4310</v>
      </c>
      <c r="G1304" s="2" t="s">
        <v>4311</v>
      </c>
      <c r="H1304" s="7"/>
      <c r="I1304" s="2" t="s">
        <v>9</v>
      </c>
      <c r="K1304" t="e">
        <v>#N/A</v>
      </c>
      <c r="L1304" s="2" t="s">
        <v>8611</v>
      </c>
      <c r="M1304" t="s">
        <v>8152</v>
      </c>
      <c r="N1304" s="4"/>
    </row>
    <row r="1305" spans="1:14" ht="26" x14ac:dyDescent="0.3">
      <c r="A1305" s="1" t="str">
        <f>HYPERLINK("https://ipmanager.doe.gov/IPManager//ExternalLink.aspx?6ibkph2k9yi6F%2B0Vz7YoTgZwfmYxrNyKDHryNrHMkwI%3D","Link")</f>
        <v>Link</v>
      </c>
      <c r="B1305" s="2" t="s">
        <v>4316</v>
      </c>
      <c r="C1305" s="2" t="s">
        <v>4313</v>
      </c>
      <c r="D1305" s="2" t="s">
        <v>4314</v>
      </c>
      <c r="E1305" s="2" t="s">
        <v>4317</v>
      </c>
      <c r="F1305" s="2" t="s">
        <v>4318</v>
      </c>
      <c r="G1305" s="2" t="s">
        <v>4319</v>
      </c>
      <c r="H1305" s="7"/>
      <c r="I1305" s="2" t="s">
        <v>9</v>
      </c>
      <c r="K1305" t="e">
        <v>#N/A</v>
      </c>
      <c r="L1305" s="2" t="s">
        <v>8612</v>
      </c>
      <c r="M1305" t="s">
        <v>8153</v>
      </c>
      <c r="N1305" s="4"/>
    </row>
    <row r="1306" spans="1:14" ht="26" x14ac:dyDescent="0.3">
      <c r="A1306" s="1" t="str">
        <f>HYPERLINK("https://ipmanager.doe.gov/IPManager//ExternalLink.aspx?6ibkph2k9yi6F%2B0Vz7YoTo7DPLa3%2F%2FGgBuK%2BU8WLNSM%3D","Link")</f>
        <v>Link</v>
      </c>
      <c r="B1306" s="2" t="s">
        <v>4321</v>
      </c>
      <c r="C1306" s="2" t="s">
        <v>4313</v>
      </c>
      <c r="D1306" s="2" t="s">
        <v>4314</v>
      </c>
      <c r="E1306" s="2" t="s">
        <v>4322</v>
      </c>
      <c r="F1306" s="2" t="s">
        <v>4323</v>
      </c>
      <c r="G1306" s="2" t="s">
        <v>4320</v>
      </c>
      <c r="H1306" s="7"/>
      <c r="I1306" s="2" t="s">
        <v>9</v>
      </c>
      <c r="K1306" t="e">
        <v>#N/A</v>
      </c>
      <c r="L1306" s="2" t="s">
        <v>8612</v>
      </c>
      <c r="M1306" t="s">
        <v>8153</v>
      </c>
      <c r="N1306" s="4"/>
    </row>
    <row r="1307" spans="1:14" ht="26" x14ac:dyDescent="0.3">
      <c r="A1307" s="1" t="str">
        <f>HYPERLINK("https://ipmanager.doe.gov/IPManager//ExternalLink.aspx?6ibkph2k9yi6F%2B0Vz7YoTo7DPLa3%2F%2FGgzovVGiLMIVE%3D","Link")</f>
        <v>Link</v>
      </c>
      <c r="B1307" s="2" t="s">
        <v>4324</v>
      </c>
      <c r="C1307" s="2" t="s">
        <v>4313</v>
      </c>
      <c r="D1307" s="2" t="s">
        <v>4314</v>
      </c>
      <c r="E1307" s="2" t="s">
        <v>4325</v>
      </c>
      <c r="F1307" s="2" t="s">
        <v>4326</v>
      </c>
      <c r="G1307" s="2" t="s">
        <v>406</v>
      </c>
      <c r="H1307" s="7"/>
      <c r="I1307" s="2" t="s">
        <v>9</v>
      </c>
      <c r="K1307" t="e">
        <v>#N/A</v>
      </c>
      <c r="L1307" s="2" t="s">
        <v>8612</v>
      </c>
      <c r="M1307" t="s">
        <v>8153</v>
      </c>
      <c r="N1307" s="4"/>
    </row>
    <row r="1308" spans="1:14" ht="26" x14ac:dyDescent="0.3">
      <c r="A1308" s="1" t="str">
        <f>HYPERLINK("https://ipmanager.doe.gov/IPManager//ExternalLink.aspx?6ibkph2k9yi6F%2B0Vz7YoTo7DPLa3%2F%2FGgFc7e1Qhqits%3D","Link")</f>
        <v>Link</v>
      </c>
      <c r="B1308" s="2" t="s">
        <v>4327</v>
      </c>
      <c r="C1308" s="2" t="s">
        <v>4313</v>
      </c>
      <c r="D1308" s="2" t="s">
        <v>4314</v>
      </c>
      <c r="E1308" s="2" t="s">
        <v>4328</v>
      </c>
      <c r="F1308" s="2" t="s">
        <v>4329</v>
      </c>
      <c r="G1308" s="2" t="s">
        <v>4330</v>
      </c>
      <c r="H1308" s="7"/>
      <c r="I1308" s="2" t="s">
        <v>9</v>
      </c>
      <c r="K1308" t="e">
        <v>#N/A</v>
      </c>
      <c r="L1308" s="2" t="s">
        <v>8612</v>
      </c>
      <c r="M1308" t="s">
        <v>8153</v>
      </c>
      <c r="N1308" s="4"/>
    </row>
    <row r="1309" spans="1:14" ht="26" x14ac:dyDescent="0.3">
      <c r="A1309" s="1" t="str">
        <f>HYPERLINK("https://ipmanager.doe.gov/IPManager//ExternalLink.aspx?6ibkph2k9yi6F%2B0Vz7YoTgZwfmYxrNyKWag955DYyDo%3D","Link")</f>
        <v>Link</v>
      </c>
      <c r="B1309" s="2" t="s">
        <v>4312</v>
      </c>
      <c r="C1309" s="2" t="s">
        <v>4313</v>
      </c>
      <c r="D1309" s="2" t="s">
        <v>4314</v>
      </c>
      <c r="E1309" s="2" t="s">
        <v>4315</v>
      </c>
      <c r="F1309" s="2"/>
      <c r="G1309" s="2" t="s">
        <v>9</v>
      </c>
      <c r="H1309" s="7"/>
      <c r="I1309" s="2" t="s">
        <v>9</v>
      </c>
      <c r="K1309" t="e">
        <v>#N/A</v>
      </c>
      <c r="L1309" s="2" t="s">
        <v>8612</v>
      </c>
      <c r="M1309" t="s">
        <v>8153</v>
      </c>
      <c r="N1309" s="4"/>
    </row>
    <row r="1310" spans="1:14" ht="52" x14ac:dyDescent="0.3">
      <c r="A1310" s="1" t="str">
        <f>HYPERLINK("https://ipmanager.doe.gov/IPManager//ExternalLink.aspx?6ibkph2k9yi6F%2B0Vz7YoTo7DPLa3%2F%2FGgImSawhHmvtU%3D","Link")</f>
        <v>Link</v>
      </c>
      <c r="B1310" s="2" t="s">
        <v>3433</v>
      </c>
      <c r="C1310" s="2" t="s">
        <v>4331</v>
      </c>
      <c r="D1310" s="2" t="s">
        <v>348</v>
      </c>
      <c r="E1310" s="2" t="s">
        <v>4332</v>
      </c>
      <c r="F1310" s="2"/>
      <c r="G1310" s="2" t="s">
        <v>9</v>
      </c>
      <c r="H1310" s="7"/>
      <c r="I1310" s="2" t="s">
        <v>9</v>
      </c>
      <c r="K1310" t="e">
        <v>#N/A</v>
      </c>
      <c r="L1310" s="2" t="s">
        <v>8613</v>
      </c>
      <c r="M1310" t="s">
        <v>8154</v>
      </c>
      <c r="N1310" s="4"/>
    </row>
    <row r="1311" spans="1:14" ht="65" x14ac:dyDescent="0.3">
      <c r="A1311" s="1" t="str">
        <f>HYPERLINK("https://ipmanager.doe.gov/IPManager//ExternalLink.aspx?6ibkph2k9yi6F%2B0Vz7YoTo7DPLa3%2F%2FGgKeDU8pPgdbg%3D","Link")</f>
        <v>Link</v>
      </c>
      <c r="B1311" s="2" t="s">
        <v>4333</v>
      </c>
      <c r="C1311" s="2" t="s">
        <v>4334</v>
      </c>
      <c r="D1311" s="2" t="s">
        <v>4335</v>
      </c>
      <c r="E1311" s="2" t="s">
        <v>4336</v>
      </c>
      <c r="F1311" s="2" t="s">
        <v>4337</v>
      </c>
      <c r="G1311" s="2" t="s">
        <v>4338</v>
      </c>
      <c r="H1311" s="7" t="s">
        <v>4339</v>
      </c>
      <c r="I1311" s="2" t="s">
        <v>1949</v>
      </c>
      <c r="K1311" t="e">
        <v>#N/A</v>
      </c>
      <c r="L1311" s="2" t="e">
        <v>#N/A</v>
      </c>
      <c r="M1311" t="e">
        <v>#N/A</v>
      </c>
    </row>
    <row r="1312" spans="1:14" ht="104" x14ac:dyDescent="0.3">
      <c r="A1312" s="1" t="str">
        <f>HYPERLINK("https://ipmanager.doe.gov/IPManager//ExternalLink.aspx?6ibkph2k9yi6F%2B0Vz7YoTgZwfmYxrNyKR74%2FJ6v8%2F4E%3D","Link")</f>
        <v>Link</v>
      </c>
      <c r="B1312" s="2" t="s">
        <v>4340</v>
      </c>
      <c r="C1312" s="2" t="s">
        <v>4341</v>
      </c>
      <c r="D1312" s="2"/>
      <c r="E1312" s="2" t="s">
        <v>4342</v>
      </c>
      <c r="F1312" s="2"/>
      <c r="G1312" s="2" t="s">
        <v>9</v>
      </c>
      <c r="H1312" s="7"/>
      <c r="I1312" s="2" t="s">
        <v>9</v>
      </c>
      <c r="K1312" t="e">
        <v>#N/A</v>
      </c>
      <c r="L1312" s="2" t="s">
        <v>8614</v>
      </c>
      <c r="M1312" t="s">
        <v>8155</v>
      </c>
      <c r="N1312" s="4"/>
    </row>
    <row r="1313" spans="1:14" ht="52" x14ac:dyDescent="0.3">
      <c r="A1313" s="1" t="str">
        <f>HYPERLINK("https://ipmanager.doe.gov/IPManager//ExternalLink.aspx?6ibkph2k9yi6F%2B0Vz7YoTr7J5I%2BY4foYRFHossm6dAo%3D","Link")</f>
        <v>Link</v>
      </c>
      <c r="B1313" s="2" t="s">
        <v>4348</v>
      </c>
      <c r="C1313" s="2" t="s">
        <v>4344</v>
      </c>
      <c r="D1313" s="2" t="s">
        <v>100</v>
      </c>
      <c r="E1313" s="2" t="s">
        <v>4349</v>
      </c>
      <c r="F1313" s="2"/>
      <c r="G1313" s="2" t="s">
        <v>9</v>
      </c>
      <c r="H1313" s="7"/>
      <c r="I1313" s="2" t="s">
        <v>9</v>
      </c>
      <c r="K1313" t="e">
        <v>#N/A</v>
      </c>
      <c r="L1313" s="2" t="s">
        <v>8615</v>
      </c>
      <c r="M1313" t="s">
        <v>8156</v>
      </c>
      <c r="N1313" s="4"/>
    </row>
    <row r="1314" spans="1:14" ht="39" x14ac:dyDescent="0.3">
      <c r="A1314" s="1" t="str">
        <f>HYPERLINK("https://ipmanager.doe.gov/IPManager//ExternalLink.aspx?6ibkph2k9yi6F%2B0Vz7YoTkqAgjuWMa9QB2%2BTToMkW9o%3D","Link")</f>
        <v>Link</v>
      </c>
      <c r="B1314" s="2" t="s">
        <v>4343</v>
      </c>
      <c r="C1314" s="2" t="s">
        <v>4344</v>
      </c>
      <c r="D1314" s="2" t="s">
        <v>4345</v>
      </c>
      <c r="E1314" s="2" t="s">
        <v>4346</v>
      </c>
      <c r="F1314" s="2" t="s">
        <v>4347</v>
      </c>
      <c r="G1314" s="2" t="s">
        <v>1422</v>
      </c>
      <c r="H1314" s="7"/>
      <c r="I1314" s="2" t="s">
        <v>9</v>
      </c>
      <c r="K1314" t="e">
        <v>#N/A</v>
      </c>
      <c r="L1314" s="2" t="s">
        <v>8615</v>
      </c>
      <c r="M1314" t="s">
        <v>8156</v>
      </c>
      <c r="N1314" s="4"/>
    </row>
    <row r="1315" spans="1:14" ht="26" x14ac:dyDescent="0.3">
      <c r="A1315" s="1" t="str">
        <f>HYPERLINK("https://ipmanager.doe.gov/IPManager//ExternalLink.aspx?6ibkph2k9yi6F%2B0Vz7YoTjnDGhmGHGI7P6nCty4ZKzQ%3D","Link")</f>
        <v>Link</v>
      </c>
      <c r="B1315" s="2" t="s">
        <v>4355</v>
      </c>
      <c r="C1315" s="2" t="s">
        <v>4351</v>
      </c>
      <c r="D1315" s="2" t="s">
        <v>2316</v>
      </c>
      <c r="E1315" s="2" t="s">
        <v>4356</v>
      </c>
      <c r="F1315" s="2" t="s">
        <v>4357</v>
      </c>
      <c r="G1315" s="2" t="s">
        <v>4358</v>
      </c>
      <c r="H1315" s="7"/>
      <c r="I1315" s="2" t="s">
        <v>9</v>
      </c>
      <c r="J1315" t="s">
        <v>7562</v>
      </c>
      <c r="K1315" t="s">
        <v>7943</v>
      </c>
      <c r="L1315" s="2" t="s">
        <v>8616</v>
      </c>
      <c r="M1315" t="s">
        <v>8157</v>
      </c>
      <c r="N1315" s="4"/>
    </row>
    <row r="1316" spans="1:14" ht="39" x14ac:dyDescent="0.3">
      <c r="A1316" s="1" t="str">
        <f>HYPERLINK("https://ipmanager.doe.gov/IPManager//ExternalLink.aspx?6ibkph2k9yi6F%2B0Vz7YoTjnDGhmGHGI7qtftyQVSvGI%3D","Link")</f>
        <v>Link</v>
      </c>
      <c r="B1316" s="2" t="s">
        <v>4350</v>
      </c>
      <c r="C1316" s="2" t="s">
        <v>4351</v>
      </c>
      <c r="D1316" s="2" t="s">
        <v>2316</v>
      </c>
      <c r="E1316" s="2" t="s">
        <v>4352</v>
      </c>
      <c r="F1316" s="2" t="s">
        <v>4353</v>
      </c>
      <c r="G1316" s="2" t="s">
        <v>4354</v>
      </c>
      <c r="H1316" s="2"/>
      <c r="I1316" s="2" t="s">
        <v>9</v>
      </c>
      <c r="K1316" t="e">
        <v>#N/A</v>
      </c>
      <c r="L1316" s="2" t="s">
        <v>8616</v>
      </c>
      <c r="M1316" t="s">
        <v>8157</v>
      </c>
      <c r="N1316" s="4"/>
    </row>
    <row r="1317" spans="1:14" ht="52" x14ac:dyDescent="0.3">
      <c r="A1317" s="1" t="str">
        <f>HYPERLINK("https://ipmanager.doe.gov/IPManager//ExternalLink.aspx?6ibkph2k9yi6F%2B0Vz7YoTq6RR9BlGHHi7g27faeT83Y%3D","Link")</f>
        <v>Link</v>
      </c>
      <c r="B1317" s="2" t="s">
        <v>4359</v>
      </c>
      <c r="C1317" s="2" t="s">
        <v>4351</v>
      </c>
      <c r="D1317" s="2" t="s">
        <v>2316</v>
      </c>
      <c r="E1317" s="2" t="s">
        <v>4360</v>
      </c>
      <c r="F1317" s="2" t="s">
        <v>4361</v>
      </c>
      <c r="G1317" s="2" t="s">
        <v>1061</v>
      </c>
      <c r="H1317" s="2"/>
      <c r="I1317" s="2" t="s">
        <v>9</v>
      </c>
      <c r="K1317" t="e">
        <v>#N/A</v>
      </c>
      <c r="L1317" s="2" t="s">
        <v>8616</v>
      </c>
      <c r="M1317" t="s">
        <v>8157</v>
      </c>
      <c r="N1317" s="4"/>
    </row>
    <row r="1318" spans="1:14" ht="52" x14ac:dyDescent="0.3">
      <c r="A1318" s="1" t="str">
        <f>HYPERLINK("https://ipmanager.doe.gov/IPManager//ExternalLink.aspx?6ibkph2k9yi6F%2B0Vz7YoTipZ798QK%2BbPm6Y3WdrBe%2Bw%3D","Link")</f>
        <v>Link</v>
      </c>
      <c r="B1318" s="2" t="s">
        <v>4362</v>
      </c>
      <c r="C1318" s="2" t="s">
        <v>4363</v>
      </c>
      <c r="D1318" s="2" t="s">
        <v>308</v>
      </c>
      <c r="E1318" s="2" t="s">
        <v>4364</v>
      </c>
      <c r="F1318" s="2" t="s">
        <v>4365</v>
      </c>
      <c r="G1318" s="2" t="s">
        <v>3892</v>
      </c>
      <c r="H1318" s="7"/>
      <c r="I1318" s="2" t="s">
        <v>9</v>
      </c>
      <c r="K1318" t="e">
        <v>#N/A</v>
      </c>
      <c r="L1318" s="2" t="s">
        <v>8617</v>
      </c>
      <c r="M1318" t="s">
        <v>8158</v>
      </c>
      <c r="N1318" s="4"/>
    </row>
    <row r="1319" spans="1:14" ht="26" x14ac:dyDescent="0.3">
      <c r="A1319" s="1" t="str">
        <f>HYPERLINK("https://ipmanager.doe.gov/IPManager//ExternalLink.aspx?6ibkph2k9yi6F%2B0Vz7YoTgZwfmYxrNyKTAMEhXfvbRY%3D","Link")</f>
        <v>Link</v>
      </c>
      <c r="B1319" s="2" t="s">
        <v>4366</v>
      </c>
      <c r="C1319" s="2" t="s">
        <v>4363</v>
      </c>
      <c r="D1319" s="2" t="s">
        <v>308</v>
      </c>
      <c r="E1319" s="2" t="s">
        <v>4367</v>
      </c>
      <c r="F1319" s="2" t="s">
        <v>4368</v>
      </c>
      <c r="G1319" s="2" t="s">
        <v>4369</v>
      </c>
      <c r="H1319" s="7"/>
      <c r="I1319" s="2" t="s">
        <v>9</v>
      </c>
      <c r="K1319" t="e">
        <v>#N/A</v>
      </c>
      <c r="L1319" s="2" t="s">
        <v>8617</v>
      </c>
      <c r="M1319" t="s">
        <v>8158</v>
      </c>
      <c r="N1319" s="4"/>
    </row>
    <row r="1320" spans="1:14" ht="26" x14ac:dyDescent="0.3">
      <c r="A1320" s="1" t="str">
        <f>HYPERLINK("https://ipmanager.doe.gov/IPManager//ExternalLink.aspx?6ibkph2k9yi6F%2B0Vz7YoTq6RR9BlGHHi%2FYYHcy3inLM%3D","Link")</f>
        <v>Link</v>
      </c>
      <c r="B1320" s="2" t="s">
        <v>4370</v>
      </c>
      <c r="C1320" s="2" t="s">
        <v>4363</v>
      </c>
      <c r="D1320" s="2" t="s">
        <v>308</v>
      </c>
      <c r="E1320" s="2" t="s">
        <v>4367</v>
      </c>
      <c r="F1320" s="2" t="s">
        <v>4371</v>
      </c>
      <c r="G1320" s="2" t="s">
        <v>4372</v>
      </c>
      <c r="H1320" s="7"/>
      <c r="I1320" s="2" t="s">
        <v>9</v>
      </c>
      <c r="J1320" t="s">
        <v>4371</v>
      </c>
      <c r="K1320" t="s">
        <v>7702</v>
      </c>
      <c r="L1320" s="2" t="s">
        <v>8617</v>
      </c>
      <c r="M1320" t="s">
        <v>8158</v>
      </c>
      <c r="N1320" s="4"/>
    </row>
    <row r="1321" spans="1:14" ht="52" x14ac:dyDescent="0.3">
      <c r="A1321" s="1" t="str">
        <f>HYPERLINK("https://ipmanager.doe.gov/IPManager//ExternalLink.aspx?6ibkph2k9yi6F%2B0Vz7YoTipZ798QK%2BbPXY8Ezdsp0V0%3D","Link")</f>
        <v>Link</v>
      </c>
      <c r="B1321" s="2" t="s">
        <v>4373</v>
      </c>
      <c r="C1321" s="2" t="s">
        <v>4363</v>
      </c>
      <c r="D1321" s="2" t="s">
        <v>308</v>
      </c>
      <c r="E1321" s="2" t="s">
        <v>4374</v>
      </c>
      <c r="F1321" s="2" t="s">
        <v>4375</v>
      </c>
      <c r="G1321" s="2" t="s">
        <v>4376</v>
      </c>
      <c r="H1321" s="7"/>
      <c r="I1321" s="2" t="s">
        <v>9</v>
      </c>
      <c r="K1321" t="e">
        <v>#N/A</v>
      </c>
      <c r="L1321" s="2" t="s">
        <v>8617</v>
      </c>
      <c r="M1321" t="s">
        <v>8158</v>
      </c>
      <c r="N1321" s="4"/>
    </row>
    <row r="1322" spans="1:14" ht="52" x14ac:dyDescent="0.3">
      <c r="A1322" s="1" t="str">
        <f>HYPERLINK("https://ipmanager.doe.gov/IPManager//ExternalLink.aspx?6ibkph2k9yi6F%2B0Vz7YoTnXVN2REjGcWaRzbPTVQCrQ%3D","Link")</f>
        <v>Link</v>
      </c>
      <c r="B1322" s="2" t="s">
        <v>4377</v>
      </c>
      <c r="C1322" s="2" t="s">
        <v>4363</v>
      </c>
      <c r="D1322" s="2" t="s">
        <v>308</v>
      </c>
      <c r="E1322" s="2" t="s">
        <v>4378</v>
      </c>
      <c r="F1322" s="2" t="s">
        <v>4379</v>
      </c>
      <c r="G1322" s="2" t="s">
        <v>3340</v>
      </c>
      <c r="H1322" s="7"/>
      <c r="I1322" s="2" t="s">
        <v>9</v>
      </c>
      <c r="K1322" t="e">
        <v>#N/A</v>
      </c>
      <c r="L1322" s="2" t="s">
        <v>8617</v>
      </c>
      <c r="M1322" t="s">
        <v>8158</v>
      </c>
      <c r="N1322" s="4"/>
    </row>
    <row r="1323" spans="1:14" ht="52" x14ac:dyDescent="0.3">
      <c r="A1323" s="1" t="str">
        <f>HYPERLINK("https://ipmanager.doe.gov/IPManager//ExternalLink.aspx?6ibkph2k9yi6F%2B0Vz7YoTnXVN2REjGcWOeBCLP4tuYk%3D","Link")</f>
        <v>Link</v>
      </c>
      <c r="B1323" s="2" t="s">
        <v>4380</v>
      </c>
      <c r="C1323" s="2" t="s">
        <v>4363</v>
      </c>
      <c r="D1323" s="2" t="s">
        <v>308</v>
      </c>
      <c r="E1323" s="2" t="s">
        <v>4374</v>
      </c>
      <c r="F1323" s="2" t="s">
        <v>4381</v>
      </c>
      <c r="G1323" s="2" t="s">
        <v>4382</v>
      </c>
      <c r="H1323" s="7"/>
      <c r="I1323" s="2" t="s">
        <v>9</v>
      </c>
      <c r="K1323" t="e">
        <v>#N/A</v>
      </c>
      <c r="L1323" s="2" t="s">
        <v>8617</v>
      </c>
      <c r="M1323" t="s">
        <v>8158</v>
      </c>
      <c r="N1323" s="4"/>
    </row>
    <row r="1324" spans="1:14" ht="143" x14ac:dyDescent="0.3">
      <c r="A1324" s="1" t="str">
        <f>HYPERLINK("https://ipmanager.doe.gov/IPManager//ExternalLink.aspx?6ibkph2k9yi6F%2B0Vz7YoTq6RR9BlGHHi3iqmuuLVSSI%3D","Link")</f>
        <v>Link</v>
      </c>
      <c r="B1324" s="2" t="s">
        <v>4383</v>
      </c>
      <c r="C1324" s="2" t="s">
        <v>4363</v>
      </c>
      <c r="D1324" s="2" t="s">
        <v>4384</v>
      </c>
      <c r="E1324" s="2" t="s">
        <v>4385</v>
      </c>
      <c r="F1324" s="2" t="s">
        <v>4386</v>
      </c>
      <c r="G1324" s="2" t="s">
        <v>2289</v>
      </c>
      <c r="H1324" s="7"/>
      <c r="I1324" s="2" t="s">
        <v>9</v>
      </c>
      <c r="K1324" t="e">
        <v>#N/A</v>
      </c>
      <c r="L1324" s="2" t="s">
        <v>8617</v>
      </c>
      <c r="M1324" t="s">
        <v>8158</v>
      </c>
      <c r="N1324" s="4"/>
    </row>
    <row r="1325" spans="1:14" ht="65" x14ac:dyDescent="0.3">
      <c r="A1325" s="1" t="str">
        <f>HYPERLINK("https://ipmanager.doe.gov/IPManager//ExternalLink.aspx?6ibkph2k9yi6F%2B0Vz7YoTq6RR9BlGHHiUEAD5XLitXI%3D","Link")</f>
        <v>Link</v>
      </c>
      <c r="B1325" s="2" t="s">
        <v>4387</v>
      </c>
      <c r="C1325" s="2" t="s">
        <v>4363</v>
      </c>
      <c r="D1325" s="2" t="s">
        <v>4384</v>
      </c>
      <c r="E1325" s="2" t="s">
        <v>4388</v>
      </c>
      <c r="F1325" s="2" t="s">
        <v>4389</v>
      </c>
      <c r="G1325" s="2" t="s">
        <v>3947</v>
      </c>
      <c r="H1325" s="7"/>
      <c r="I1325" s="2" t="s">
        <v>9</v>
      </c>
      <c r="J1325" t="s">
        <v>4389</v>
      </c>
      <c r="K1325" t="s">
        <v>7770</v>
      </c>
      <c r="L1325" s="2" t="s">
        <v>8617</v>
      </c>
      <c r="M1325" t="s">
        <v>8158</v>
      </c>
      <c r="N1325" s="4"/>
    </row>
    <row r="1326" spans="1:14" ht="39" x14ac:dyDescent="0.3">
      <c r="A1326" s="1" t="str">
        <f>HYPERLINK("https://ipmanager.doe.gov/IPManager//ExternalLink.aspx?6ibkph2k9yi6F%2B0Vz7YoTgZwfmYxrNyK%2FdEAJPNGzJA%3D","Link")</f>
        <v>Link</v>
      </c>
      <c r="B1326" s="2" t="s">
        <v>4390</v>
      </c>
      <c r="C1326" s="2" t="s">
        <v>4391</v>
      </c>
      <c r="D1326" s="2" t="s">
        <v>1415</v>
      </c>
      <c r="E1326" s="2" t="s">
        <v>4392</v>
      </c>
      <c r="F1326" s="2" t="s">
        <v>4393</v>
      </c>
      <c r="G1326" s="2" t="s">
        <v>4394</v>
      </c>
      <c r="H1326" s="2"/>
      <c r="I1326" s="2" t="s">
        <v>9</v>
      </c>
      <c r="J1326" t="s">
        <v>5495</v>
      </c>
      <c r="K1326" t="s">
        <v>7944</v>
      </c>
      <c r="L1326" s="2" t="s">
        <v>8618</v>
      </c>
      <c r="M1326" t="s">
        <v>8159</v>
      </c>
      <c r="N1326" s="4"/>
    </row>
    <row r="1327" spans="1:14" ht="65" x14ac:dyDescent="0.3">
      <c r="A1327" s="1" t="str">
        <f>HYPERLINK("https://ipmanager.doe.gov/IPManager//ExternalLink.aspx?6ibkph2k9yi6F%2B0Vz7YoTgZwfmYxrNyKJeRkZpa4D6A%3D","Link")</f>
        <v>Link</v>
      </c>
      <c r="B1327" s="2" t="s">
        <v>4398</v>
      </c>
      <c r="C1327" s="2" t="s">
        <v>4391</v>
      </c>
      <c r="D1327" s="2" t="s">
        <v>4396</v>
      </c>
      <c r="E1327" s="2" t="s">
        <v>4399</v>
      </c>
      <c r="F1327" s="2" t="s">
        <v>4400</v>
      </c>
      <c r="G1327" s="2" t="s">
        <v>4401</v>
      </c>
      <c r="H1327" s="7"/>
      <c r="I1327" s="2" t="s">
        <v>9</v>
      </c>
      <c r="K1327" t="e">
        <v>#N/A</v>
      </c>
      <c r="L1327" s="2" t="s">
        <v>8618</v>
      </c>
      <c r="M1327" t="s">
        <v>8159</v>
      </c>
      <c r="N1327" s="4"/>
    </row>
    <row r="1328" spans="1:14" ht="39" x14ac:dyDescent="0.3">
      <c r="A1328" s="1" t="str">
        <f>HYPERLINK("https://ipmanager.doe.gov/IPManager//ExternalLink.aspx?6ibkph2k9yi6F%2B0Vz7YoTvPUg%2FVZPl3iIuqtPD4epvE%3D","Link")</f>
        <v>Link</v>
      </c>
      <c r="B1328" s="2" t="s">
        <v>4395</v>
      </c>
      <c r="C1328" s="2" t="s">
        <v>4391</v>
      </c>
      <c r="D1328" s="2" t="s">
        <v>4396</v>
      </c>
      <c r="E1328" s="2" t="s">
        <v>4397</v>
      </c>
      <c r="F1328" s="2"/>
      <c r="G1328" s="2" t="s">
        <v>9</v>
      </c>
      <c r="H1328" s="7"/>
      <c r="I1328" s="2" t="s">
        <v>9</v>
      </c>
      <c r="K1328" t="e">
        <v>#N/A</v>
      </c>
      <c r="L1328" s="2" t="s">
        <v>8618</v>
      </c>
      <c r="M1328" t="s">
        <v>8159</v>
      </c>
      <c r="N1328" s="4"/>
    </row>
    <row r="1329" spans="1:14" ht="39" x14ac:dyDescent="0.3">
      <c r="A1329" s="1" t="str">
        <f>HYPERLINK("https://ipmanager.doe.gov/IPManager//ExternalLink.aspx?6ibkph2k9yi6F%2B0Vz7YoTipZ798QK%2BbPiPvb6vNroqI%3D","Link")</f>
        <v>Link</v>
      </c>
      <c r="B1329" s="2" t="s">
        <v>4409</v>
      </c>
      <c r="C1329" s="2" t="s">
        <v>4403</v>
      </c>
      <c r="D1329" s="2" t="s">
        <v>4410</v>
      </c>
      <c r="E1329" s="2" t="s">
        <v>4411</v>
      </c>
      <c r="F1329" s="2"/>
      <c r="G1329" s="2" t="s">
        <v>9</v>
      </c>
      <c r="H1329" s="7"/>
      <c r="I1329" s="2" t="s">
        <v>9</v>
      </c>
      <c r="K1329" t="e">
        <v>#N/A</v>
      </c>
      <c r="L1329" s="2" t="s">
        <v>8619</v>
      </c>
      <c r="M1329" t="s">
        <v>8160</v>
      </c>
      <c r="N1329" s="4"/>
    </row>
    <row r="1330" spans="1:14" ht="78" x14ac:dyDescent="0.3">
      <c r="A1330" s="1" t="str">
        <f>HYPERLINK("https://ipmanager.doe.gov/IPManager//ExternalLink.aspx?6ibkph2k9yi6F%2B0Vz7YoTsTAnuFk5EoAINC3Zmm8sEo%3D","Link")</f>
        <v>Link</v>
      </c>
      <c r="B1330" s="2" t="s">
        <v>4413</v>
      </c>
      <c r="C1330" s="2" t="s">
        <v>4403</v>
      </c>
      <c r="D1330" s="2" t="s">
        <v>4404</v>
      </c>
      <c r="E1330" s="2" t="s">
        <v>4414</v>
      </c>
      <c r="F1330" s="2"/>
      <c r="G1330" s="2" t="s">
        <v>9</v>
      </c>
      <c r="H1330" s="7"/>
      <c r="I1330" s="2" t="s">
        <v>9</v>
      </c>
      <c r="K1330" t="e">
        <v>#N/A</v>
      </c>
      <c r="L1330" s="2" t="s">
        <v>8619</v>
      </c>
      <c r="M1330" t="s">
        <v>8160</v>
      </c>
      <c r="N1330" s="4"/>
    </row>
    <row r="1331" spans="1:14" ht="65" x14ac:dyDescent="0.3">
      <c r="A1331" s="1" t="str">
        <f>HYPERLINK("https://ipmanager.doe.gov/IPManager//ExternalLink.aspx?6ibkph2k9yi6F%2B0Vz7YoTgZwfmYxrNyK2v1WNNydW64%3D","Link")</f>
        <v>Link</v>
      </c>
      <c r="B1331" s="2" t="s">
        <v>4415</v>
      </c>
      <c r="C1331" s="2" t="s">
        <v>4403</v>
      </c>
      <c r="D1331" s="2" t="s">
        <v>4404</v>
      </c>
      <c r="E1331" s="2" t="s">
        <v>4416</v>
      </c>
      <c r="F1331" s="2"/>
      <c r="G1331" s="2" t="s">
        <v>9</v>
      </c>
      <c r="H1331" s="7"/>
      <c r="I1331" s="2" t="s">
        <v>9</v>
      </c>
      <c r="K1331" t="e">
        <v>#N/A</v>
      </c>
      <c r="L1331" s="2" t="s">
        <v>8619</v>
      </c>
      <c r="M1331" t="s">
        <v>8160</v>
      </c>
      <c r="N1331" s="4"/>
    </row>
    <row r="1332" spans="1:14" ht="65" x14ac:dyDescent="0.3">
      <c r="A1332" s="1" t="str">
        <f>HYPERLINK("https://ipmanager.doe.gov/IPManager//ExternalLink.aspx?6ibkph2k9yi6F%2B0Vz7YoTvPUg%2FVZPl3ikLRm7040010%3D","Link")</f>
        <v>Link</v>
      </c>
      <c r="B1332" s="2" t="s">
        <v>4402</v>
      </c>
      <c r="C1332" s="2" t="s">
        <v>4403</v>
      </c>
      <c r="D1332" s="2" t="s">
        <v>4404</v>
      </c>
      <c r="E1332" s="2" t="s">
        <v>4405</v>
      </c>
      <c r="F1332" s="2" t="s">
        <v>4406</v>
      </c>
      <c r="G1332" s="2" t="s">
        <v>254</v>
      </c>
      <c r="H1332" s="7"/>
      <c r="I1332" s="2" t="s">
        <v>9</v>
      </c>
      <c r="K1332" t="e">
        <v>#N/A</v>
      </c>
      <c r="L1332" s="2" t="s">
        <v>8619</v>
      </c>
      <c r="M1332" t="s">
        <v>8160</v>
      </c>
      <c r="N1332" s="4"/>
    </row>
    <row r="1333" spans="1:14" ht="65" x14ac:dyDescent="0.3">
      <c r="A1333" s="1" t="str">
        <f>HYPERLINK("https://ipmanager.doe.gov/IPManager//ExternalLink.aspx?6ibkph2k9yi6F%2B0Vz7YoTipZ798QK%2BbPSnrbAQv02Kk%3D","Link")</f>
        <v>Link</v>
      </c>
      <c r="B1333" s="2" t="s">
        <v>4407</v>
      </c>
      <c r="C1333" s="2" t="s">
        <v>4403</v>
      </c>
      <c r="D1333" s="2" t="s">
        <v>4404</v>
      </c>
      <c r="E1333" s="2" t="s">
        <v>4405</v>
      </c>
      <c r="F1333" s="2" t="s">
        <v>4408</v>
      </c>
      <c r="G1333" s="2" t="s">
        <v>1256</v>
      </c>
      <c r="H1333" s="7"/>
      <c r="I1333" s="2" t="s">
        <v>9</v>
      </c>
      <c r="K1333" t="e">
        <v>#N/A</v>
      </c>
      <c r="L1333" s="2" t="s">
        <v>8619</v>
      </c>
      <c r="M1333" t="s">
        <v>8160</v>
      </c>
      <c r="N1333" s="4"/>
    </row>
    <row r="1334" spans="1:14" ht="26" x14ac:dyDescent="0.3">
      <c r="A1334" s="1" t="str">
        <f>HYPERLINK("https://ipmanager.doe.gov/IPManager//ExternalLink.aspx?6ibkph2k9yi6F%2B0Vz7YoTq6RR9BlGHHidc2sqez6em4%3D","Link")</f>
        <v>Link</v>
      </c>
      <c r="B1334" s="2" t="s">
        <v>4427</v>
      </c>
      <c r="C1334" s="2" t="s">
        <v>4418</v>
      </c>
      <c r="D1334" s="2" t="s">
        <v>4419</v>
      </c>
      <c r="E1334" s="2" t="s">
        <v>4428</v>
      </c>
      <c r="F1334" s="2" t="s">
        <v>4429</v>
      </c>
      <c r="G1334" s="2" t="s">
        <v>2525</v>
      </c>
      <c r="H1334" s="7"/>
      <c r="I1334" s="2" t="s">
        <v>9</v>
      </c>
      <c r="K1334" t="e">
        <v>#N/A</v>
      </c>
      <c r="L1334" s="2" t="s">
        <v>8620</v>
      </c>
      <c r="M1334" t="s">
        <v>8161</v>
      </c>
      <c r="N1334" s="4"/>
    </row>
    <row r="1335" spans="1:14" ht="52" x14ac:dyDescent="0.3">
      <c r="A1335" s="1" t="str">
        <f>HYPERLINK("https://ipmanager.doe.gov/IPManager//ExternalLink.aspx?6ibkph2k9yi6F%2B0Vz7YoTo7DPLa3%2F%2FGg7djAPTSGIY4%3D","Link")</f>
        <v>Link</v>
      </c>
      <c r="B1335" s="2" t="s">
        <v>4433</v>
      </c>
      <c r="C1335" s="2" t="s">
        <v>4418</v>
      </c>
      <c r="D1335" s="2" t="s">
        <v>4419</v>
      </c>
      <c r="E1335" s="2" t="s">
        <v>4434</v>
      </c>
      <c r="F1335" s="2" t="s">
        <v>4435</v>
      </c>
      <c r="G1335" s="2" t="s">
        <v>4436</v>
      </c>
      <c r="H1335" s="7"/>
      <c r="I1335" s="2" t="s">
        <v>9</v>
      </c>
      <c r="K1335" t="e">
        <v>#N/A</v>
      </c>
      <c r="L1335" s="2" t="s">
        <v>8620</v>
      </c>
      <c r="M1335" t="s">
        <v>8161</v>
      </c>
      <c r="N1335" s="4"/>
    </row>
    <row r="1336" spans="1:14" ht="39" x14ac:dyDescent="0.3">
      <c r="A1336" s="1" t="str">
        <f>HYPERLINK("https://ipmanager.doe.gov/IPManager//ExternalLink.aspx?6ibkph2k9yi6F%2B0Vz7YoTipZ798QK%2BbPTs2eqXlosTE%3D","Link")</f>
        <v>Link</v>
      </c>
      <c r="B1336" s="2" t="s">
        <v>4417</v>
      </c>
      <c r="C1336" s="2" t="s">
        <v>4418</v>
      </c>
      <c r="D1336" s="2" t="s">
        <v>4419</v>
      </c>
      <c r="E1336" s="2" t="s">
        <v>4420</v>
      </c>
      <c r="F1336" s="2"/>
      <c r="G1336" s="2" t="s">
        <v>9</v>
      </c>
      <c r="H1336" s="7"/>
      <c r="I1336" s="2" t="s">
        <v>9</v>
      </c>
      <c r="K1336" t="e">
        <v>#N/A</v>
      </c>
      <c r="L1336" s="2" t="s">
        <v>8620</v>
      </c>
      <c r="M1336" t="s">
        <v>8161</v>
      </c>
      <c r="N1336" s="4"/>
    </row>
    <row r="1337" spans="1:14" ht="26" x14ac:dyDescent="0.3">
      <c r="A1337" s="1" t="str">
        <f>HYPERLINK("https://ipmanager.doe.gov/IPManager//ExternalLink.aspx?6ibkph2k9yi6F%2B0Vz7YoTo7DPLa3%2F%2FGgCE0CgpTaz1w%3D","Link")</f>
        <v>Link</v>
      </c>
      <c r="B1337" s="2" t="s">
        <v>4421</v>
      </c>
      <c r="C1337" s="2" t="s">
        <v>4418</v>
      </c>
      <c r="D1337" s="2" t="s">
        <v>4419</v>
      </c>
      <c r="E1337" s="2" t="s">
        <v>4422</v>
      </c>
      <c r="F1337" s="2"/>
      <c r="G1337" s="2" t="s">
        <v>9</v>
      </c>
      <c r="H1337" s="8">
        <v>9370773</v>
      </c>
      <c r="I1337" s="2" t="s">
        <v>2197</v>
      </c>
      <c r="K1337" t="e">
        <v>#N/A</v>
      </c>
      <c r="L1337" s="2" t="s">
        <v>8620</v>
      </c>
      <c r="M1337" t="s">
        <v>8161</v>
      </c>
      <c r="N1337" s="4"/>
    </row>
    <row r="1338" spans="1:14" ht="26" x14ac:dyDescent="0.3">
      <c r="A1338" s="1" t="str">
        <f>HYPERLINK("https://ipmanager.doe.gov/IPManager//ExternalLink.aspx?6ibkph2k9yi6F%2B0Vz7YoTo7DPLa3%2F%2FGgwyydp%2B9M4t0%3D","Link")</f>
        <v>Link</v>
      </c>
      <c r="B1338" s="2" t="s">
        <v>4424</v>
      </c>
      <c r="C1338" s="2" t="s">
        <v>4418</v>
      </c>
      <c r="D1338" s="2" t="s">
        <v>4419</v>
      </c>
      <c r="E1338" s="2" t="s">
        <v>4422</v>
      </c>
      <c r="F1338" s="2" t="s">
        <v>4423</v>
      </c>
      <c r="G1338" s="2" t="s">
        <v>3866</v>
      </c>
      <c r="H1338" s="8">
        <v>9370773</v>
      </c>
      <c r="I1338" s="2" t="s">
        <v>2197</v>
      </c>
      <c r="K1338" t="e">
        <v>#N/A</v>
      </c>
      <c r="L1338" s="2" t="s">
        <v>8620</v>
      </c>
      <c r="M1338" t="s">
        <v>8161</v>
      </c>
    </row>
    <row r="1339" spans="1:14" ht="26" x14ac:dyDescent="0.3">
      <c r="A1339" s="1" t="str">
        <f>HYPERLINK("https://ipmanager.doe.gov/IPManager//ExternalLink.aspx?6ibkph2k9yi6F%2B0Vz7YoTvPUg%2FVZPl3iEyENOQo6FRg%3D","Link")</f>
        <v>Link</v>
      </c>
      <c r="B1339" s="2" t="s">
        <v>4425</v>
      </c>
      <c r="C1339" s="2" t="s">
        <v>4418</v>
      </c>
      <c r="D1339" s="2" t="s">
        <v>4419</v>
      </c>
      <c r="E1339" s="2" t="s">
        <v>4426</v>
      </c>
      <c r="F1339" s="2"/>
      <c r="G1339" s="2" t="s">
        <v>9</v>
      </c>
      <c r="H1339" s="7"/>
      <c r="I1339" s="2" t="s">
        <v>9</v>
      </c>
      <c r="K1339" t="e">
        <v>#N/A</v>
      </c>
      <c r="L1339" s="2" t="s">
        <v>8620</v>
      </c>
      <c r="M1339" t="s">
        <v>8161</v>
      </c>
      <c r="N1339" s="4"/>
    </row>
    <row r="1340" spans="1:14" ht="39" x14ac:dyDescent="0.3">
      <c r="A1340" s="1" t="str">
        <f>HYPERLINK("https://ipmanager.doe.gov/IPManager//ExternalLink.aspx?6ibkph2k9yi6F%2B0Vz7YoTo7DPLa3%2F%2FGgJ002DmtQf%2Fs%3D","Link")</f>
        <v>Link</v>
      </c>
      <c r="B1340" s="2" t="s">
        <v>4430</v>
      </c>
      <c r="C1340" s="2" t="s">
        <v>4418</v>
      </c>
      <c r="D1340" s="2" t="s">
        <v>4419</v>
      </c>
      <c r="E1340" s="2" t="s">
        <v>4431</v>
      </c>
      <c r="F1340" s="2" t="s">
        <v>4432</v>
      </c>
      <c r="G1340" s="2" t="s">
        <v>2948</v>
      </c>
      <c r="H1340" s="7">
        <v>9957624</v>
      </c>
      <c r="I1340" s="3">
        <v>43221</v>
      </c>
      <c r="K1340" t="e">
        <v>#N/A</v>
      </c>
      <c r="L1340" s="2" t="s">
        <v>8620</v>
      </c>
      <c r="M1340" t="s">
        <v>8161</v>
      </c>
    </row>
    <row r="1341" spans="1:14" ht="26" x14ac:dyDescent="0.3">
      <c r="A1341" s="1" t="str">
        <f>HYPERLINK("https://ipmanager.doe.gov/IPManager//ExternalLink.aspx?6ibkph2k9yi6F%2B0Vz7YoTq6RR9BlGHHihEiXm0L30V4%3D","Link")</f>
        <v>Link</v>
      </c>
      <c r="B1341" s="2" t="s">
        <v>4437</v>
      </c>
      <c r="C1341" s="2" t="s">
        <v>4418</v>
      </c>
      <c r="D1341" s="2" t="s">
        <v>4419</v>
      </c>
      <c r="E1341" s="2" t="s">
        <v>4422</v>
      </c>
      <c r="F1341" s="2" t="s">
        <v>4438</v>
      </c>
      <c r="G1341" s="2" t="s">
        <v>4439</v>
      </c>
      <c r="H1341" s="8">
        <v>9580824</v>
      </c>
      <c r="I1341" s="2" t="s">
        <v>1965</v>
      </c>
      <c r="K1341" t="e">
        <v>#N/A</v>
      </c>
      <c r="L1341" s="2" t="s">
        <v>8620</v>
      </c>
      <c r="M1341" t="s">
        <v>8161</v>
      </c>
    </row>
    <row r="1342" spans="1:14" ht="52" x14ac:dyDescent="0.3">
      <c r="A1342" s="1" t="str">
        <f>HYPERLINK("https://ipmanager.doe.gov/IPManager//ExternalLink.aspx?6ibkph2k9yi6F%2B0Vz7YoTq6RR9BlGHHibQ4pe0R9UOA%3D","Link")</f>
        <v>Link</v>
      </c>
      <c r="B1342" s="2" t="s">
        <v>4440</v>
      </c>
      <c r="C1342" s="2" t="s">
        <v>4418</v>
      </c>
      <c r="D1342" s="2" t="s">
        <v>4419</v>
      </c>
      <c r="E1342" s="2" t="s">
        <v>4441</v>
      </c>
      <c r="F1342" s="2" t="s">
        <v>4442</v>
      </c>
      <c r="G1342" s="2" t="s">
        <v>3866</v>
      </c>
      <c r="H1342" s="8">
        <v>9481939</v>
      </c>
      <c r="I1342" s="2" t="s">
        <v>1325</v>
      </c>
      <c r="K1342" t="e">
        <v>#N/A</v>
      </c>
      <c r="L1342" s="2" t="s">
        <v>8620</v>
      </c>
      <c r="M1342" t="s">
        <v>8161</v>
      </c>
    </row>
    <row r="1343" spans="1:14" ht="39" x14ac:dyDescent="0.3">
      <c r="A1343" s="1" t="str">
        <f>HYPERLINK("https://ipmanager.doe.gov/IPManager//ExternalLink.aspx?6ibkph2k9yi6F%2B0Vz7YoTgZwfmYxrNyKWS154GJvjTI%3D","Link")</f>
        <v>Link</v>
      </c>
      <c r="B1343" s="2" t="s">
        <v>4443</v>
      </c>
      <c r="C1343" s="2" t="s">
        <v>4444</v>
      </c>
      <c r="D1343" s="2" t="s">
        <v>95</v>
      </c>
      <c r="E1343" s="2" t="s">
        <v>4445</v>
      </c>
      <c r="F1343" s="2" t="s">
        <v>107</v>
      </c>
      <c r="G1343" s="2" t="s">
        <v>105</v>
      </c>
      <c r="H1343" s="8">
        <v>9917323</v>
      </c>
      <c r="I1343" s="2" t="s">
        <v>4446</v>
      </c>
      <c r="K1343" t="e">
        <v>#N/A</v>
      </c>
      <c r="L1343" s="2" t="s">
        <v>8621</v>
      </c>
      <c r="M1343" t="s">
        <v>7981</v>
      </c>
    </row>
    <row r="1344" spans="1:14" ht="39" x14ac:dyDescent="0.3">
      <c r="A1344" s="1" t="str">
        <f>HYPERLINK("https://ipmanager.doe.gov/IPManager//ExternalLink.aspx?6ibkph2k9yi6F%2B0Vz7YoTr7J5I%2BY4foYElM76f0p6Gs%3D","Link")</f>
        <v>Link</v>
      </c>
      <c r="B1344" s="2" t="s">
        <v>4447</v>
      </c>
      <c r="C1344" s="2" t="s">
        <v>4444</v>
      </c>
      <c r="D1344" s="2" t="s">
        <v>95</v>
      </c>
      <c r="E1344" s="2" t="s">
        <v>4448</v>
      </c>
      <c r="F1344" s="2" t="s">
        <v>104</v>
      </c>
      <c r="G1344" s="2" t="s">
        <v>105</v>
      </c>
      <c r="H1344" s="8">
        <v>9640826</v>
      </c>
      <c r="I1344" s="2" t="s">
        <v>105</v>
      </c>
      <c r="K1344" t="e">
        <v>#N/A</v>
      </c>
      <c r="L1344" s="2" t="s">
        <v>8621</v>
      </c>
      <c r="M1344" t="s">
        <v>7981</v>
      </c>
    </row>
    <row r="1345" spans="1:14" ht="52" x14ac:dyDescent="0.3">
      <c r="A1345" s="1" t="str">
        <f>HYPERLINK("https://ipmanager.doe.gov/IPManager//ExternalLink.aspx?6ibkph2k9yi6F%2B0Vz7YoTk2BI6w%2FjZ2fXKdaw8f5tcQ%3D","Link")</f>
        <v>Link</v>
      </c>
      <c r="B1345" s="2" t="s">
        <v>4449</v>
      </c>
      <c r="C1345" s="2" t="s">
        <v>4444</v>
      </c>
      <c r="D1345" s="2" t="s">
        <v>95</v>
      </c>
      <c r="E1345" s="2" t="s">
        <v>4450</v>
      </c>
      <c r="F1345" s="2"/>
      <c r="G1345" s="2" t="s">
        <v>9</v>
      </c>
      <c r="H1345" s="7"/>
      <c r="I1345" s="2" t="s">
        <v>9</v>
      </c>
      <c r="K1345" t="e">
        <v>#N/A</v>
      </c>
      <c r="L1345" s="2" t="s">
        <v>8621</v>
      </c>
      <c r="M1345" t="s">
        <v>7981</v>
      </c>
      <c r="N1345" s="4"/>
    </row>
    <row r="1346" spans="1:14" ht="52" x14ac:dyDescent="0.3">
      <c r="A1346" s="1" t="str">
        <f>HYPERLINK("https://ipmanager.doe.gov/IPManager//ExternalLink.aspx?6ibkph2k9yi6F%2B0Vz7YoTk2BI6w%2FjZ2fFJqxuO6IKuo%3D","Link")</f>
        <v>Link</v>
      </c>
      <c r="B1346" s="2" t="s">
        <v>4452</v>
      </c>
      <c r="C1346" s="2" t="s">
        <v>4453</v>
      </c>
      <c r="D1346" s="2" t="s">
        <v>4454</v>
      </c>
      <c r="E1346" s="2" t="s">
        <v>4455</v>
      </c>
      <c r="F1346" s="2"/>
      <c r="G1346" s="2" t="s">
        <v>9</v>
      </c>
      <c r="H1346" s="7"/>
      <c r="I1346" s="2" t="s">
        <v>9</v>
      </c>
      <c r="K1346" t="e">
        <v>#N/A</v>
      </c>
      <c r="L1346" s="2" t="s">
        <v>8622</v>
      </c>
      <c r="M1346" t="s">
        <v>8162</v>
      </c>
      <c r="N1346" s="4"/>
    </row>
    <row r="1347" spans="1:14" ht="52" x14ac:dyDescent="0.3">
      <c r="A1347" s="1" t="str">
        <f>HYPERLINK("https://ipmanager.doe.gov/IPManager//ExternalLink.aspx?6ibkph2k9yi6F%2B0Vz7YoTo7DPLa3%2F%2FGgNLG90izCA%2FI%3D","Link")</f>
        <v>Link</v>
      </c>
      <c r="B1347" s="2" t="s">
        <v>4456</v>
      </c>
      <c r="C1347" s="2" t="s">
        <v>4453</v>
      </c>
      <c r="D1347" s="2" t="s">
        <v>4454</v>
      </c>
      <c r="E1347" s="2" t="s">
        <v>4457</v>
      </c>
      <c r="F1347" s="2"/>
      <c r="G1347" s="2" t="s">
        <v>9</v>
      </c>
      <c r="H1347" s="7"/>
      <c r="I1347" s="2" t="s">
        <v>9</v>
      </c>
      <c r="K1347" t="e">
        <v>#N/A</v>
      </c>
      <c r="L1347" s="2" t="s">
        <v>8622</v>
      </c>
      <c r="M1347" t="s">
        <v>8162</v>
      </c>
      <c r="N1347" s="4"/>
    </row>
    <row r="1348" spans="1:14" ht="52" x14ac:dyDescent="0.3">
      <c r="A1348" s="1" t="str">
        <f>HYPERLINK("https://ipmanager.doe.gov/IPManager//ExternalLink.aspx?6ibkph2k9yi6F%2B0Vz7YoTlNm8snv%2FZpHu2B7HDm91fI%3D","Link")</f>
        <v>Link</v>
      </c>
      <c r="B1348" s="2" t="s">
        <v>4458</v>
      </c>
      <c r="C1348" s="2" t="s">
        <v>4453</v>
      </c>
      <c r="D1348" s="2" t="s">
        <v>4454</v>
      </c>
      <c r="E1348" s="2" t="s">
        <v>4459</v>
      </c>
      <c r="F1348" s="2" t="s">
        <v>4460</v>
      </c>
      <c r="G1348" s="2" t="s">
        <v>3274</v>
      </c>
      <c r="H1348" s="2"/>
      <c r="I1348" s="2" t="s">
        <v>9</v>
      </c>
      <c r="K1348" t="e">
        <v>#N/A</v>
      </c>
      <c r="L1348" s="2" t="s">
        <v>8622</v>
      </c>
      <c r="M1348" t="s">
        <v>8162</v>
      </c>
      <c r="N1348" s="4"/>
    </row>
    <row r="1349" spans="1:14" ht="52" x14ac:dyDescent="0.3">
      <c r="A1349" s="1" t="str">
        <f>HYPERLINK("https://ipmanager.doe.gov/IPManager//ExternalLink.aspx?6ibkph2k9yi6F%2B0Vz7YoTk2BI6w%2FjZ2ffDlhfBrBQRM%3D","Link")</f>
        <v>Link</v>
      </c>
      <c r="B1349" s="2" t="s">
        <v>4461</v>
      </c>
      <c r="C1349" s="2" t="s">
        <v>4453</v>
      </c>
      <c r="D1349" s="2" t="s">
        <v>4454</v>
      </c>
      <c r="E1349" s="2" t="s">
        <v>4459</v>
      </c>
      <c r="F1349" s="2" t="s">
        <v>4462</v>
      </c>
      <c r="G1349" s="2" t="s">
        <v>3274</v>
      </c>
      <c r="H1349" s="2"/>
      <c r="I1349" s="2" t="s">
        <v>9</v>
      </c>
      <c r="J1349" t="s">
        <v>4462</v>
      </c>
      <c r="K1349" t="s">
        <v>7908</v>
      </c>
      <c r="L1349" s="2" t="s">
        <v>8622</v>
      </c>
      <c r="M1349" t="s">
        <v>8162</v>
      </c>
      <c r="N1349" s="4"/>
    </row>
    <row r="1350" spans="1:14" ht="26" x14ac:dyDescent="0.3">
      <c r="A1350" s="1" t="str">
        <f>HYPERLINK("https://ipmanager.doe.gov/IPManager//ExternalLink.aspx?6ibkph2k9yi6F%2B0Vz7YoTgZwfmYxrNyKnX%2Bmg0Ds0ig%3D","Link")</f>
        <v>Link</v>
      </c>
      <c r="B1350" s="2" t="s">
        <v>4463</v>
      </c>
      <c r="C1350" s="2" t="s">
        <v>4464</v>
      </c>
      <c r="D1350" s="2" t="s">
        <v>452</v>
      </c>
      <c r="E1350" s="2" t="s">
        <v>4465</v>
      </c>
      <c r="F1350" s="2" t="s">
        <v>4466</v>
      </c>
      <c r="G1350" s="2" t="s">
        <v>3008</v>
      </c>
      <c r="H1350" s="7"/>
      <c r="I1350" s="2" t="s">
        <v>9</v>
      </c>
      <c r="J1350" t="s">
        <v>4466</v>
      </c>
      <c r="K1350" t="s">
        <v>7945</v>
      </c>
      <c r="L1350" s="2" t="s">
        <v>8623</v>
      </c>
      <c r="M1350" t="s">
        <v>8163</v>
      </c>
      <c r="N1350" s="4"/>
    </row>
    <row r="1351" spans="1:14" ht="26" x14ac:dyDescent="0.3">
      <c r="A1351" s="1" t="str">
        <f>HYPERLINK("https://ipmanager.doe.gov/IPManager//ExternalLink.aspx?6ibkph2k9yi6F%2B0Vz7YoTnXVN2REjGcW9R8oMp1SZWQ%3D","Link")</f>
        <v>Link</v>
      </c>
      <c r="B1351" s="2" t="s">
        <v>4469</v>
      </c>
      <c r="C1351" s="2" t="s">
        <v>4464</v>
      </c>
      <c r="D1351" s="2" t="s">
        <v>452</v>
      </c>
      <c r="E1351" s="2" t="s">
        <v>4470</v>
      </c>
      <c r="F1351" s="2" t="s">
        <v>4471</v>
      </c>
      <c r="G1351" s="2" t="s">
        <v>4472</v>
      </c>
      <c r="H1351" s="7"/>
      <c r="I1351" s="2" t="s">
        <v>9</v>
      </c>
      <c r="K1351" t="e">
        <v>#N/A</v>
      </c>
      <c r="L1351" s="2" t="s">
        <v>8623</v>
      </c>
      <c r="M1351" t="s">
        <v>8163</v>
      </c>
      <c r="N1351" s="4"/>
    </row>
    <row r="1352" spans="1:14" ht="26" x14ac:dyDescent="0.3">
      <c r="A1352" s="1" t="str">
        <f>HYPERLINK("https://ipmanager.doe.gov/IPManager//ExternalLink.aspx?6ibkph2k9yi6F%2B0Vz7YoTp68px7nSN2gKQgxk8FqWb4%3D","Link")</f>
        <v>Link</v>
      </c>
      <c r="B1352" s="2" t="s">
        <v>4473</v>
      </c>
      <c r="C1352" s="2" t="s">
        <v>4464</v>
      </c>
      <c r="D1352" s="2" t="s">
        <v>452</v>
      </c>
      <c r="E1352" s="2" t="s">
        <v>4465</v>
      </c>
      <c r="F1352" s="2" t="s">
        <v>4467</v>
      </c>
      <c r="G1352" s="2" t="s">
        <v>4474</v>
      </c>
      <c r="H1352" s="7"/>
      <c r="I1352" s="2" t="s">
        <v>9</v>
      </c>
      <c r="K1352" t="e">
        <v>#N/A</v>
      </c>
      <c r="L1352" s="2" t="s">
        <v>8623</v>
      </c>
      <c r="M1352" t="s">
        <v>8163</v>
      </c>
      <c r="N1352" s="4"/>
    </row>
    <row r="1353" spans="1:14" ht="39" x14ac:dyDescent="0.3">
      <c r="A1353" s="1" t="str">
        <f>HYPERLINK("https://ipmanager.doe.gov/IPManager//ExternalLink.aspx?6ibkph2k9yi6F%2B0Vz7YoTp68px7nSN2gPP7FDcf2070%3D","Link")</f>
        <v>Link</v>
      </c>
      <c r="B1353" s="2" t="s">
        <v>4475</v>
      </c>
      <c r="C1353" s="2" t="s">
        <v>4464</v>
      </c>
      <c r="D1353" s="2" t="s">
        <v>452</v>
      </c>
      <c r="E1353" s="2" t="s">
        <v>4476</v>
      </c>
      <c r="F1353" s="2" t="s">
        <v>4477</v>
      </c>
      <c r="G1353" s="2" t="s">
        <v>4478</v>
      </c>
      <c r="H1353" s="7"/>
      <c r="I1353" s="2" t="s">
        <v>9</v>
      </c>
      <c r="K1353" t="e">
        <v>#N/A</v>
      </c>
      <c r="L1353" s="2" t="s">
        <v>8623</v>
      </c>
      <c r="M1353" t="s">
        <v>8163</v>
      </c>
      <c r="N1353" s="4"/>
    </row>
    <row r="1354" spans="1:14" ht="26" x14ac:dyDescent="0.3">
      <c r="A1354" s="1" t="str">
        <f>HYPERLINK("https://ipmanager.doe.gov/IPManager//ExternalLink.aspx?6ibkph2k9yi6F%2B0Vz7YoTjnDGhmGHGI7TYMv2qw2d%2BY%3D","Link")</f>
        <v>Link</v>
      </c>
      <c r="B1354" s="2" t="s">
        <v>4479</v>
      </c>
      <c r="C1354" s="2" t="s">
        <v>4464</v>
      </c>
      <c r="D1354" s="2" t="s">
        <v>452</v>
      </c>
      <c r="E1354" s="2" t="s">
        <v>4480</v>
      </c>
      <c r="F1354" s="2" t="s">
        <v>4481</v>
      </c>
      <c r="G1354" s="2" t="s">
        <v>1218</v>
      </c>
      <c r="H1354" s="7"/>
      <c r="I1354" s="2" t="s">
        <v>9</v>
      </c>
      <c r="K1354" t="e">
        <v>#N/A</v>
      </c>
      <c r="L1354" s="2" t="s">
        <v>8623</v>
      </c>
      <c r="M1354" t="s">
        <v>8163</v>
      </c>
      <c r="N1354" s="4"/>
    </row>
    <row r="1355" spans="1:14" ht="91" x14ac:dyDescent="0.3">
      <c r="A1355" s="1" t="str">
        <f>HYPERLINK("https://ipmanager.doe.gov/IPManager//ExternalLink.aspx?6ibkph2k9yi6F%2B0Vz7YoTvE8yjoHgvp6NGqUf0gBUDI%3D","Link")</f>
        <v>Link</v>
      </c>
      <c r="B1355" s="2" t="s">
        <v>4482</v>
      </c>
      <c r="C1355" s="2" t="s">
        <v>4464</v>
      </c>
      <c r="D1355" s="2" t="s">
        <v>452</v>
      </c>
      <c r="E1355" s="2" t="s">
        <v>4483</v>
      </c>
      <c r="F1355" s="2" t="s">
        <v>4484</v>
      </c>
      <c r="G1355" s="2" t="s">
        <v>1426</v>
      </c>
      <c r="H1355" s="7"/>
      <c r="I1355" s="2" t="s">
        <v>9</v>
      </c>
      <c r="K1355" t="e">
        <v>#N/A</v>
      </c>
      <c r="L1355" s="2" t="s">
        <v>8623</v>
      </c>
      <c r="M1355" t="s">
        <v>8163</v>
      </c>
      <c r="N1355" s="4"/>
    </row>
    <row r="1356" spans="1:14" ht="26" x14ac:dyDescent="0.3">
      <c r="A1356" s="1" t="str">
        <f>HYPERLINK("https://ipmanager.doe.gov/IPManager//ExternalLink.aspx?6ibkph2k9yi6F%2B0Vz7YoTq6RR9BlGHHiLrOv6KLjvig%3D","Link")</f>
        <v>Link</v>
      </c>
      <c r="B1356" s="2" t="s">
        <v>4487</v>
      </c>
      <c r="C1356" s="2" t="s">
        <v>4464</v>
      </c>
      <c r="D1356" s="2" t="s">
        <v>452</v>
      </c>
      <c r="E1356" s="2" t="s">
        <v>4480</v>
      </c>
      <c r="F1356" s="2" t="s">
        <v>4488</v>
      </c>
      <c r="G1356" s="2" t="s">
        <v>1073</v>
      </c>
      <c r="H1356" s="7"/>
      <c r="I1356" s="2" t="s">
        <v>9</v>
      </c>
      <c r="K1356" t="e">
        <v>#N/A</v>
      </c>
      <c r="L1356" s="2" t="s">
        <v>8623</v>
      </c>
      <c r="M1356" t="s">
        <v>8163</v>
      </c>
      <c r="N1356" s="4"/>
    </row>
    <row r="1357" spans="1:14" ht="39" x14ac:dyDescent="0.3">
      <c r="A1357" s="1" t="str">
        <f>HYPERLINK("https://ipmanager.doe.gov/IPManager//ExternalLink.aspx?6ibkph2k9yi6F%2B0Vz7YoTipZ798QK%2BbPuoQTcObwIOg%3D","Link")</f>
        <v>Link</v>
      </c>
      <c r="B1357" s="2" t="s">
        <v>4494</v>
      </c>
      <c r="C1357" s="2" t="s">
        <v>4464</v>
      </c>
      <c r="D1357" s="2" t="s">
        <v>452</v>
      </c>
      <c r="E1357" s="2" t="s">
        <v>4495</v>
      </c>
      <c r="F1357" s="2" t="s">
        <v>4496</v>
      </c>
      <c r="G1357" s="2" t="s">
        <v>3023</v>
      </c>
      <c r="H1357" s="7"/>
      <c r="I1357" s="2" t="s">
        <v>9</v>
      </c>
      <c r="K1357" t="e">
        <v>#N/A</v>
      </c>
      <c r="L1357" s="2" t="s">
        <v>8623</v>
      </c>
      <c r="M1357" t="s">
        <v>8163</v>
      </c>
      <c r="N1357" s="4"/>
    </row>
    <row r="1358" spans="1:14" ht="39" x14ac:dyDescent="0.3">
      <c r="A1358" s="1" t="str">
        <f>HYPERLINK("https://ipmanager.doe.gov/IPManager//ExternalLink.aspx?6ibkph2k9yi6F%2B0Vz7YoTvE8yjoHgvp6ka0BqubW8AA%3D","Link")</f>
        <v>Link</v>
      </c>
      <c r="B1358" s="2" t="s">
        <v>4485</v>
      </c>
      <c r="C1358" s="2" t="s">
        <v>4464</v>
      </c>
      <c r="D1358" s="2" t="s">
        <v>452</v>
      </c>
      <c r="E1358" s="2" t="s">
        <v>4486</v>
      </c>
      <c r="F1358" s="2"/>
      <c r="G1358" s="2" t="s">
        <v>9</v>
      </c>
      <c r="H1358" s="7"/>
      <c r="I1358" s="2" t="s">
        <v>9</v>
      </c>
      <c r="K1358" t="e">
        <v>#N/A</v>
      </c>
      <c r="L1358" s="2" t="s">
        <v>8623</v>
      </c>
      <c r="M1358" t="s">
        <v>8163</v>
      </c>
      <c r="N1358" s="4"/>
    </row>
    <row r="1359" spans="1:14" ht="65" x14ac:dyDescent="0.3">
      <c r="A1359" s="1" t="str">
        <f>HYPERLINK("https://ipmanager.doe.gov/IPManager//ExternalLink.aspx?6ibkph2k9yi6F%2B0Vz7YoTipZ798QK%2BbPleFtrJ42I2E%3D","Link")</f>
        <v>Link</v>
      </c>
      <c r="B1359" s="2" t="s">
        <v>4489</v>
      </c>
      <c r="C1359" s="2" t="s">
        <v>4464</v>
      </c>
      <c r="D1359" s="2" t="s">
        <v>4490</v>
      </c>
      <c r="E1359" s="2" t="s">
        <v>4491</v>
      </c>
      <c r="F1359" s="2"/>
      <c r="G1359" s="2" t="s">
        <v>9</v>
      </c>
      <c r="H1359" s="7"/>
      <c r="I1359" s="2" t="s">
        <v>9</v>
      </c>
      <c r="K1359" t="e">
        <v>#N/A</v>
      </c>
      <c r="L1359" s="2" t="s">
        <v>8623</v>
      </c>
      <c r="M1359" t="s">
        <v>8163</v>
      </c>
      <c r="N1359" s="4"/>
    </row>
    <row r="1360" spans="1:14" ht="26" x14ac:dyDescent="0.3">
      <c r="A1360" s="1" t="str">
        <f>HYPERLINK("https://ipmanager.doe.gov/IPManager//ExternalLink.aspx?6ibkph2k9yi6F%2B0Vz7YoTipZ798QK%2BbPJCRx6tOJe0k%3D","Link")</f>
        <v>Link</v>
      </c>
      <c r="B1360" s="2" t="s">
        <v>4492</v>
      </c>
      <c r="C1360" s="2" t="s">
        <v>4464</v>
      </c>
      <c r="D1360" s="2" t="s">
        <v>452</v>
      </c>
      <c r="E1360" s="2" t="s">
        <v>4493</v>
      </c>
      <c r="F1360" s="2"/>
      <c r="G1360" s="2" t="s">
        <v>9</v>
      </c>
      <c r="H1360" s="7"/>
      <c r="I1360" s="2" t="s">
        <v>9</v>
      </c>
      <c r="K1360" t="e">
        <v>#N/A</v>
      </c>
      <c r="L1360" s="2" t="s">
        <v>8623</v>
      </c>
      <c r="M1360" t="s">
        <v>8163</v>
      </c>
      <c r="N1360" s="4"/>
    </row>
    <row r="1361" spans="1:14" ht="78" x14ac:dyDescent="0.3">
      <c r="A1361" s="1" t="str">
        <f>HYPERLINK("https://ipmanager.doe.gov/IPManager//ExternalLink.aspx?6ibkph2k9yi6F%2B0Vz7YoTgZwfmYxrNyKHj7H1IMwt6w%3D","Link")</f>
        <v>Link</v>
      </c>
      <c r="B1361" s="2" t="s">
        <v>4497</v>
      </c>
      <c r="C1361" s="2" t="s">
        <v>4498</v>
      </c>
      <c r="D1361" s="2" t="s">
        <v>909</v>
      </c>
      <c r="E1361" s="2" t="s">
        <v>4499</v>
      </c>
      <c r="F1361" s="2" t="s">
        <v>4500</v>
      </c>
      <c r="G1361" s="2" t="s">
        <v>1642</v>
      </c>
      <c r="H1361" s="7"/>
      <c r="I1361" s="2" t="s">
        <v>9</v>
      </c>
      <c r="J1361" t="s">
        <v>4500</v>
      </c>
      <c r="K1361" t="s">
        <v>7769</v>
      </c>
      <c r="L1361" s="2" t="s">
        <v>8469</v>
      </c>
      <c r="M1361" t="s">
        <v>8007</v>
      </c>
      <c r="N1361" s="4"/>
    </row>
    <row r="1362" spans="1:14" ht="39" x14ac:dyDescent="0.3">
      <c r="A1362" s="1" t="str">
        <f>HYPERLINK("https://ipmanager.doe.gov/IPManager//ExternalLink.aspx?6ibkph2k9yi6F%2B0Vz7YoTgZwfmYxrNyKBj8alGGSiyY%3D","Link")</f>
        <v>Link</v>
      </c>
      <c r="B1362" s="2" t="s">
        <v>4501</v>
      </c>
      <c r="C1362" s="2" t="s">
        <v>4498</v>
      </c>
      <c r="D1362" s="2" t="s">
        <v>909</v>
      </c>
      <c r="E1362" s="2" t="s">
        <v>4502</v>
      </c>
      <c r="F1362" s="2" t="s">
        <v>4503</v>
      </c>
      <c r="G1362" s="2" t="s">
        <v>489</v>
      </c>
      <c r="H1362" s="7"/>
      <c r="I1362" s="2" t="s">
        <v>9</v>
      </c>
      <c r="K1362" t="e">
        <v>#N/A</v>
      </c>
      <c r="L1362" s="2" t="s">
        <v>8469</v>
      </c>
      <c r="M1362" t="s">
        <v>8007</v>
      </c>
      <c r="N1362" s="4"/>
    </row>
    <row r="1363" spans="1:14" ht="78" x14ac:dyDescent="0.3">
      <c r="A1363" s="1" t="str">
        <f>HYPERLINK("https://ipmanager.doe.gov/IPManager//ExternalLink.aspx?6ibkph2k9yi6F%2B0Vz7YoTu0g4zH%2BOsvykz57glFNQF4%3D","Link")</f>
        <v>Link</v>
      </c>
      <c r="B1363" s="2" t="s">
        <v>4504</v>
      </c>
      <c r="C1363" s="2" t="s">
        <v>4498</v>
      </c>
      <c r="D1363" s="2" t="s">
        <v>909</v>
      </c>
      <c r="E1363" s="2" t="s">
        <v>4505</v>
      </c>
      <c r="F1363" s="2" t="s">
        <v>4506</v>
      </c>
      <c r="G1363" s="2" t="s">
        <v>4507</v>
      </c>
      <c r="H1363" s="7"/>
      <c r="I1363" s="2" t="s">
        <v>9</v>
      </c>
      <c r="K1363" t="e">
        <v>#N/A</v>
      </c>
      <c r="L1363" s="2" t="s">
        <v>8469</v>
      </c>
      <c r="M1363" t="s">
        <v>8007</v>
      </c>
      <c r="N1363" s="4"/>
    </row>
    <row r="1364" spans="1:14" ht="78" x14ac:dyDescent="0.3">
      <c r="A1364" s="1" t="str">
        <f>HYPERLINK("https://ipmanager.doe.gov/IPManager//ExternalLink.aspx?6ibkph2k9yi6F%2B0Vz7YoTu0g4zH%2BOsvy9xOUihLX7Lw%3D","Link")</f>
        <v>Link</v>
      </c>
      <c r="B1364" s="2" t="s">
        <v>4511</v>
      </c>
      <c r="C1364" s="2" t="s">
        <v>4498</v>
      </c>
      <c r="D1364" s="2" t="s">
        <v>909</v>
      </c>
      <c r="E1364" s="2" t="s">
        <v>4508</v>
      </c>
      <c r="F1364" s="2" t="s">
        <v>4512</v>
      </c>
      <c r="G1364" s="2" t="s">
        <v>4513</v>
      </c>
      <c r="H1364" s="7"/>
      <c r="I1364" s="2" t="s">
        <v>9</v>
      </c>
      <c r="K1364" t="e">
        <v>#N/A</v>
      </c>
      <c r="L1364" s="2" t="s">
        <v>8469</v>
      </c>
      <c r="M1364" t="s">
        <v>8007</v>
      </c>
      <c r="N1364" s="4"/>
    </row>
    <row r="1365" spans="1:14" ht="39" x14ac:dyDescent="0.3">
      <c r="A1365" s="1" t="str">
        <f>HYPERLINK("https://ipmanager.doe.gov/IPManager//ExternalLink.aspx?6ibkph2k9yi6F%2B0Vz7YoTu0g4zH%2BOsvyFT0Dn3VJIIg%3D","Link")</f>
        <v>Link</v>
      </c>
      <c r="B1365" s="2" t="s">
        <v>4514</v>
      </c>
      <c r="C1365" s="2" t="s">
        <v>4498</v>
      </c>
      <c r="D1365" s="2" t="s">
        <v>909</v>
      </c>
      <c r="E1365" s="2" t="s">
        <v>4515</v>
      </c>
      <c r="F1365" s="2" t="s">
        <v>4516</v>
      </c>
      <c r="G1365" s="2" t="s">
        <v>4517</v>
      </c>
      <c r="H1365" s="7"/>
      <c r="I1365" s="2" t="s">
        <v>9</v>
      </c>
      <c r="K1365" t="e">
        <v>#N/A</v>
      </c>
      <c r="L1365" s="2" t="s">
        <v>8469</v>
      </c>
      <c r="M1365" t="s">
        <v>8007</v>
      </c>
      <c r="N1365" s="4"/>
    </row>
    <row r="1366" spans="1:14" ht="78" x14ac:dyDescent="0.3">
      <c r="A1366" s="1" t="str">
        <f>HYPERLINK("https://ipmanager.doe.gov/IPManager//ExternalLink.aspx?6ibkph2k9yi6F%2B0Vz7YoTu0g4zH%2BOsvy8x63ZusCidk%3D","Link")</f>
        <v>Link</v>
      </c>
      <c r="B1366" s="2" t="s">
        <v>4518</v>
      </c>
      <c r="C1366" s="2" t="s">
        <v>4498</v>
      </c>
      <c r="D1366" s="2" t="s">
        <v>909</v>
      </c>
      <c r="E1366" s="2" t="s">
        <v>4519</v>
      </c>
      <c r="F1366" s="2" t="s">
        <v>4520</v>
      </c>
      <c r="G1366" s="2" t="s">
        <v>311</v>
      </c>
      <c r="H1366" s="7"/>
      <c r="I1366" s="2" t="s">
        <v>9</v>
      </c>
      <c r="K1366" t="e">
        <v>#N/A</v>
      </c>
      <c r="L1366" s="2" t="s">
        <v>8469</v>
      </c>
      <c r="M1366" t="s">
        <v>8007</v>
      </c>
      <c r="N1366" s="4"/>
    </row>
    <row r="1367" spans="1:14" ht="78" x14ac:dyDescent="0.3">
      <c r="A1367" s="1" t="str">
        <f>HYPERLINK("https://ipmanager.doe.gov/IPManager//ExternalLink.aspx?6ibkph2k9yi6F%2B0Vz7YoTu0g4zH%2BOsvy1XemeSEaiaY%3D","Link")</f>
        <v>Link</v>
      </c>
      <c r="B1367" s="2" t="s">
        <v>4521</v>
      </c>
      <c r="C1367" s="2" t="s">
        <v>4498</v>
      </c>
      <c r="D1367" s="2" t="s">
        <v>909</v>
      </c>
      <c r="E1367" s="2" t="s">
        <v>4499</v>
      </c>
      <c r="F1367" s="2" t="s">
        <v>4522</v>
      </c>
      <c r="G1367" s="2" t="s">
        <v>311</v>
      </c>
      <c r="H1367" s="7"/>
      <c r="I1367" s="2" t="s">
        <v>9</v>
      </c>
      <c r="K1367" t="e">
        <v>#N/A</v>
      </c>
      <c r="L1367" s="2" t="s">
        <v>8469</v>
      </c>
      <c r="M1367" t="s">
        <v>8007</v>
      </c>
      <c r="N1367" s="4"/>
    </row>
    <row r="1368" spans="1:14" ht="78" x14ac:dyDescent="0.3">
      <c r="A1368" s="1" t="str">
        <f>HYPERLINK("https://ipmanager.doe.gov/IPManager//ExternalLink.aspx?6ibkph2k9yi6F%2B0Vz7YoTp68px7nSN2gkCpwjhVYoMY%3D","Link")</f>
        <v>Link</v>
      </c>
      <c r="B1368" s="2" t="s">
        <v>4523</v>
      </c>
      <c r="C1368" s="2" t="s">
        <v>4498</v>
      </c>
      <c r="D1368" s="2" t="s">
        <v>909</v>
      </c>
      <c r="E1368" s="2" t="s">
        <v>4524</v>
      </c>
      <c r="F1368" s="2" t="s">
        <v>4509</v>
      </c>
      <c r="G1368" s="2" t="s">
        <v>4525</v>
      </c>
      <c r="H1368" s="7"/>
      <c r="I1368" s="2" t="s">
        <v>9</v>
      </c>
      <c r="K1368" t="e">
        <v>#N/A</v>
      </c>
      <c r="L1368" s="2" t="s">
        <v>8469</v>
      </c>
      <c r="M1368" t="s">
        <v>8007</v>
      </c>
      <c r="N1368" s="4"/>
    </row>
    <row r="1369" spans="1:14" ht="26" x14ac:dyDescent="0.3">
      <c r="A1369" s="1" t="str">
        <f>HYPERLINK("https://ipmanager.doe.gov/IPManager//ExternalLink.aspx?6ibkph2k9yi6F%2B0Vz7YoTp68px7nSN2gL3gUPLrlPW8%3D","Link")</f>
        <v>Link</v>
      </c>
      <c r="B1369" s="2" t="s">
        <v>4526</v>
      </c>
      <c r="C1369" s="2" t="s">
        <v>4498</v>
      </c>
      <c r="D1369" s="2" t="s">
        <v>909</v>
      </c>
      <c r="E1369" s="2" t="s">
        <v>4527</v>
      </c>
      <c r="F1369" s="2" t="s">
        <v>4512</v>
      </c>
      <c r="G1369" s="2" t="s">
        <v>4525</v>
      </c>
      <c r="H1369" s="7"/>
      <c r="I1369" s="2" t="s">
        <v>9</v>
      </c>
      <c r="K1369" t="e">
        <v>#N/A</v>
      </c>
      <c r="L1369" s="2" t="s">
        <v>8469</v>
      </c>
      <c r="M1369" t="s">
        <v>8007</v>
      </c>
      <c r="N1369" s="4"/>
    </row>
    <row r="1370" spans="1:14" ht="65" x14ac:dyDescent="0.3">
      <c r="A1370" s="1" t="str">
        <f>HYPERLINK("https://ipmanager.doe.gov/IPManager//ExternalLink.aspx?6ibkph2k9yi6F%2B0Vz7YoTp68px7nSN2g7%2BF40rdn450%3D","Link")</f>
        <v>Link</v>
      </c>
      <c r="B1370" s="2" t="s">
        <v>4528</v>
      </c>
      <c r="C1370" s="2" t="s">
        <v>4498</v>
      </c>
      <c r="D1370" s="2" t="s">
        <v>909</v>
      </c>
      <c r="E1370" s="2" t="s">
        <v>4529</v>
      </c>
      <c r="F1370" s="2" t="s">
        <v>4530</v>
      </c>
      <c r="G1370" s="2" t="s">
        <v>1993</v>
      </c>
      <c r="H1370" s="7"/>
      <c r="I1370" s="2" t="s">
        <v>9</v>
      </c>
      <c r="K1370" t="e">
        <v>#N/A</v>
      </c>
      <c r="L1370" s="2" t="s">
        <v>8469</v>
      </c>
      <c r="M1370" t="s">
        <v>8007</v>
      </c>
      <c r="N1370" s="4"/>
    </row>
    <row r="1371" spans="1:14" ht="78" x14ac:dyDescent="0.3">
      <c r="A1371" s="1" t="str">
        <f>HYPERLINK("https://ipmanager.doe.gov/IPManager//ExternalLink.aspx?6ibkph2k9yi6F%2B0Vz7YoTp68px7nSN2g26c%2BcbQcuQw%3D","Link")</f>
        <v>Link</v>
      </c>
      <c r="B1371" s="2" t="s">
        <v>4534</v>
      </c>
      <c r="C1371" s="2" t="s">
        <v>4498</v>
      </c>
      <c r="D1371" s="2" t="s">
        <v>909</v>
      </c>
      <c r="E1371" s="2" t="s">
        <v>4505</v>
      </c>
      <c r="F1371" s="2" t="s">
        <v>4535</v>
      </c>
      <c r="G1371" s="2" t="s">
        <v>1899</v>
      </c>
      <c r="H1371" s="7"/>
      <c r="I1371" s="2" t="s">
        <v>9</v>
      </c>
      <c r="K1371" t="e">
        <v>#N/A</v>
      </c>
      <c r="L1371" s="2" t="s">
        <v>8469</v>
      </c>
      <c r="M1371" t="s">
        <v>8007</v>
      </c>
      <c r="N1371" s="4"/>
    </row>
    <row r="1372" spans="1:14" ht="26" x14ac:dyDescent="0.3">
      <c r="A1372" s="1" t="str">
        <f>HYPERLINK("https://ipmanager.doe.gov/IPManager//ExternalLink.aspx?6ibkph2k9yi6F%2B0Vz7YoTp68px7nSN2gGSqyp35XwRw%3D","Link")</f>
        <v>Link</v>
      </c>
      <c r="B1372" s="2" t="s">
        <v>4536</v>
      </c>
      <c r="C1372" s="2" t="s">
        <v>4498</v>
      </c>
      <c r="D1372" s="2" t="s">
        <v>909</v>
      </c>
      <c r="E1372" s="2" t="s">
        <v>4537</v>
      </c>
      <c r="F1372" s="2" t="s">
        <v>4538</v>
      </c>
      <c r="G1372" s="2" t="s">
        <v>2374</v>
      </c>
      <c r="H1372" s="7"/>
      <c r="I1372" s="2" t="s">
        <v>9</v>
      </c>
      <c r="K1372" t="e">
        <v>#N/A</v>
      </c>
      <c r="L1372" s="2" t="s">
        <v>8469</v>
      </c>
      <c r="M1372" t="s">
        <v>8007</v>
      </c>
      <c r="N1372" s="4"/>
    </row>
    <row r="1373" spans="1:14" ht="39" x14ac:dyDescent="0.3">
      <c r="A1373" s="1" t="str">
        <f>HYPERLINK("https://ipmanager.doe.gov/IPManager//ExternalLink.aspx?6ibkph2k9yi6F%2B0Vz7YoTp68px7nSN2gNRb%2FlP2wQPs%3D","Link")</f>
        <v>Link</v>
      </c>
      <c r="B1373" s="2" t="s">
        <v>4531</v>
      </c>
      <c r="C1373" s="2" t="s">
        <v>4498</v>
      </c>
      <c r="D1373" s="2" t="s">
        <v>909</v>
      </c>
      <c r="E1373" s="2" t="s">
        <v>4502</v>
      </c>
      <c r="F1373" s="2" t="s">
        <v>4532</v>
      </c>
      <c r="G1373" s="2" t="s">
        <v>3619</v>
      </c>
      <c r="H1373" s="7" t="s">
        <v>4533</v>
      </c>
      <c r="I1373" s="2" t="s">
        <v>689</v>
      </c>
      <c r="K1373" t="e">
        <v>#N/A</v>
      </c>
      <c r="L1373" s="2" t="s">
        <v>8469</v>
      </c>
      <c r="M1373" t="s">
        <v>8007</v>
      </c>
    </row>
    <row r="1374" spans="1:14" ht="39" x14ac:dyDescent="0.3">
      <c r="A1374" s="1" t="str">
        <f>HYPERLINK("https://ipmanager.doe.gov/IPManager//ExternalLink.aspx?6ibkph2k9yi6F%2B0Vz7YoTp68px7nSN2g54lFCcMIfUc%3D","Link")</f>
        <v>Link</v>
      </c>
      <c r="B1374" s="2" t="s">
        <v>4539</v>
      </c>
      <c r="C1374" s="2" t="s">
        <v>4498</v>
      </c>
      <c r="D1374" s="2" t="s">
        <v>909</v>
      </c>
      <c r="E1374" s="2" t="s">
        <v>4515</v>
      </c>
      <c r="F1374" s="2" t="s">
        <v>4540</v>
      </c>
      <c r="G1374" s="2" t="s">
        <v>3318</v>
      </c>
      <c r="H1374" s="7" t="s">
        <v>4541</v>
      </c>
      <c r="I1374" s="2" t="s">
        <v>940</v>
      </c>
      <c r="K1374" t="e">
        <v>#N/A</v>
      </c>
      <c r="L1374" s="2" t="s">
        <v>8469</v>
      </c>
      <c r="M1374" t="s">
        <v>8007</v>
      </c>
    </row>
    <row r="1375" spans="1:14" ht="39" x14ac:dyDescent="0.3">
      <c r="A1375" s="1" t="str">
        <f>HYPERLINK("https://ipmanager.doe.gov/IPManager//ExternalLink.aspx?6ibkph2k9yi6F%2B0Vz7YoTp68px7nSN2gYchahXTh6Zc%3D","Link")</f>
        <v>Link</v>
      </c>
      <c r="B1375" s="2" t="s">
        <v>4542</v>
      </c>
      <c r="C1375" s="2" t="s">
        <v>4498</v>
      </c>
      <c r="D1375" s="2" t="s">
        <v>909</v>
      </c>
      <c r="E1375" s="2" t="s">
        <v>4543</v>
      </c>
      <c r="F1375" s="2" t="s">
        <v>4544</v>
      </c>
      <c r="G1375" s="2" t="s">
        <v>1159</v>
      </c>
      <c r="H1375" s="7" t="s">
        <v>4545</v>
      </c>
      <c r="I1375" s="2" t="s">
        <v>1421</v>
      </c>
      <c r="K1375" t="e">
        <v>#N/A</v>
      </c>
      <c r="L1375" s="2" t="s">
        <v>8469</v>
      </c>
      <c r="M1375" t="s">
        <v>8007</v>
      </c>
    </row>
    <row r="1376" spans="1:14" ht="26" x14ac:dyDescent="0.3">
      <c r="A1376" s="1" t="str">
        <f>HYPERLINK("https://ipmanager.doe.gov/IPManager//ExternalLink.aspx?6ibkph2k9yi6F%2B0Vz7YoTp68px7nSN2gPDcvgKYv1SU%3D","Link")</f>
        <v>Link</v>
      </c>
      <c r="B1376" s="2" t="s">
        <v>4551</v>
      </c>
      <c r="C1376" s="2" t="s">
        <v>4547</v>
      </c>
      <c r="D1376" s="2" t="s">
        <v>4548</v>
      </c>
      <c r="E1376" s="2" t="s">
        <v>4552</v>
      </c>
      <c r="F1376" s="2"/>
      <c r="G1376" s="2" t="s">
        <v>9</v>
      </c>
      <c r="H1376" s="7"/>
      <c r="I1376" s="2" t="s">
        <v>9</v>
      </c>
      <c r="K1376" t="e">
        <v>#N/A</v>
      </c>
      <c r="L1376" s="2" t="s">
        <v>8624</v>
      </c>
      <c r="M1376" t="s">
        <v>8164</v>
      </c>
      <c r="N1376" s="4"/>
    </row>
    <row r="1377" spans="1:14" ht="26" x14ac:dyDescent="0.3">
      <c r="A1377" s="1" t="str">
        <f>HYPERLINK("https://ipmanager.doe.gov/IPManager//ExternalLink.aspx?6ibkph2k9yi6F%2B0Vz7YoTp68px7nSN2gTm1HWDL4%2B2I%3D","Link")</f>
        <v>Link</v>
      </c>
      <c r="B1377" s="2" t="s">
        <v>4546</v>
      </c>
      <c r="C1377" s="2" t="s">
        <v>4547</v>
      </c>
      <c r="D1377" s="2" t="s">
        <v>4548</v>
      </c>
      <c r="E1377" s="2" t="s">
        <v>4549</v>
      </c>
      <c r="F1377" s="2" t="s">
        <v>4550</v>
      </c>
      <c r="G1377" s="2" t="s">
        <v>2289</v>
      </c>
      <c r="H1377" s="2"/>
      <c r="I1377" s="2" t="s">
        <v>9</v>
      </c>
      <c r="K1377" t="e">
        <v>#N/A</v>
      </c>
      <c r="L1377" s="2" t="s">
        <v>8624</v>
      </c>
      <c r="M1377" t="s">
        <v>8164</v>
      </c>
      <c r="N1377" s="4"/>
    </row>
    <row r="1378" spans="1:14" ht="78" x14ac:dyDescent="0.3">
      <c r="A1378" s="1" t="str">
        <f>HYPERLINK("https://ipmanager.doe.gov/IPManager//ExternalLink.aspx?6ibkph2k9yi6F%2B0Vz7YoTr7J5I%2BY4foY6QD4mTnEHT8%3D","Link")</f>
        <v>Link</v>
      </c>
      <c r="B1378" s="2" t="s">
        <v>4553</v>
      </c>
      <c r="C1378" s="2" t="s">
        <v>4547</v>
      </c>
      <c r="D1378" s="2" t="s">
        <v>4548</v>
      </c>
      <c r="E1378" s="2" t="s">
        <v>4554</v>
      </c>
      <c r="F1378" s="2" t="s">
        <v>4555</v>
      </c>
      <c r="G1378" s="2" t="s">
        <v>4556</v>
      </c>
      <c r="H1378" s="2"/>
      <c r="I1378" s="2" t="s">
        <v>9</v>
      </c>
      <c r="K1378" t="e">
        <v>#N/A</v>
      </c>
      <c r="L1378" s="2" t="s">
        <v>8624</v>
      </c>
      <c r="M1378" t="s">
        <v>8164</v>
      </c>
      <c r="N1378" s="4"/>
    </row>
    <row r="1379" spans="1:14" ht="52" x14ac:dyDescent="0.3">
      <c r="A1379" s="1" t="str">
        <f>HYPERLINK("https://ipmanager.doe.gov/IPManager//ExternalLink.aspx?6ibkph2k9yi6F%2B0Vz7YoTgZwfmYxrNyKfnrmeXt9sOo%3D","Link")</f>
        <v>Link</v>
      </c>
      <c r="B1379" s="2" t="s">
        <v>4557</v>
      </c>
      <c r="C1379" s="2" t="s">
        <v>4558</v>
      </c>
      <c r="D1379" s="2" t="s">
        <v>8</v>
      </c>
      <c r="E1379" s="2" t="s">
        <v>4559</v>
      </c>
      <c r="F1379" s="2"/>
      <c r="G1379" s="2" t="s">
        <v>9</v>
      </c>
      <c r="H1379" s="7"/>
      <c r="I1379" s="2" t="s">
        <v>9</v>
      </c>
      <c r="K1379" t="e">
        <v>#N/A</v>
      </c>
      <c r="L1379" s="2" t="s">
        <v>8625</v>
      </c>
      <c r="M1379" t="s">
        <v>8165</v>
      </c>
      <c r="N1379" s="4"/>
    </row>
    <row r="1380" spans="1:14" ht="26" x14ac:dyDescent="0.3">
      <c r="A1380" s="1" t="str">
        <f>HYPERLINK("https://ipmanager.doe.gov/IPManager//ExternalLink.aspx?6ibkph2k9yi6F%2B0Vz7YoTk2BI6w%2FjZ2fO0GLpc7bZhE%3D","Link")</f>
        <v>Link</v>
      </c>
      <c r="B1380" s="2" t="s">
        <v>4560</v>
      </c>
      <c r="C1380" s="2" t="s">
        <v>4561</v>
      </c>
      <c r="D1380" s="2" t="s">
        <v>1775</v>
      </c>
      <c r="E1380" s="2" t="s">
        <v>4562</v>
      </c>
      <c r="F1380" s="2" t="s">
        <v>4563</v>
      </c>
      <c r="G1380" s="2" t="s">
        <v>4412</v>
      </c>
      <c r="H1380" s="7"/>
      <c r="I1380" s="2" t="s">
        <v>9</v>
      </c>
      <c r="K1380" t="e">
        <v>#N/A</v>
      </c>
      <c r="L1380" s="2" t="s">
        <v>8626</v>
      </c>
      <c r="M1380" t="s">
        <v>8166</v>
      </c>
      <c r="N1380" s="4"/>
    </row>
    <row r="1381" spans="1:14" ht="26" x14ac:dyDescent="0.3">
      <c r="A1381" s="1" t="str">
        <f>HYPERLINK("https://ipmanager.doe.gov/IPManager//ExternalLink.aspx?6ibkph2k9yi6F%2B0Vz7YoTvPUg%2FVZPl3ir7zhCNn1lgU%3D","Link")</f>
        <v>Link</v>
      </c>
      <c r="B1381" s="2" t="s">
        <v>4572</v>
      </c>
      <c r="C1381" s="2" t="s">
        <v>4561</v>
      </c>
      <c r="D1381" s="2" t="s">
        <v>1775</v>
      </c>
      <c r="E1381" s="2" t="s">
        <v>4573</v>
      </c>
      <c r="F1381" s="2" t="s">
        <v>4574</v>
      </c>
      <c r="G1381" s="2" t="s">
        <v>4575</v>
      </c>
      <c r="H1381" s="7"/>
      <c r="I1381" s="2" t="s">
        <v>9</v>
      </c>
      <c r="K1381" t="e">
        <v>#N/A</v>
      </c>
      <c r="L1381" s="2" t="s">
        <v>8626</v>
      </c>
      <c r="M1381" t="s">
        <v>8166</v>
      </c>
      <c r="N1381" s="4"/>
    </row>
    <row r="1382" spans="1:14" ht="26" x14ac:dyDescent="0.3">
      <c r="A1382" s="1" t="str">
        <f>HYPERLINK("https://ipmanager.doe.gov/IPManager//ExternalLink.aspx?6ibkph2k9yi6F%2B0Vz7YoTvE8yjoHgvp69uy4ld%2B2P2g%3D","Link")</f>
        <v>Link</v>
      </c>
      <c r="B1382" s="2" t="s">
        <v>4579</v>
      </c>
      <c r="C1382" s="2" t="s">
        <v>4561</v>
      </c>
      <c r="D1382" s="2" t="s">
        <v>1775</v>
      </c>
      <c r="E1382" s="2" t="s">
        <v>4570</v>
      </c>
      <c r="F1382" s="2" t="s">
        <v>4580</v>
      </c>
      <c r="G1382" s="2" t="s">
        <v>596</v>
      </c>
      <c r="H1382" s="7"/>
      <c r="I1382" s="2" t="s">
        <v>9</v>
      </c>
      <c r="J1382" t="s">
        <v>4580</v>
      </c>
      <c r="K1382" t="s">
        <v>7946</v>
      </c>
      <c r="L1382" s="2" t="s">
        <v>8626</v>
      </c>
      <c r="M1382" t="s">
        <v>8166</v>
      </c>
      <c r="N1382" s="4"/>
    </row>
    <row r="1383" spans="1:14" ht="26" x14ac:dyDescent="0.3">
      <c r="A1383" s="1" t="str">
        <f>HYPERLINK("https://ipmanager.doe.gov/IPManager//ExternalLink.aspx?6ibkph2k9yi6F%2B0Vz7YoTnXVN2REjGcWzmjG7xaKt0Y%3D","Link")</f>
        <v>Link</v>
      </c>
      <c r="B1383" s="2" t="s">
        <v>4581</v>
      </c>
      <c r="C1383" s="2" t="s">
        <v>4561</v>
      </c>
      <c r="D1383" s="2" t="s">
        <v>1775</v>
      </c>
      <c r="E1383" s="2" t="s">
        <v>4573</v>
      </c>
      <c r="F1383" s="2" t="s">
        <v>4582</v>
      </c>
      <c r="G1383" s="2" t="s">
        <v>4583</v>
      </c>
      <c r="H1383" s="7"/>
      <c r="I1383" s="2" t="s">
        <v>9</v>
      </c>
      <c r="J1383" t="s">
        <v>4582</v>
      </c>
      <c r="K1383" t="s">
        <v>7699</v>
      </c>
      <c r="L1383" s="2" t="s">
        <v>8626</v>
      </c>
      <c r="M1383" t="s">
        <v>8166</v>
      </c>
      <c r="N1383" s="4"/>
    </row>
    <row r="1384" spans="1:14" ht="26" x14ac:dyDescent="0.3">
      <c r="A1384" s="1" t="str">
        <f>HYPERLINK("https://ipmanager.doe.gov/IPManager//ExternalLink.aspx?6ibkph2k9yi6F%2B0Vz7YoTvE8yjoHgvp6obWoME6Uktg%3D","Link")</f>
        <v>Link</v>
      </c>
      <c r="B1384" s="2" t="s">
        <v>4564</v>
      </c>
      <c r="C1384" s="2" t="s">
        <v>4561</v>
      </c>
      <c r="D1384" s="2" t="s">
        <v>1775</v>
      </c>
      <c r="E1384" s="2" t="s">
        <v>4565</v>
      </c>
      <c r="F1384" s="2"/>
      <c r="G1384" s="2" t="s">
        <v>9</v>
      </c>
      <c r="H1384" s="7"/>
      <c r="I1384" s="2" t="s">
        <v>9</v>
      </c>
      <c r="K1384" t="e">
        <v>#N/A</v>
      </c>
      <c r="L1384" s="2" t="s">
        <v>8626</v>
      </c>
      <c r="M1384" t="s">
        <v>8166</v>
      </c>
      <c r="N1384" s="4"/>
    </row>
    <row r="1385" spans="1:14" ht="39" x14ac:dyDescent="0.3">
      <c r="A1385" s="1" t="str">
        <f>HYPERLINK("https://ipmanager.doe.gov/IPManager//ExternalLink.aspx?6ibkph2k9yi6F%2B0Vz7YoTipZ798QK%2BbPmwC1%2Fj8yJ1k%3D","Link")</f>
        <v>Link</v>
      </c>
      <c r="B1385" s="2" t="s">
        <v>4566</v>
      </c>
      <c r="C1385" s="2" t="s">
        <v>4561</v>
      </c>
      <c r="D1385" s="2" t="s">
        <v>1775</v>
      </c>
      <c r="E1385" s="2" t="s">
        <v>4567</v>
      </c>
      <c r="F1385" s="2"/>
      <c r="G1385" s="2" t="s">
        <v>9</v>
      </c>
      <c r="H1385" s="7"/>
      <c r="I1385" s="2" t="s">
        <v>9</v>
      </c>
      <c r="K1385" t="e">
        <v>#N/A</v>
      </c>
      <c r="L1385" s="2" t="s">
        <v>8626</v>
      </c>
      <c r="M1385" t="s">
        <v>8166</v>
      </c>
      <c r="N1385" s="4"/>
    </row>
    <row r="1386" spans="1:14" x14ac:dyDescent="0.3">
      <c r="A1386" s="1" t="str">
        <f>HYPERLINK("https://ipmanager.doe.gov/IPManager//ExternalLink.aspx?6ibkph2k9yi6F%2B0Vz7YoTjnDGhmGHGI7t3VXqmbFVOo%3D","Link")</f>
        <v>Link</v>
      </c>
      <c r="B1386" s="2" t="s">
        <v>4569</v>
      </c>
      <c r="C1386" s="2" t="s">
        <v>4561</v>
      </c>
      <c r="D1386" s="2" t="s">
        <v>1775</v>
      </c>
      <c r="E1386" s="2" t="s">
        <v>4570</v>
      </c>
      <c r="F1386" s="2" t="s">
        <v>4568</v>
      </c>
      <c r="G1386" s="2" t="s">
        <v>3308</v>
      </c>
      <c r="H1386" s="7" t="s">
        <v>4571</v>
      </c>
      <c r="I1386" s="2" t="s">
        <v>406</v>
      </c>
      <c r="K1386" t="e">
        <v>#N/A</v>
      </c>
      <c r="L1386" s="2" t="s">
        <v>8626</v>
      </c>
      <c r="M1386" t="s">
        <v>8166</v>
      </c>
    </row>
    <row r="1387" spans="1:14" ht="39" x14ac:dyDescent="0.3">
      <c r="A1387" s="1" t="str">
        <f>HYPERLINK("https://ipmanager.doe.gov/IPManager//ExternalLink.aspx?6ibkph2k9yi6F%2B0Vz7YoTlNm8snv%2FZpHuGNZhgpub40%3D","Link")</f>
        <v>Link</v>
      </c>
      <c r="B1387" s="2" t="s">
        <v>4576</v>
      </c>
      <c r="C1387" s="2" t="s">
        <v>4561</v>
      </c>
      <c r="D1387" s="2" t="s">
        <v>1775</v>
      </c>
      <c r="E1387" s="2" t="s">
        <v>4577</v>
      </c>
      <c r="F1387" s="2"/>
      <c r="G1387" s="2" t="s">
        <v>9</v>
      </c>
      <c r="H1387" s="7"/>
      <c r="I1387" s="2" t="s">
        <v>9</v>
      </c>
      <c r="K1387" t="e">
        <v>#N/A</v>
      </c>
      <c r="L1387" s="2" t="s">
        <v>8626</v>
      </c>
      <c r="M1387" t="s">
        <v>8166</v>
      </c>
      <c r="N1387" s="4"/>
    </row>
    <row r="1388" spans="1:14" x14ac:dyDescent="0.3">
      <c r="A1388" s="1" t="str">
        <f>HYPERLINK("https://ipmanager.doe.gov/IPManager//ExternalLink.aspx?6ibkph2k9yi6F%2B0Vz7YoTgZwfmYxrNyKOqA0s8Hjgb4%3D","Link")</f>
        <v>Link</v>
      </c>
      <c r="B1388" s="2" t="s">
        <v>4578</v>
      </c>
      <c r="C1388" s="2" t="s">
        <v>4561</v>
      </c>
      <c r="D1388" s="2" t="s">
        <v>1775</v>
      </c>
      <c r="E1388" s="2" t="s">
        <v>4570</v>
      </c>
      <c r="F1388" s="2" t="s">
        <v>4568</v>
      </c>
      <c r="G1388" s="2" t="s">
        <v>3308</v>
      </c>
      <c r="H1388" s="7" t="s">
        <v>4571</v>
      </c>
      <c r="I1388" s="2" t="s">
        <v>406</v>
      </c>
      <c r="K1388" t="e">
        <v>#N/A</v>
      </c>
      <c r="L1388" s="2" t="s">
        <v>8626</v>
      </c>
      <c r="M1388" t="s">
        <v>8166</v>
      </c>
    </row>
    <row r="1389" spans="1:14" ht="52" x14ac:dyDescent="0.3">
      <c r="A1389" s="1" t="str">
        <f>HYPERLINK("https://ipmanager.doe.gov/IPManager//ExternalLink.aspx?6ibkph2k9yi6F%2B0Vz7YoTvE8yjoHgvp6ccyrP%2BC3C2I%3D","Link")</f>
        <v>Link</v>
      </c>
      <c r="B1389" s="2" t="s">
        <v>4600</v>
      </c>
      <c r="C1389" s="2" t="s">
        <v>4585</v>
      </c>
      <c r="D1389" s="2" t="s">
        <v>100</v>
      </c>
      <c r="E1389" s="2" t="s">
        <v>4601</v>
      </c>
      <c r="F1389" s="2" t="s">
        <v>4602</v>
      </c>
      <c r="G1389" s="2" t="s">
        <v>2374</v>
      </c>
      <c r="H1389" s="7" t="s">
        <v>4603</v>
      </c>
      <c r="I1389" s="2" t="s">
        <v>3396</v>
      </c>
      <c r="K1389" t="e">
        <v>#N/A</v>
      </c>
      <c r="L1389" s="2" t="s">
        <v>8515</v>
      </c>
      <c r="M1389" t="s">
        <v>8167</v>
      </c>
    </row>
    <row r="1390" spans="1:14" ht="52" x14ac:dyDescent="0.3">
      <c r="A1390" s="1" t="str">
        <f>HYPERLINK("https://ipmanager.doe.gov/IPManager//ExternalLink.aspx?6ibkph2k9yi6F%2B0Vz7YoThEBhkR3uHVr5buGNQ2lb5Q%3D","Link")</f>
        <v>Link</v>
      </c>
      <c r="B1390" s="2" t="s">
        <v>4608</v>
      </c>
      <c r="C1390" s="2" t="s">
        <v>4585</v>
      </c>
      <c r="D1390" s="2" t="s">
        <v>100</v>
      </c>
      <c r="E1390" s="2" t="s">
        <v>4586</v>
      </c>
      <c r="F1390" s="2"/>
      <c r="G1390" s="2" t="s">
        <v>9</v>
      </c>
      <c r="H1390" s="7"/>
      <c r="I1390" s="2" t="s">
        <v>9</v>
      </c>
      <c r="K1390" t="e">
        <v>#N/A</v>
      </c>
      <c r="L1390" s="2" t="s">
        <v>8515</v>
      </c>
      <c r="M1390" t="s">
        <v>8167</v>
      </c>
      <c r="N1390" s="4"/>
    </row>
    <row r="1391" spans="1:14" ht="52" x14ac:dyDescent="0.3">
      <c r="A1391" s="1" t="str">
        <f>HYPERLINK("https://ipmanager.doe.gov/IPManager//ExternalLink.aspx?6ibkph2k9yi6F%2B0Vz7YoTnXVN2REjGcW6K7J%2FvHO7w0%3D","Link")</f>
        <v>Link</v>
      </c>
      <c r="B1391" s="2" t="s">
        <v>4584</v>
      </c>
      <c r="C1391" s="2" t="s">
        <v>4585</v>
      </c>
      <c r="D1391" s="2" t="s">
        <v>100</v>
      </c>
      <c r="E1391" s="2" t="s">
        <v>4586</v>
      </c>
      <c r="F1391" s="2" t="s">
        <v>4587</v>
      </c>
      <c r="G1391" s="2" t="s">
        <v>4588</v>
      </c>
      <c r="H1391" s="2"/>
      <c r="I1391" s="2" t="s">
        <v>9</v>
      </c>
      <c r="K1391" t="e">
        <v>#N/A</v>
      </c>
      <c r="L1391" s="2" t="s">
        <v>8515</v>
      </c>
      <c r="M1391" t="s">
        <v>8167</v>
      </c>
      <c r="N1391" s="4"/>
    </row>
    <row r="1392" spans="1:14" ht="39" x14ac:dyDescent="0.3">
      <c r="A1392" s="1" t="str">
        <f>HYPERLINK("https://ipmanager.doe.gov/IPManager//ExternalLink.aspx?6ibkph2k9yi6F%2B0Vz7YoTvE8yjoHgvp6hB%2Fl9aofREw%3D","Link")</f>
        <v>Link</v>
      </c>
      <c r="B1392" s="2" t="s">
        <v>4589</v>
      </c>
      <c r="C1392" s="2" t="s">
        <v>4585</v>
      </c>
      <c r="D1392" s="2" t="s">
        <v>100</v>
      </c>
      <c r="E1392" s="2" t="s">
        <v>4590</v>
      </c>
      <c r="F1392" s="2" t="s">
        <v>4591</v>
      </c>
      <c r="G1392" s="2" t="s">
        <v>4592</v>
      </c>
      <c r="H1392" s="2"/>
      <c r="I1392" s="2" t="s">
        <v>9</v>
      </c>
      <c r="J1392" t="s">
        <v>4591</v>
      </c>
      <c r="K1392" t="s">
        <v>7909</v>
      </c>
      <c r="L1392" s="2" t="s">
        <v>8515</v>
      </c>
      <c r="M1392" t="s">
        <v>8167</v>
      </c>
      <c r="N1392" s="4"/>
    </row>
    <row r="1393" spans="1:14" ht="52" x14ac:dyDescent="0.3">
      <c r="A1393" s="1" t="str">
        <f>HYPERLINK("https://ipmanager.doe.gov/IPManager//ExternalLink.aspx?6ibkph2k9yi6F%2B0Vz7YoTq6RR9BlGHHik828fuc8aKQ%3D","Link")</f>
        <v>Link</v>
      </c>
      <c r="B1393" s="2" t="s">
        <v>4595</v>
      </c>
      <c r="C1393" s="2" t="s">
        <v>4585</v>
      </c>
      <c r="D1393" s="2" t="s">
        <v>100</v>
      </c>
      <c r="E1393" s="2" t="s">
        <v>4596</v>
      </c>
      <c r="F1393" s="2" t="s">
        <v>4597</v>
      </c>
      <c r="G1393" s="2" t="s">
        <v>1771</v>
      </c>
      <c r="H1393" s="2"/>
      <c r="I1393" s="2" t="s">
        <v>9</v>
      </c>
      <c r="J1393" t="s">
        <v>4597</v>
      </c>
      <c r="K1393" t="s">
        <v>7869</v>
      </c>
      <c r="L1393" s="2" t="s">
        <v>8515</v>
      </c>
      <c r="M1393" t="s">
        <v>8167</v>
      </c>
      <c r="N1393" s="4"/>
    </row>
    <row r="1394" spans="1:14" ht="39" x14ac:dyDescent="0.3">
      <c r="A1394" s="1" t="str">
        <f>HYPERLINK("https://ipmanager.doe.gov/IPManager//ExternalLink.aspx?6ibkph2k9yi6F%2B0Vz7YoTvE8yjoHgvp65QpfgRncvxI%3D","Link")</f>
        <v>Link</v>
      </c>
      <c r="B1394" s="2" t="s">
        <v>4599</v>
      </c>
      <c r="C1394" s="2" t="s">
        <v>4585</v>
      </c>
      <c r="D1394" s="2" t="s">
        <v>100</v>
      </c>
      <c r="E1394" s="2" t="s">
        <v>4590</v>
      </c>
      <c r="F1394" s="2" t="s">
        <v>4593</v>
      </c>
      <c r="G1394" s="2" t="s">
        <v>4592</v>
      </c>
      <c r="H1394" s="2"/>
      <c r="I1394" s="2" t="s">
        <v>9</v>
      </c>
      <c r="K1394" t="e">
        <v>#N/A</v>
      </c>
      <c r="L1394" s="2" t="s">
        <v>8515</v>
      </c>
      <c r="M1394" t="s">
        <v>8167</v>
      </c>
      <c r="N1394" s="4"/>
    </row>
    <row r="1395" spans="1:14" ht="52" x14ac:dyDescent="0.3">
      <c r="A1395" s="1" t="str">
        <f>HYPERLINK("https://ipmanager.doe.gov/IPManager//ExternalLink.aspx?6ibkph2k9yi6F%2B0Vz7YoTp68px7nSN2g8gSgocUsIMk%3D","Link")</f>
        <v>Link</v>
      </c>
      <c r="B1395" s="2" t="s">
        <v>4604</v>
      </c>
      <c r="C1395" s="2" t="s">
        <v>4585</v>
      </c>
      <c r="D1395" s="2" t="s">
        <v>100</v>
      </c>
      <c r="E1395" s="2" t="s">
        <v>4601</v>
      </c>
      <c r="F1395" s="2" t="s">
        <v>4598</v>
      </c>
      <c r="G1395" s="2" t="s">
        <v>4605</v>
      </c>
      <c r="H1395" s="2"/>
      <c r="I1395" s="2" t="s">
        <v>9</v>
      </c>
      <c r="K1395" t="e">
        <v>#N/A</v>
      </c>
      <c r="L1395" s="2" t="s">
        <v>8515</v>
      </c>
      <c r="M1395" t="s">
        <v>8167</v>
      </c>
      <c r="N1395" s="4"/>
    </row>
    <row r="1396" spans="1:14" ht="39" x14ac:dyDescent="0.3">
      <c r="A1396" s="1" t="str">
        <f>HYPERLINK("https://ipmanager.doe.gov/IPManager//ExternalLink.aspx?6ibkph2k9yi6F%2B0Vz7YoThEBhkR3uHVrBo5TUdMFHC4%3D","Link")</f>
        <v>Link</v>
      </c>
      <c r="B1396" s="2" t="s">
        <v>4606</v>
      </c>
      <c r="C1396" s="2" t="s">
        <v>4585</v>
      </c>
      <c r="D1396" s="2" t="s">
        <v>100</v>
      </c>
      <c r="E1396" s="2" t="s">
        <v>4607</v>
      </c>
      <c r="F1396" s="2" t="s">
        <v>7662</v>
      </c>
      <c r="G1396" s="2" t="s">
        <v>3229</v>
      </c>
      <c r="H1396" s="2"/>
      <c r="I1396" s="2" t="s">
        <v>9</v>
      </c>
      <c r="K1396" t="e">
        <v>#N/A</v>
      </c>
      <c r="L1396" s="2" t="s">
        <v>8515</v>
      </c>
      <c r="M1396" t="s">
        <v>8167</v>
      </c>
      <c r="N1396" s="4"/>
    </row>
    <row r="1397" spans="1:14" ht="52" x14ac:dyDescent="0.3">
      <c r="A1397" s="1" t="str">
        <f>HYPERLINK("https://ipmanager.doe.gov/IPManager//ExternalLink.aspx?6ibkph2k9yi6F%2B0Vz7YoThEBhkR3uHVrvCxhoiQ8l7U%3D","Link")</f>
        <v>Link</v>
      </c>
      <c r="B1397" s="2" t="s">
        <v>4609</v>
      </c>
      <c r="C1397" s="2" t="s">
        <v>4585</v>
      </c>
      <c r="D1397" s="2" t="s">
        <v>100</v>
      </c>
      <c r="E1397" s="2" t="s">
        <v>4610</v>
      </c>
      <c r="F1397" s="2" t="s">
        <v>4587</v>
      </c>
      <c r="G1397" s="2" t="s">
        <v>4588</v>
      </c>
      <c r="H1397" s="2"/>
      <c r="I1397" s="2" t="s">
        <v>9</v>
      </c>
      <c r="K1397" t="e">
        <v>#N/A</v>
      </c>
      <c r="L1397" s="2" t="s">
        <v>8515</v>
      </c>
      <c r="M1397" t="s">
        <v>8167</v>
      </c>
      <c r="N1397" s="4"/>
    </row>
    <row r="1398" spans="1:14" ht="52" x14ac:dyDescent="0.3">
      <c r="A1398" s="1" t="str">
        <f>HYPERLINK("https://ipmanager.doe.gov/IPManager//ExternalLink.aspx?6ibkph2k9yi6F%2B0Vz7YoTjnDGhmGHGI7sDFs3n%2FgQ2M%3D","Link")</f>
        <v>Link</v>
      </c>
      <c r="B1398" s="2" t="s">
        <v>4611</v>
      </c>
      <c r="C1398" s="2" t="s">
        <v>4612</v>
      </c>
      <c r="D1398" s="2" t="s">
        <v>971</v>
      </c>
      <c r="E1398" s="2" t="s">
        <v>4613</v>
      </c>
      <c r="F1398" s="2" t="s">
        <v>4614</v>
      </c>
      <c r="G1398" s="2" t="s">
        <v>1149</v>
      </c>
      <c r="H1398" s="2"/>
      <c r="I1398" s="2" t="s">
        <v>9</v>
      </c>
      <c r="J1398" t="s">
        <v>6446</v>
      </c>
      <c r="K1398" t="s">
        <v>7947</v>
      </c>
      <c r="L1398" s="2" t="s">
        <v>8627</v>
      </c>
      <c r="M1398" t="s">
        <v>8168</v>
      </c>
      <c r="N1398" s="4"/>
    </row>
    <row r="1399" spans="1:14" ht="39" x14ac:dyDescent="0.3">
      <c r="A1399" s="1" t="str">
        <f>HYPERLINK("https://ipmanager.doe.gov/IPManager//ExternalLink.aspx?6ibkph2k9yi6F%2B0Vz7YoTjnDGhmGHGI7MYLvBIpOZm4%3D","Link")</f>
        <v>Link</v>
      </c>
      <c r="B1399" s="2" t="s">
        <v>4615</v>
      </c>
      <c r="C1399" s="2" t="s">
        <v>4612</v>
      </c>
      <c r="D1399" s="2" t="s">
        <v>971</v>
      </c>
      <c r="E1399" s="2" t="s">
        <v>4616</v>
      </c>
      <c r="F1399" s="2" t="s">
        <v>4617</v>
      </c>
      <c r="G1399" s="2" t="s">
        <v>1149</v>
      </c>
      <c r="H1399" s="2"/>
      <c r="I1399" s="2" t="s">
        <v>9</v>
      </c>
      <c r="J1399" t="s">
        <v>5068</v>
      </c>
      <c r="K1399" t="s">
        <v>7948</v>
      </c>
      <c r="L1399" s="2" t="s">
        <v>8627</v>
      </c>
      <c r="M1399" t="s">
        <v>8168</v>
      </c>
      <c r="N1399" s="4"/>
    </row>
    <row r="1400" spans="1:14" ht="65" x14ac:dyDescent="0.3">
      <c r="A1400" s="1" t="str">
        <f>HYPERLINK("https://ipmanager.doe.gov/IPManager//ExternalLink.aspx?6ibkph2k9yi6F%2B0Vz7YoTvPUg%2FVZPl3iizkreLxMVDw%3D","Link")</f>
        <v>Link</v>
      </c>
      <c r="B1400" s="2" t="s">
        <v>4625</v>
      </c>
      <c r="C1400" s="2" t="s">
        <v>4619</v>
      </c>
      <c r="D1400" s="2" t="s">
        <v>348</v>
      </c>
      <c r="E1400" s="2" t="s">
        <v>4626</v>
      </c>
      <c r="F1400" s="2" t="s">
        <v>4627</v>
      </c>
      <c r="G1400" s="2" t="s">
        <v>4628</v>
      </c>
      <c r="H1400" s="7"/>
      <c r="I1400" s="2" t="s">
        <v>9</v>
      </c>
      <c r="K1400" t="e">
        <v>#N/A</v>
      </c>
      <c r="L1400" s="2" t="s">
        <v>8628</v>
      </c>
      <c r="M1400" t="s">
        <v>8169</v>
      </c>
      <c r="N1400" s="4"/>
    </row>
    <row r="1401" spans="1:14" ht="65" x14ac:dyDescent="0.3">
      <c r="A1401" s="1" t="str">
        <f>HYPERLINK("https://ipmanager.doe.gov/IPManager//ExternalLink.aspx?6ibkph2k9yi6F%2B0Vz7YoTgZwfmYxrNyKk4ZbUhs6ilk%3D","Link")</f>
        <v>Link</v>
      </c>
      <c r="B1401" s="2" t="s">
        <v>4618</v>
      </c>
      <c r="C1401" s="2" t="s">
        <v>4619</v>
      </c>
      <c r="D1401" s="2" t="s">
        <v>348</v>
      </c>
      <c r="E1401" s="2" t="s">
        <v>4620</v>
      </c>
      <c r="F1401" s="2"/>
      <c r="G1401" s="2" t="s">
        <v>9</v>
      </c>
      <c r="H1401" s="7"/>
      <c r="I1401" s="2" t="s">
        <v>9</v>
      </c>
      <c r="K1401" t="e">
        <v>#N/A</v>
      </c>
      <c r="L1401" s="2" t="s">
        <v>8628</v>
      </c>
      <c r="M1401" t="s">
        <v>8169</v>
      </c>
      <c r="N1401" s="4"/>
    </row>
    <row r="1402" spans="1:14" ht="65" x14ac:dyDescent="0.3">
      <c r="A1402" s="1" t="str">
        <f>HYPERLINK("https://ipmanager.doe.gov/IPManager//ExternalLink.aspx?6ibkph2k9yi6F%2B0Vz7YoTgZwfmYxrNyKnkXXYchNoxc%3D","Link")</f>
        <v>Link</v>
      </c>
      <c r="B1402" s="2" t="s">
        <v>4621</v>
      </c>
      <c r="C1402" s="2" t="s">
        <v>4619</v>
      </c>
      <c r="D1402" s="2" t="s">
        <v>348</v>
      </c>
      <c r="E1402" s="2" t="s">
        <v>4620</v>
      </c>
      <c r="F1402" s="2"/>
      <c r="G1402" s="2" t="s">
        <v>9</v>
      </c>
      <c r="H1402" s="7"/>
      <c r="I1402" s="2" t="s">
        <v>9</v>
      </c>
      <c r="K1402" t="e">
        <v>#N/A</v>
      </c>
      <c r="L1402" s="2" t="s">
        <v>8628</v>
      </c>
      <c r="M1402" t="s">
        <v>8169</v>
      </c>
      <c r="N1402" s="4"/>
    </row>
    <row r="1403" spans="1:14" ht="52" x14ac:dyDescent="0.3">
      <c r="A1403" s="1" t="str">
        <f>HYPERLINK("https://ipmanager.doe.gov/IPManager//ExternalLink.aspx?6ibkph2k9yi6F%2B0Vz7YoTo7DPLa3%2F%2FGgnwXlYmzXXQQ%3D","Link")</f>
        <v>Link</v>
      </c>
      <c r="B1403" s="2" t="s">
        <v>4622</v>
      </c>
      <c r="C1403" s="2" t="s">
        <v>4619</v>
      </c>
      <c r="D1403" s="2" t="s">
        <v>4623</v>
      </c>
      <c r="E1403" s="2" t="s">
        <v>4624</v>
      </c>
      <c r="F1403" s="2"/>
      <c r="G1403" s="2" t="s">
        <v>9</v>
      </c>
      <c r="H1403" s="7"/>
      <c r="I1403" s="2" t="s">
        <v>9</v>
      </c>
      <c r="K1403" t="e">
        <v>#N/A</v>
      </c>
      <c r="L1403" s="2" t="s">
        <v>8628</v>
      </c>
      <c r="M1403" t="s">
        <v>8169</v>
      </c>
      <c r="N1403" s="4"/>
    </row>
    <row r="1404" spans="1:14" x14ac:dyDescent="0.3">
      <c r="A1404" s="1" t="str">
        <f>HYPERLINK("https://ipmanager.doe.gov/IPManager//ExternalLink.aspx?6ibkph2k9yi6F%2B0Vz7YoTjnDGhmGHGI7sRuaWH0NTLU%3D","Link")</f>
        <v>Link</v>
      </c>
      <c r="B1404" s="2" t="s">
        <v>4629</v>
      </c>
      <c r="C1404" s="2" t="s">
        <v>4630</v>
      </c>
      <c r="D1404" s="2" t="s">
        <v>4631</v>
      </c>
      <c r="E1404" s="2" t="s">
        <v>4632</v>
      </c>
      <c r="F1404" s="2"/>
      <c r="G1404" s="2" t="s">
        <v>9</v>
      </c>
      <c r="H1404" s="7"/>
      <c r="I1404" s="2" t="s">
        <v>9</v>
      </c>
      <c r="K1404" t="e">
        <v>#N/A</v>
      </c>
      <c r="L1404" s="2" t="s">
        <v>8629</v>
      </c>
      <c r="M1404" t="s">
        <v>8170</v>
      </c>
      <c r="N1404" s="4"/>
    </row>
    <row r="1405" spans="1:14" ht="52" x14ac:dyDescent="0.3">
      <c r="A1405" s="1" t="str">
        <f>HYPERLINK("https://ipmanager.doe.gov/IPManager//ExternalLink.aspx?6ibkph2k9yi6F%2B0Vz7YoTp68px7nSN2gVfI5C4M0nl0%3D","Link")</f>
        <v>Link</v>
      </c>
      <c r="B1405" s="2" t="s">
        <v>4633</v>
      </c>
      <c r="C1405" s="2" t="s">
        <v>4634</v>
      </c>
      <c r="D1405" s="2" t="s">
        <v>4635</v>
      </c>
      <c r="E1405" s="2" t="s">
        <v>4636</v>
      </c>
      <c r="F1405" s="2"/>
      <c r="G1405" s="2" t="s">
        <v>9</v>
      </c>
      <c r="H1405" s="7"/>
      <c r="I1405" s="2" t="s">
        <v>9</v>
      </c>
      <c r="K1405" t="e">
        <v>#N/A</v>
      </c>
      <c r="L1405" s="2" t="s">
        <v>8630</v>
      </c>
      <c r="M1405" t="s">
        <v>8171</v>
      </c>
      <c r="N1405" s="4"/>
    </row>
    <row r="1406" spans="1:14" ht="26" x14ac:dyDescent="0.3">
      <c r="A1406" s="1" t="str">
        <f>HYPERLINK("https://ipmanager.doe.gov/IPManager//ExternalLink.aspx?6ibkph2k9yi6F%2B0Vz7YoTjnDGhmGHGI7oOLwbhA3a9c%3D","Link")</f>
        <v>Link</v>
      </c>
      <c r="B1406" s="2" t="s">
        <v>4652</v>
      </c>
      <c r="C1406" s="2" t="s">
        <v>4638</v>
      </c>
      <c r="D1406" s="2" t="s">
        <v>4384</v>
      </c>
      <c r="E1406" s="2" t="s">
        <v>4653</v>
      </c>
      <c r="F1406" s="2" t="s">
        <v>7641</v>
      </c>
      <c r="G1406" s="2" t="s">
        <v>4654</v>
      </c>
      <c r="H1406" s="7"/>
      <c r="I1406" s="2" t="s">
        <v>9</v>
      </c>
      <c r="K1406" t="e">
        <v>#N/A</v>
      </c>
      <c r="L1406" s="2" t="s">
        <v>8631</v>
      </c>
      <c r="M1406" t="s">
        <v>8172</v>
      </c>
      <c r="N1406" s="4"/>
    </row>
    <row r="1407" spans="1:14" ht="26" x14ac:dyDescent="0.3">
      <c r="A1407" s="1" t="str">
        <f>HYPERLINK("https://ipmanager.doe.gov/IPManager//ExternalLink.aspx?6ibkph2k9yi6F%2B0Vz7YoTjnDGhmGHGI7J64nKd4XUUw%3D","Link")</f>
        <v>Link</v>
      </c>
      <c r="B1407" s="2" t="s">
        <v>4637</v>
      </c>
      <c r="C1407" s="2" t="s">
        <v>4638</v>
      </c>
      <c r="D1407" s="2" t="s">
        <v>4384</v>
      </c>
      <c r="E1407" s="2" t="s">
        <v>4639</v>
      </c>
      <c r="F1407" s="2"/>
      <c r="G1407" s="2" t="s">
        <v>9</v>
      </c>
      <c r="H1407" s="7"/>
      <c r="I1407" s="2" t="s">
        <v>9</v>
      </c>
      <c r="K1407" t="e">
        <v>#N/A</v>
      </c>
      <c r="L1407" s="2" t="s">
        <v>8631</v>
      </c>
      <c r="M1407" t="s">
        <v>8172</v>
      </c>
      <c r="N1407" s="4"/>
    </row>
    <row r="1408" spans="1:14" ht="26" x14ac:dyDescent="0.3">
      <c r="A1408" s="1" t="str">
        <f>HYPERLINK("https://ipmanager.doe.gov/IPManager//ExternalLink.aspx?6ibkph2k9yi6F%2B0Vz7YoTvPUg%2FVZPl3iXONWoUv0mLw%3D","Link")</f>
        <v>Link</v>
      </c>
      <c r="B1408" s="2" t="s">
        <v>4640</v>
      </c>
      <c r="C1408" s="2" t="s">
        <v>4638</v>
      </c>
      <c r="D1408" s="2" t="s">
        <v>4384</v>
      </c>
      <c r="E1408" s="2" t="s">
        <v>4641</v>
      </c>
      <c r="F1408" s="2"/>
      <c r="G1408" s="2" t="s">
        <v>9</v>
      </c>
      <c r="H1408" s="7"/>
      <c r="I1408" s="2" t="s">
        <v>9</v>
      </c>
      <c r="K1408" t="e">
        <v>#N/A</v>
      </c>
      <c r="L1408" s="2" t="s">
        <v>8631</v>
      </c>
      <c r="M1408" t="s">
        <v>8172</v>
      </c>
      <c r="N1408" s="4"/>
    </row>
    <row r="1409" spans="1:14" ht="26" x14ac:dyDescent="0.3">
      <c r="A1409" s="1" t="str">
        <f>HYPERLINK("https://ipmanager.doe.gov/IPManager//ExternalLink.aspx?6ibkph2k9yi6F%2B0Vz7YoTjnDGhmGHGI7%2BGsry5B8%2BI8%3D","Link")</f>
        <v>Link</v>
      </c>
      <c r="B1409" s="2" t="s">
        <v>4642</v>
      </c>
      <c r="C1409" s="2" t="s">
        <v>4638</v>
      </c>
      <c r="D1409" s="2" t="s">
        <v>4384</v>
      </c>
      <c r="E1409" s="2" t="s">
        <v>4643</v>
      </c>
      <c r="F1409" s="2"/>
      <c r="G1409" s="2" t="s">
        <v>9</v>
      </c>
      <c r="H1409" s="7"/>
      <c r="I1409" s="2" t="s">
        <v>9</v>
      </c>
      <c r="K1409" t="e">
        <v>#N/A</v>
      </c>
      <c r="L1409" s="2" t="s">
        <v>8631</v>
      </c>
      <c r="M1409" t="s">
        <v>8172</v>
      </c>
      <c r="N1409" s="4"/>
    </row>
    <row r="1410" spans="1:14" ht="26" x14ac:dyDescent="0.3">
      <c r="A1410" s="1" t="str">
        <f>HYPERLINK("https://ipmanager.doe.gov/IPManager//ExternalLink.aspx?6ibkph2k9yi6F%2B0Vz7YoTjnDGhmGHGI77L0ltCBkPW8%3D","Link")</f>
        <v>Link</v>
      </c>
      <c r="B1410" s="2" t="s">
        <v>4644</v>
      </c>
      <c r="C1410" s="2" t="s">
        <v>4638</v>
      </c>
      <c r="D1410" s="2" t="s">
        <v>4384</v>
      </c>
      <c r="E1410" s="2" t="s">
        <v>4645</v>
      </c>
      <c r="F1410" s="2"/>
      <c r="G1410" s="2" t="s">
        <v>9</v>
      </c>
      <c r="H1410" s="7"/>
      <c r="I1410" s="2" t="s">
        <v>9</v>
      </c>
      <c r="K1410" t="e">
        <v>#N/A</v>
      </c>
      <c r="L1410" s="2" t="s">
        <v>8631</v>
      </c>
      <c r="M1410" t="s">
        <v>8172</v>
      </c>
      <c r="N1410" s="4"/>
    </row>
    <row r="1411" spans="1:14" ht="52" x14ac:dyDescent="0.3">
      <c r="A1411" s="1" t="str">
        <f>HYPERLINK("https://ipmanager.doe.gov/IPManager//ExternalLink.aspx?6ibkph2k9yi6F%2B0Vz7YoTjnDGhmGHGI7rhN%2B7P%2BtBXY%3D","Link")</f>
        <v>Link</v>
      </c>
      <c r="B1411" s="2" t="s">
        <v>4646</v>
      </c>
      <c r="C1411" s="2" t="s">
        <v>4638</v>
      </c>
      <c r="D1411" s="2" t="s">
        <v>4384</v>
      </c>
      <c r="E1411" s="2" t="s">
        <v>4647</v>
      </c>
      <c r="F1411" s="2"/>
      <c r="G1411" s="2" t="s">
        <v>9</v>
      </c>
      <c r="H1411" s="7"/>
      <c r="I1411" s="2" t="s">
        <v>9</v>
      </c>
      <c r="K1411" t="e">
        <v>#N/A</v>
      </c>
      <c r="L1411" s="2" t="s">
        <v>8631</v>
      </c>
      <c r="M1411" t="s">
        <v>8172</v>
      </c>
      <c r="N1411" s="4"/>
    </row>
    <row r="1412" spans="1:14" ht="39" x14ac:dyDescent="0.3">
      <c r="A1412" s="1" t="str">
        <f>HYPERLINK("https://ipmanager.doe.gov/IPManager//ExternalLink.aspx?6ibkph2k9yi6F%2B0Vz7YoTgZwfmYxrNyKmCa7DRRlGOw%3D","Link")</f>
        <v>Link</v>
      </c>
      <c r="B1412" s="2" t="s">
        <v>4648</v>
      </c>
      <c r="C1412" s="2" t="s">
        <v>4638</v>
      </c>
      <c r="D1412" s="2" t="s">
        <v>4384</v>
      </c>
      <c r="E1412" s="2" t="s">
        <v>4649</v>
      </c>
      <c r="F1412" s="2"/>
      <c r="G1412" s="2" t="s">
        <v>9</v>
      </c>
      <c r="H1412" s="7"/>
      <c r="I1412" s="2" t="s">
        <v>9</v>
      </c>
      <c r="K1412" t="e">
        <v>#N/A</v>
      </c>
      <c r="L1412" s="2" t="s">
        <v>8631</v>
      </c>
      <c r="M1412" t="s">
        <v>8172</v>
      </c>
      <c r="N1412" s="4"/>
    </row>
    <row r="1413" spans="1:14" ht="26" x14ac:dyDescent="0.3">
      <c r="A1413" s="1" t="str">
        <f>HYPERLINK("https://ipmanager.doe.gov/IPManager//ExternalLink.aspx?6ibkph2k9yi6F%2B0Vz7YoTjnDGhmGHGI7xOCmP%2FAf%2Btk%3D","Link")</f>
        <v>Link</v>
      </c>
      <c r="B1413" s="2" t="s">
        <v>4650</v>
      </c>
      <c r="C1413" s="2" t="s">
        <v>4638</v>
      </c>
      <c r="D1413" s="2" t="s">
        <v>4384</v>
      </c>
      <c r="E1413" s="2" t="s">
        <v>4651</v>
      </c>
      <c r="F1413" s="2"/>
      <c r="G1413" s="2" t="s">
        <v>9</v>
      </c>
      <c r="H1413" s="7"/>
      <c r="I1413" s="2" t="s">
        <v>9</v>
      </c>
      <c r="K1413" t="e">
        <v>#N/A</v>
      </c>
      <c r="L1413" s="2" t="s">
        <v>8631</v>
      </c>
      <c r="M1413" t="s">
        <v>8172</v>
      </c>
      <c r="N1413" s="4"/>
    </row>
    <row r="1414" spans="1:14" ht="52" x14ac:dyDescent="0.3">
      <c r="A1414" s="1" t="str">
        <f>HYPERLINK("https://ipmanager.doe.gov/IPManager//ExternalLink.aspx?6ibkph2k9yi6F%2B0Vz7YoTjnDGhmGHGI7592cuZsgQ9s%3D","Link")</f>
        <v>Link</v>
      </c>
      <c r="B1414" s="2" t="s">
        <v>4655</v>
      </c>
      <c r="C1414" s="2" t="s">
        <v>4656</v>
      </c>
      <c r="D1414" s="2" t="s">
        <v>4657</v>
      </c>
      <c r="E1414" s="2" t="s">
        <v>4658</v>
      </c>
      <c r="F1414" s="2" t="s">
        <v>4659</v>
      </c>
      <c r="G1414" s="2" t="s">
        <v>4660</v>
      </c>
      <c r="H1414" s="7"/>
      <c r="I1414" s="2" t="s">
        <v>9</v>
      </c>
      <c r="K1414" t="e">
        <v>#N/A</v>
      </c>
      <c r="L1414" s="2" t="s">
        <v>8632</v>
      </c>
      <c r="M1414" t="s">
        <v>8173</v>
      </c>
      <c r="N1414" s="4"/>
    </row>
    <row r="1415" spans="1:14" ht="52" x14ac:dyDescent="0.3">
      <c r="A1415" s="1" t="str">
        <f>HYPERLINK("https://ipmanager.doe.gov/IPManager//ExternalLink.aspx?6ibkph2k9yi6F%2B0Vz7YoTjnDGhmGHGI7T1vLd8YeQ6g%3D","Link")</f>
        <v>Link</v>
      </c>
      <c r="B1415" s="2" t="s">
        <v>4665</v>
      </c>
      <c r="C1415" s="2" t="s">
        <v>4662</v>
      </c>
      <c r="D1415" s="2" t="s">
        <v>1995</v>
      </c>
      <c r="E1415" s="2" t="s">
        <v>4666</v>
      </c>
      <c r="F1415" s="2"/>
      <c r="G1415" s="2" t="s">
        <v>9</v>
      </c>
      <c r="H1415" s="7"/>
      <c r="I1415" s="2" t="s">
        <v>9</v>
      </c>
      <c r="K1415" t="e">
        <v>#N/A</v>
      </c>
      <c r="L1415" s="2" t="s">
        <v>8633</v>
      </c>
      <c r="M1415" t="s">
        <v>8174</v>
      </c>
      <c r="N1415" s="4"/>
    </row>
    <row r="1416" spans="1:14" ht="39" x14ac:dyDescent="0.3">
      <c r="A1416" s="1" t="str">
        <f>HYPERLINK("https://ipmanager.doe.gov/IPManager//ExternalLink.aspx?6ibkph2k9yi6F%2B0Vz7YoTr7J5I%2BY4foYOGcjwXd%2FvDU%3D","Link")</f>
        <v>Link</v>
      </c>
      <c r="B1416" s="2" t="s">
        <v>4661</v>
      </c>
      <c r="C1416" s="2" t="s">
        <v>4662</v>
      </c>
      <c r="D1416" s="2" t="s">
        <v>1995</v>
      </c>
      <c r="E1416" s="2" t="s">
        <v>4663</v>
      </c>
      <c r="F1416" s="2" t="s">
        <v>4664</v>
      </c>
      <c r="G1416" s="2" t="s">
        <v>98</v>
      </c>
      <c r="H1416" s="7"/>
      <c r="I1416" s="2" t="s">
        <v>9</v>
      </c>
      <c r="K1416" t="e">
        <v>#N/A</v>
      </c>
      <c r="L1416" s="2" t="s">
        <v>8633</v>
      </c>
      <c r="M1416" t="s">
        <v>8174</v>
      </c>
      <c r="N1416" s="4"/>
    </row>
    <row r="1417" spans="1:14" ht="26" x14ac:dyDescent="0.3">
      <c r="A1417" s="1" t="str">
        <f>HYPERLINK("https://ipmanager.doe.gov/IPManager//ExternalLink.aspx?6ibkph2k9yi6F%2B0Vz7YoTp68px7nSN2gPP2%2BeSazTAg%3D","Link")</f>
        <v>Link</v>
      </c>
      <c r="B1417" s="2" t="s">
        <v>4677</v>
      </c>
      <c r="C1417" s="2" t="s">
        <v>4668</v>
      </c>
      <c r="D1417" s="2" t="s">
        <v>3020</v>
      </c>
      <c r="E1417" s="2" t="s">
        <v>4678</v>
      </c>
      <c r="F1417" s="2" t="s">
        <v>4679</v>
      </c>
      <c r="G1417" s="2" t="s">
        <v>4680</v>
      </c>
      <c r="H1417" s="7"/>
      <c r="I1417" s="2" t="s">
        <v>9</v>
      </c>
      <c r="K1417" t="e">
        <v>#N/A</v>
      </c>
      <c r="L1417" s="2" t="s">
        <v>8634</v>
      </c>
      <c r="M1417" t="s">
        <v>8175</v>
      </c>
      <c r="N1417" s="4"/>
    </row>
    <row r="1418" spans="1:14" ht="26" x14ac:dyDescent="0.3">
      <c r="A1418" s="1" t="str">
        <f>HYPERLINK("https://ipmanager.doe.gov/IPManager//ExternalLink.aspx?6ibkph2k9yi6F%2B0Vz7YoTjnDGhmGHGI73Lyy1Ck8oOU%3D","Link")</f>
        <v>Link</v>
      </c>
      <c r="B1418" s="2" t="s">
        <v>4667</v>
      </c>
      <c r="C1418" s="2" t="s">
        <v>4668</v>
      </c>
      <c r="D1418" s="2" t="s">
        <v>1793</v>
      </c>
      <c r="E1418" s="2" t="s">
        <v>4669</v>
      </c>
      <c r="F1418" s="2"/>
      <c r="G1418" s="2" t="s">
        <v>9</v>
      </c>
      <c r="H1418" s="7"/>
      <c r="I1418" s="2" t="s">
        <v>9</v>
      </c>
      <c r="K1418" t="e">
        <v>#N/A</v>
      </c>
      <c r="L1418" s="2" t="s">
        <v>8634</v>
      </c>
      <c r="M1418" t="s">
        <v>8175</v>
      </c>
      <c r="N1418" s="4"/>
    </row>
    <row r="1419" spans="1:14" ht="52" x14ac:dyDescent="0.3">
      <c r="A1419" s="1" t="str">
        <f>HYPERLINK("https://ipmanager.doe.gov/IPManager//ExternalLink.aspx?6ibkph2k9yi6F%2B0Vz7YoTjnDGhmGHGI7aZspW32wk0g%3D","Link")</f>
        <v>Link</v>
      </c>
      <c r="B1419" s="2" t="s">
        <v>4670</v>
      </c>
      <c r="C1419" s="2" t="s">
        <v>4668</v>
      </c>
      <c r="D1419" s="2" t="s">
        <v>3020</v>
      </c>
      <c r="E1419" s="2" t="s">
        <v>4671</v>
      </c>
      <c r="F1419" s="2" t="s">
        <v>4672</v>
      </c>
      <c r="G1419" s="2" t="s">
        <v>1562</v>
      </c>
      <c r="H1419" s="7" t="s">
        <v>4673</v>
      </c>
      <c r="I1419" s="2" t="s">
        <v>4674</v>
      </c>
      <c r="K1419" t="e">
        <v>#N/A</v>
      </c>
      <c r="L1419" s="2" t="s">
        <v>8634</v>
      </c>
      <c r="M1419" t="s">
        <v>8175</v>
      </c>
    </row>
    <row r="1420" spans="1:14" ht="39" x14ac:dyDescent="0.3">
      <c r="A1420" s="1" t="str">
        <f>HYPERLINK("https://ipmanager.doe.gov/IPManager//ExternalLink.aspx?6ibkph2k9yi6F%2B0Vz7YoTo7DPLa3%2F%2FGgRLECxx0D%2Fjc%3D","Link")</f>
        <v>Link</v>
      </c>
      <c r="B1420" s="2" t="s">
        <v>4675</v>
      </c>
      <c r="C1420" s="2" t="s">
        <v>4668</v>
      </c>
      <c r="D1420" s="2" t="s">
        <v>1793</v>
      </c>
      <c r="E1420" s="2" t="s">
        <v>4676</v>
      </c>
      <c r="F1420" s="2"/>
      <c r="G1420" s="2" t="s">
        <v>9</v>
      </c>
      <c r="H1420" s="7"/>
      <c r="I1420" s="2" t="s">
        <v>9</v>
      </c>
      <c r="K1420" t="e">
        <v>#N/A</v>
      </c>
      <c r="L1420" s="2" t="s">
        <v>8634</v>
      </c>
      <c r="M1420" t="s">
        <v>8175</v>
      </c>
      <c r="N1420" s="4"/>
    </row>
    <row r="1421" spans="1:14" ht="39" x14ac:dyDescent="0.3">
      <c r="A1421" s="1" t="str">
        <f>HYPERLINK("https://ipmanager.doe.gov/IPManager//ExternalLink.aspx?6ibkph2k9yi6F%2B0Vz7YoTo7DPLa3%2F%2FGgeyOQrzjtaMw%3D","Link")</f>
        <v>Link</v>
      </c>
      <c r="B1421" s="2" t="s">
        <v>4681</v>
      </c>
      <c r="C1421" s="2" t="s">
        <v>4682</v>
      </c>
      <c r="D1421" s="2" t="s">
        <v>4683</v>
      </c>
      <c r="E1421" s="2" t="s">
        <v>4684</v>
      </c>
      <c r="F1421" s="2" t="s">
        <v>4685</v>
      </c>
      <c r="G1421" s="2" t="s">
        <v>3732</v>
      </c>
      <c r="H1421" s="2"/>
      <c r="I1421" s="2" t="s">
        <v>9</v>
      </c>
      <c r="K1421" t="e">
        <v>#N/A</v>
      </c>
      <c r="L1421" s="2" t="s">
        <v>8635</v>
      </c>
      <c r="M1421" t="s">
        <v>8176</v>
      </c>
      <c r="N1421" s="4"/>
    </row>
    <row r="1422" spans="1:14" ht="39" x14ac:dyDescent="0.3">
      <c r="A1422" s="1" t="str">
        <f>HYPERLINK("https://ipmanager.doe.gov/IPManager//ExternalLink.aspx?6ibkph2k9yi6F%2B0Vz7YoTjnDGhmGHGI7kSUj3KIzAdA%3D","Link")</f>
        <v>Link</v>
      </c>
      <c r="B1422" s="2" t="s">
        <v>4686</v>
      </c>
      <c r="C1422" s="2" t="s">
        <v>4682</v>
      </c>
      <c r="D1422" s="2" t="s">
        <v>4683</v>
      </c>
      <c r="E1422" s="2" t="s">
        <v>4687</v>
      </c>
      <c r="F1422" s="2" t="s">
        <v>4688</v>
      </c>
      <c r="G1422" s="2" t="s">
        <v>4689</v>
      </c>
      <c r="H1422" s="2"/>
      <c r="I1422" s="2" t="s">
        <v>9</v>
      </c>
      <c r="K1422" t="e">
        <v>#N/A</v>
      </c>
      <c r="L1422" s="2" t="s">
        <v>8635</v>
      </c>
      <c r="M1422" t="s">
        <v>8176</v>
      </c>
      <c r="N1422" s="4"/>
    </row>
    <row r="1423" spans="1:14" ht="26" x14ac:dyDescent="0.3">
      <c r="A1423" s="1" t="str">
        <f>HYPERLINK("https://ipmanager.doe.gov/IPManager//ExternalLink.aspx?6ibkph2k9yi6F%2B0Vz7YoTo7DPLa3%2F%2FGgi%2FqjPemrK8A%3D","Link")</f>
        <v>Link</v>
      </c>
      <c r="B1423" s="2" t="s">
        <v>4690</v>
      </c>
      <c r="C1423" s="2" t="s">
        <v>4691</v>
      </c>
      <c r="D1423" s="2" t="s">
        <v>1891</v>
      </c>
      <c r="E1423" s="2" t="s">
        <v>4692</v>
      </c>
      <c r="F1423" s="2" t="s">
        <v>4693</v>
      </c>
      <c r="G1423" s="2" t="s">
        <v>1217</v>
      </c>
      <c r="H1423" s="7"/>
      <c r="I1423" s="2" t="s">
        <v>9</v>
      </c>
      <c r="J1423" t="s">
        <v>4693</v>
      </c>
      <c r="K1423" t="s">
        <v>7767</v>
      </c>
      <c r="L1423" s="2" t="s">
        <v>8636</v>
      </c>
      <c r="M1423" t="s">
        <v>8177</v>
      </c>
      <c r="N1423" s="4"/>
    </row>
    <row r="1424" spans="1:14" ht="26" x14ac:dyDescent="0.3">
      <c r="A1424" s="1" t="str">
        <f>HYPERLINK("https://ipmanager.doe.gov/IPManager//ExternalLink.aspx?6ibkph2k9yi6F%2B0Vz7YoTo7DPLa3%2F%2FGg1OyHYMC0KgY%3D","Link")</f>
        <v>Link</v>
      </c>
      <c r="B1424" s="2" t="s">
        <v>4695</v>
      </c>
      <c r="C1424" s="2" t="s">
        <v>4691</v>
      </c>
      <c r="D1424" s="2" t="s">
        <v>1891</v>
      </c>
      <c r="E1424" s="2" t="s">
        <v>4692</v>
      </c>
      <c r="F1424" s="2" t="s">
        <v>4694</v>
      </c>
      <c r="G1424" s="2" t="s">
        <v>4696</v>
      </c>
      <c r="H1424" s="7"/>
      <c r="I1424" s="2" t="s">
        <v>9</v>
      </c>
      <c r="K1424" t="e">
        <v>#N/A</v>
      </c>
      <c r="L1424" s="2" t="s">
        <v>8636</v>
      </c>
      <c r="M1424" t="s">
        <v>8177</v>
      </c>
      <c r="N1424" s="4"/>
    </row>
    <row r="1425" spans="1:14" ht="26" x14ac:dyDescent="0.3">
      <c r="A1425" s="1" t="str">
        <f>HYPERLINK("https://ipmanager.doe.gov/IPManager//ExternalLink.aspx?6ibkph2k9yi6F%2B0Vz7YoTr7J5I%2BY4foYa5m5g5j%2BilE%3D","Link")</f>
        <v>Link</v>
      </c>
      <c r="B1425" s="2" t="s">
        <v>4710</v>
      </c>
      <c r="C1425" s="2" t="s">
        <v>4698</v>
      </c>
      <c r="D1425" s="2" t="s">
        <v>1901</v>
      </c>
      <c r="E1425" s="2" t="s">
        <v>4711</v>
      </c>
      <c r="F1425" s="2"/>
      <c r="G1425" s="2" t="s">
        <v>9</v>
      </c>
      <c r="H1425" s="7"/>
      <c r="I1425" s="2" t="s">
        <v>9</v>
      </c>
      <c r="K1425" t="e">
        <v>#N/A</v>
      </c>
      <c r="L1425" s="2" t="e">
        <v>#N/A</v>
      </c>
      <c r="M1425" t="e">
        <v>#N/A</v>
      </c>
      <c r="N1425" s="4"/>
    </row>
    <row r="1426" spans="1:14" ht="26" x14ac:dyDescent="0.3">
      <c r="A1426" s="1" t="str">
        <f>HYPERLINK("https://ipmanager.doe.gov/IPManager//ExternalLink.aspx?6ibkph2k9yi6F%2B0Vz7YoTgZwfmYxrNyKVL8csW3l%2FCg%3D","Link")</f>
        <v>Link</v>
      </c>
      <c r="B1426" s="2" t="s">
        <v>4712</v>
      </c>
      <c r="C1426" s="2" t="s">
        <v>4698</v>
      </c>
      <c r="D1426" s="2" t="s">
        <v>1901</v>
      </c>
      <c r="E1426" s="2" t="s">
        <v>4713</v>
      </c>
      <c r="F1426" s="2"/>
      <c r="G1426" s="2" t="s">
        <v>9</v>
      </c>
      <c r="H1426" s="7"/>
      <c r="I1426" s="2" t="s">
        <v>9</v>
      </c>
      <c r="K1426" t="e">
        <v>#N/A</v>
      </c>
      <c r="L1426" s="2" t="e">
        <v>#N/A</v>
      </c>
      <c r="M1426" t="e">
        <v>#N/A</v>
      </c>
      <c r="N1426" s="4"/>
    </row>
    <row r="1427" spans="1:14" ht="65" x14ac:dyDescent="0.3">
      <c r="A1427" s="1" t="str">
        <f>HYPERLINK("https://ipmanager.doe.gov/IPManager//ExternalLink.aspx?6ibkph2k9yi6F%2B0Vz7YoTr7J5I%2BY4foY310lrZjA4QE%3D","Link")</f>
        <v>Link</v>
      </c>
      <c r="B1427" s="2" t="s">
        <v>4714</v>
      </c>
      <c r="C1427" s="2" t="s">
        <v>4698</v>
      </c>
      <c r="D1427" s="2" t="s">
        <v>1901</v>
      </c>
      <c r="E1427" s="2" t="s">
        <v>4715</v>
      </c>
      <c r="F1427" s="2"/>
      <c r="G1427" s="2" t="s">
        <v>9</v>
      </c>
      <c r="H1427" s="7"/>
      <c r="I1427" s="2" t="s">
        <v>9</v>
      </c>
      <c r="K1427" t="e">
        <v>#N/A</v>
      </c>
      <c r="L1427" s="2" t="e">
        <v>#N/A</v>
      </c>
      <c r="M1427" t="e">
        <v>#N/A</v>
      </c>
      <c r="N1427" s="4"/>
    </row>
    <row r="1428" spans="1:14" ht="39" x14ac:dyDescent="0.3">
      <c r="A1428" s="1" t="str">
        <f>HYPERLINK("https://ipmanager.doe.gov/IPManager//ExternalLink.aspx?6ibkph2k9yi6F%2B0Vz7YoTo7DPLa3%2F%2FGgP%2FhTfeybSPY%3D","Link")</f>
        <v>Link</v>
      </c>
      <c r="B1428" s="2" t="s">
        <v>4697</v>
      </c>
      <c r="C1428" s="2" t="s">
        <v>4698</v>
      </c>
      <c r="D1428" s="2" t="s">
        <v>1901</v>
      </c>
      <c r="E1428" s="2" t="s">
        <v>4699</v>
      </c>
      <c r="F1428" s="2" t="s">
        <v>4700</v>
      </c>
      <c r="G1428" s="2" t="s">
        <v>916</v>
      </c>
      <c r="H1428" s="7"/>
      <c r="I1428" s="2" t="s">
        <v>9</v>
      </c>
      <c r="K1428" t="e">
        <v>#N/A</v>
      </c>
      <c r="L1428" s="2" t="e">
        <v>#N/A</v>
      </c>
      <c r="M1428" t="e">
        <v>#N/A</v>
      </c>
      <c r="N1428" s="4"/>
    </row>
    <row r="1429" spans="1:14" ht="39" x14ac:dyDescent="0.3">
      <c r="A1429" s="1" t="str">
        <f>HYPERLINK("https://ipmanager.doe.gov/IPManager//ExternalLink.aspx?6ibkph2k9yi6F%2B0Vz7YoTjnDGhmGHGI7OjMD8MnOoAw%3D","Link")</f>
        <v>Link</v>
      </c>
      <c r="B1429" s="2" t="s">
        <v>4701</v>
      </c>
      <c r="C1429" s="2" t="s">
        <v>4698</v>
      </c>
      <c r="D1429" s="2" t="s">
        <v>1901</v>
      </c>
      <c r="E1429" s="2" t="s">
        <v>4699</v>
      </c>
      <c r="F1429" s="2" t="s">
        <v>4700</v>
      </c>
      <c r="G1429" s="2" t="s">
        <v>916</v>
      </c>
      <c r="H1429" s="7"/>
      <c r="I1429" s="2" t="s">
        <v>9</v>
      </c>
      <c r="K1429" t="e">
        <v>#N/A</v>
      </c>
      <c r="L1429" s="2" t="e">
        <v>#N/A</v>
      </c>
      <c r="M1429" t="e">
        <v>#N/A</v>
      </c>
      <c r="N1429" s="4"/>
    </row>
    <row r="1430" spans="1:14" ht="39" x14ac:dyDescent="0.3">
      <c r="A1430" s="1" t="str">
        <f>HYPERLINK("https://ipmanager.doe.gov/IPManager//ExternalLink.aspx?6ibkph2k9yi6F%2B0Vz7YoTvPUg%2FVZPl3id1Yk7bmfbtY%3D","Link")</f>
        <v>Link</v>
      </c>
      <c r="B1430" s="2" t="s">
        <v>4702</v>
      </c>
      <c r="C1430" s="2" t="s">
        <v>4698</v>
      </c>
      <c r="D1430" s="2" t="s">
        <v>1901</v>
      </c>
      <c r="E1430" s="2" t="s">
        <v>4703</v>
      </c>
      <c r="F1430" s="2" t="s">
        <v>4704</v>
      </c>
      <c r="G1430" s="2" t="s">
        <v>4705</v>
      </c>
      <c r="H1430" s="7"/>
      <c r="I1430" s="2" t="s">
        <v>9</v>
      </c>
      <c r="K1430" t="e">
        <v>#N/A</v>
      </c>
      <c r="L1430" s="2" t="e">
        <v>#N/A</v>
      </c>
      <c r="M1430" t="e">
        <v>#N/A</v>
      </c>
      <c r="N1430" s="4"/>
    </row>
    <row r="1431" spans="1:14" ht="39" x14ac:dyDescent="0.3">
      <c r="A1431" s="1" t="str">
        <f>HYPERLINK("https://ipmanager.doe.gov/IPManager//ExternalLink.aspx?6ibkph2k9yi6F%2B0Vz7YoTr7J5I%2BY4foYTFbJKIxtbmk%3D","Link")</f>
        <v>Link</v>
      </c>
      <c r="B1431" s="2" t="s">
        <v>4706</v>
      </c>
      <c r="C1431" s="2" t="s">
        <v>4698</v>
      </c>
      <c r="D1431" s="2" t="s">
        <v>1901</v>
      </c>
      <c r="E1431" s="2" t="s">
        <v>4707</v>
      </c>
      <c r="F1431" s="2" t="s">
        <v>4708</v>
      </c>
      <c r="G1431" s="2" t="s">
        <v>4709</v>
      </c>
      <c r="H1431" s="7"/>
      <c r="I1431" s="2" t="s">
        <v>9</v>
      </c>
      <c r="K1431" t="e">
        <v>#N/A</v>
      </c>
      <c r="L1431" s="2" t="e">
        <v>#N/A</v>
      </c>
      <c r="M1431" t="e">
        <v>#N/A</v>
      </c>
      <c r="N1431" s="4"/>
    </row>
    <row r="1432" spans="1:14" ht="39" x14ac:dyDescent="0.3">
      <c r="A1432" s="1" t="str">
        <f>HYPERLINK("https://ipmanager.doe.gov/IPManager//ExternalLink.aspx?6ibkph2k9yi6F%2B0Vz7YoTjnDGhmGHGI7apbJHM095K0%3D","Link")</f>
        <v>Link</v>
      </c>
      <c r="B1432" s="2" t="s">
        <v>4717</v>
      </c>
      <c r="C1432" s="2" t="s">
        <v>4718</v>
      </c>
      <c r="D1432" s="2" t="s">
        <v>4719</v>
      </c>
      <c r="E1432" s="2" t="s">
        <v>4720</v>
      </c>
      <c r="F1432" s="2" t="s">
        <v>4721</v>
      </c>
      <c r="G1432" s="2" t="s">
        <v>4722</v>
      </c>
      <c r="H1432" s="2"/>
      <c r="I1432" s="2" t="s">
        <v>9</v>
      </c>
      <c r="K1432" t="e">
        <v>#N/A</v>
      </c>
      <c r="L1432" s="2" t="s">
        <v>8637</v>
      </c>
      <c r="M1432" t="s">
        <v>8178</v>
      </c>
      <c r="N1432" s="4"/>
    </row>
    <row r="1433" spans="1:14" ht="39" x14ac:dyDescent="0.3">
      <c r="A1433" s="1" t="str">
        <f>HYPERLINK("https://ipmanager.doe.gov/IPManager//ExternalLink.aspx?6ibkph2k9yi6F%2B0Vz7YoTjnDGhmGHGI7HGlkWbVhcf8%3D","Link")</f>
        <v>Link</v>
      </c>
      <c r="B1433" s="2" t="s">
        <v>4753</v>
      </c>
      <c r="C1433" s="2" t="s">
        <v>4718</v>
      </c>
      <c r="D1433" s="2" t="s">
        <v>4719</v>
      </c>
      <c r="E1433" s="2" t="s">
        <v>4754</v>
      </c>
      <c r="F1433" s="2" t="s">
        <v>4755</v>
      </c>
      <c r="G1433" s="2" t="s">
        <v>2276</v>
      </c>
      <c r="H1433" s="2"/>
      <c r="I1433" s="2" t="s">
        <v>9</v>
      </c>
      <c r="K1433" t="e">
        <v>#N/A</v>
      </c>
      <c r="L1433" s="2" t="s">
        <v>8637</v>
      </c>
      <c r="M1433" t="s">
        <v>8178</v>
      </c>
      <c r="N1433" s="4"/>
    </row>
    <row r="1434" spans="1:14" ht="52" x14ac:dyDescent="0.3">
      <c r="A1434" s="1" t="str">
        <f>HYPERLINK("https://ipmanager.doe.gov/IPManager//ExternalLink.aspx?6ibkph2k9yi6F%2B0Vz7YoTjnDGhmGHGI7ygpINilo6Bw%3D","Link")</f>
        <v>Link</v>
      </c>
      <c r="B1434" s="2" t="s">
        <v>4759</v>
      </c>
      <c r="C1434" s="2" t="s">
        <v>4718</v>
      </c>
      <c r="D1434" s="2" t="s">
        <v>4719</v>
      </c>
      <c r="E1434" s="2" t="s">
        <v>4760</v>
      </c>
      <c r="F1434" s="2" t="s">
        <v>4761</v>
      </c>
      <c r="G1434" s="2" t="s">
        <v>2650</v>
      </c>
      <c r="H1434" s="2"/>
      <c r="I1434" s="2" t="s">
        <v>9</v>
      </c>
      <c r="K1434" t="e">
        <v>#N/A</v>
      </c>
      <c r="L1434" s="2" t="s">
        <v>8637</v>
      </c>
      <c r="M1434" t="s">
        <v>8178</v>
      </c>
      <c r="N1434" s="4"/>
    </row>
    <row r="1435" spans="1:14" ht="39" x14ac:dyDescent="0.3">
      <c r="A1435" s="1" t="str">
        <f>HYPERLINK("https://ipmanager.doe.gov/IPManager//ExternalLink.aspx?6ibkph2k9yi6F%2B0Vz7YoTvPUg%2FVZPl3ir3fLiAA%2Fn4Q%3D","Link")</f>
        <v>Link</v>
      </c>
      <c r="B1435" s="2" t="s">
        <v>4723</v>
      </c>
      <c r="C1435" s="2" t="s">
        <v>4718</v>
      </c>
      <c r="D1435" s="2" t="s">
        <v>4719</v>
      </c>
      <c r="E1435" s="2" t="s">
        <v>4724</v>
      </c>
      <c r="F1435" s="2" t="s">
        <v>7643</v>
      </c>
      <c r="G1435" s="2" t="s">
        <v>4725</v>
      </c>
      <c r="H1435" s="8">
        <v>9859531</v>
      </c>
      <c r="I1435" s="2" t="s">
        <v>1346</v>
      </c>
      <c r="K1435" t="e">
        <v>#N/A</v>
      </c>
      <c r="L1435" s="2" t="s">
        <v>8637</v>
      </c>
      <c r="M1435" t="s">
        <v>8178</v>
      </c>
    </row>
    <row r="1436" spans="1:14" ht="65" x14ac:dyDescent="0.3">
      <c r="A1436" s="1" t="str">
        <f>HYPERLINK("https://ipmanager.doe.gov/IPManager//ExternalLink.aspx?6ibkph2k9yi6F%2B0Vz7YoTkqAgjuWMa9QNT5OXpQTPAc%3D","Link")</f>
        <v>Link</v>
      </c>
      <c r="B1436" s="2" t="s">
        <v>4726</v>
      </c>
      <c r="C1436" s="2" t="s">
        <v>4718</v>
      </c>
      <c r="D1436" s="2" t="s">
        <v>4719</v>
      </c>
      <c r="E1436" s="2" t="s">
        <v>4727</v>
      </c>
      <c r="F1436" s="2"/>
      <c r="G1436" s="2" t="s">
        <v>9</v>
      </c>
      <c r="H1436" s="7"/>
      <c r="I1436" s="2" t="s">
        <v>9</v>
      </c>
      <c r="K1436" t="e">
        <v>#N/A</v>
      </c>
      <c r="L1436" s="2" t="s">
        <v>8637</v>
      </c>
      <c r="M1436" t="s">
        <v>8178</v>
      </c>
      <c r="N1436" s="4"/>
    </row>
    <row r="1437" spans="1:14" ht="39" x14ac:dyDescent="0.3">
      <c r="A1437" s="1" t="str">
        <f>HYPERLINK("https://ipmanager.doe.gov/IPManager//ExternalLink.aspx?6ibkph2k9yi6F%2B0Vz7YoTjnDGhmGHGI7GzYc4LaNCeE%3D","Link")</f>
        <v>Link</v>
      </c>
      <c r="B1437" s="2" t="s">
        <v>4728</v>
      </c>
      <c r="C1437" s="2" t="s">
        <v>4718</v>
      </c>
      <c r="D1437" s="2" t="s">
        <v>4719</v>
      </c>
      <c r="E1437" s="2" t="s">
        <v>4729</v>
      </c>
      <c r="F1437" s="2" t="s">
        <v>4730</v>
      </c>
      <c r="G1437" s="2" t="s">
        <v>4731</v>
      </c>
      <c r="H1437" s="7" t="s">
        <v>4732</v>
      </c>
      <c r="I1437" s="2" t="s">
        <v>4733</v>
      </c>
      <c r="K1437" t="e">
        <v>#N/A</v>
      </c>
      <c r="L1437" s="2" t="s">
        <v>8637</v>
      </c>
      <c r="M1437" t="s">
        <v>8178</v>
      </c>
    </row>
    <row r="1438" spans="1:14" ht="39" x14ac:dyDescent="0.3">
      <c r="A1438" s="1" t="str">
        <f>HYPERLINK("https://ipmanager.doe.gov/IPManager//ExternalLink.aspx?6ibkph2k9yi6F%2B0Vz7YoTjnDGhmGHGI7PZLn3x%2FC3uA%3D","Link")</f>
        <v>Link</v>
      </c>
      <c r="B1438" s="2" t="s">
        <v>4734</v>
      </c>
      <c r="C1438" s="2" t="s">
        <v>4718</v>
      </c>
      <c r="D1438" s="2" t="s">
        <v>4719</v>
      </c>
      <c r="E1438" s="2" t="s">
        <v>4735</v>
      </c>
      <c r="F1438" s="2"/>
      <c r="G1438" s="2" t="s">
        <v>9</v>
      </c>
      <c r="H1438" s="7"/>
      <c r="I1438" s="2" t="s">
        <v>9</v>
      </c>
      <c r="K1438" t="e">
        <v>#N/A</v>
      </c>
      <c r="L1438" s="2" t="s">
        <v>8637</v>
      </c>
      <c r="M1438" t="s">
        <v>8178</v>
      </c>
      <c r="N1438" s="4"/>
    </row>
    <row r="1439" spans="1:14" ht="39" x14ac:dyDescent="0.3">
      <c r="A1439" s="1" t="str">
        <f>HYPERLINK("https://ipmanager.doe.gov/IPManager//ExternalLink.aspx?6ibkph2k9yi6F%2B0Vz7YoTjnDGhmGHGI7aqaya2fC%2F4Y%3D","Link")</f>
        <v>Link</v>
      </c>
      <c r="B1439" s="2" t="s">
        <v>4736</v>
      </c>
      <c r="C1439" s="2" t="s">
        <v>4718</v>
      </c>
      <c r="D1439" s="2" t="s">
        <v>4719</v>
      </c>
      <c r="E1439" s="2" t="s">
        <v>4737</v>
      </c>
      <c r="F1439" s="2"/>
      <c r="G1439" s="2" t="s">
        <v>9</v>
      </c>
      <c r="H1439" s="7"/>
      <c r="I1439" s="2" t="s">
        <v>9</v>
      </c>
      <c r="K1439" t="e">
        <v>#N/A</v>
      </c>
      <c r="L1439" s="2" t="s">
        <v>8637</v>
      </c>
      <c r="M1439" t="s">
        <v>8178</v>
      </c>
      <c r="N1439" s="4"/>
    </row>
    <row r="1440" spans="1:14" ht="39" x14ac:dyDescent="0.3">
      <c r="A1440" s="1" t="str">
        <f>HYPERLINK("https://ipmanager.doe.gov/IPManager//ExternalLink.aspx?6ibkph2k9yi6F%2B0Vz7YoTjnDGhmGHGI7wk6%2FcC21kuo%3D","Link")</f>
        <v>Link</v>
      </c>
      <c r="B1440" s="2" t="s">
        <v>4738</v>
      </c>
      <c r="C1440" s="2" t="s">
        <v>4718</v>
      </c>
      <c r="D1440" s="2" t="s">
        <v>4719</v>
      </c>
      <c r="E1440" s="2" t="s">
        <v>4720</v>
      </c>
      <c r="F1440" s="2" t="s">
        <v>4739</v>
      </c>
      <c r="G1440" s="2" t="s">
        <v>4722</v>
      </c>
      <c r="H1440" s="7" t="s">
        <v>4740</v>
      </c>
      <c r="I1440" s="2" t="s">
        <v>4741</v>
      </c>
      <c r="K1440" t="e">
        <v>#N/A</v>
      </c>
      <c r="L1440" s="2" t="s">
        <v>8637</v>
      </c>
      <c r="M1440" t="s">
        <v>8178</v>
      </c>
    </row>
    <row r="1441" spans="1:14" ht="39" x14ac:dyDescent="0.3">
      <c r="A1441" s="1" t="str">
        <f>HYPERLINK("https://ipmanager.doe.gov/IPManager//ExternalLink.aspx?6ibkph2k9yi6F%2B0Vz7YoTjnDGhmGHGI7FCdRJY3fy%2F8%3D","Link")</f>
        <v>Link</v>
      </c>
      <c r="B1441" s="2" t="s">
        <v>4742</v>
      </c>
      <c r="C1441" s="2" t="s">
        <v>4718</v>
      </c>
      <c r="D1441" s="2" t="s">
        <v>4719</v>
      </c>
      <c r="E1441" s="2" t="s">
        <v>4743</v>
      </c>
      <c r="F1441" s="2"/>
      <c r="G1441" s="2" t="s">
        <v>9</v>
      </c>
      <c r="H1441" s="7"/>
      <c r="I1441" s="2" t="s">
        <v>9</v>
      </c>
      <c r="K1441" t="e">
        <v>#N/A</v>
      </c>
      <c r="L1441" s="2" t="s">
        <v>8637</v>
      </c>
      <c r="M1441" t="s">
        <v>8178</v>
      </c>
      <c r="N1441" s="4"/>
    </row>
    <row r="1442" spans="1:14" ht="26" x14ac:dyDescent="0.3">
      <c r="A1442" s="1" t="str">
        <f>HYPERLINK("https://ipmanager.doe.gov/IPManager//ExternalLink.aspx?6ibkph2k9yi6F%2B0Vz7YoTjnDGhmGHGI7wJRPYfF7DU0%3D","Link")</f>
        <v>Link</v>
      </c>
      <c r="B1442" s="2" t="s">
        <v>4744</v>
      </c>
      <c r="C1442" s="2" t="s">
        <v>4718</v>
      </c>
      <c r="D1442" s="2" t="s">
        <v>4719</v>
      </c>
      <c r="E1442" s="2" t="s">
        <v>4745</v>
      </c>
      <c r="F1442" s="2"/>
      <c r="G1442" s="2" t="s">
        <v>9</v>
      </c>
      <c r="H1442" s="7"/>
      <c r="I1442" s="2" t="s">
        <v>9</v>
      </c>
      <c r="K1442" t="e">
        <v>#N/A</v>
      </c>
      <c r="L1442" s="2" t="s">
        <v>8637</v>
      </c>
      <c r="M1442" t="s">
        <v>8178</v>
      </c>
      <c r="N1442" s="4"/>
    </row>
    <row r="1443" spans="1:14" ht="39" x14ac:dyDescent="0.3">
      <c r="A1443" s="1" t="str">
        <f>HYPERLINK("https://ipmanager.doe.gov/IPManager//ExternalLink.aspx?6ibkph2k9yi6F%2B0Vz7YoTjnDGhmGHGI7SVkCenAGmyY%3D","Link")</f>
        <v>Link</v>
      </c>
      <c r="B1443" s="2" t="s">
        <v>4746</v>
      </c>
      <c r="C1443" s="2" t="s">
        <v>4718</v>
      </c>
      <c r="D1443" s="2" t="s">
        <v>4719</v>
      </c>
      <c r="E1443" s="2" t="s">
        <v>4747</v>
      </c>
      <c r="F1443" s="2" t="s">
        <v>7644</v>
      </c>
      <c r="G1443" s="2" t="s">
        <v>284</v>
      </c>
      <c r="H1443" s="8">
        <v>9502715</v>
      </c>
      <c r="I1443" s="2" t="s">
        <v>4071</v>
      </c>
      <c r="K1443" t="e">
        <v>#N/A</v>
      </c>
      <c r="L1443" s="2" t="s">
        <v>8637</v>
      </c>
      <c r="M1443" t="s">
        <v>8178</v>
      </c>
    </row>
    <row r="1444" spans="1:14" ht="52" x14ac:dyDescent="0.3">
      <c r="A1444" s="1" t="str">
        <f>HYPERLINK("https://ipmanager.doe.gov/IPManager//ExternalLink.aspx?6ibkph2k9yi6F%2B0Vz7YoTjnDGhmGHGI7ry4uzB0UTPw%3D","Link")</f>
        <v>Link</v>
      </c>
      <c r="B1444" s="2" t="s">
        <v>4748</v>
      </c>
      <c r="C1444" s="2" t="s">
        <v>4718</v>
      </c>
      <c r="D1444" s="2" t="s">
        <v>4719</v>
      </c>
      <c r="E1444" s="2" t="s">
        <v>4749</v>
      </c>
      <c r="F1444" s="2" t="s">
        <v>7645</v>
      </c>
      <c r="G1444" s="2" t="s">
        <v>4401</v>
      </c>
      <c r="H1444" s="8">
        <v>9768445</v>
      </c>
      <c r="I1444" s="2" t="s">
        <v>4750</v>
      </c>
      <c r="K1444" t="e">
        <v>#N/A</v>
      </c>
      <c r="L1444" s="2" t="s">
        <v>8637</v>
      </c>
      <c r="M1444" t="s">
        <v>8178</v>
      </c>
    </row>
    <row r="1445" spans="1:14" ht="65" x14ac:dyDescent="0.3">
      <c r="A1445" s="1" t="str">
        <f>HYPERLINK("https://ipmanager.doe.gov/IPManager//ExternalLink.aspx?6ibkph2k9yi6F%2B0Vz7YoTjnDGhmGHGI7yERkuFwAMHI%3D","Link")</f>
        <v>Link</v>
      </c>
      <c r="B1445" s="2" t="s">
        <v>4751</v>
      </c>
      <c r="C1445" s="2" t="s">
        <v>4718</v>
      </c>
      <c r="D1445" s="2" t="s">
        <v>4719</v>
      </c>
      <c r="E1445" s="2" t="s">
        <v>4752</v>
      </c>
      <c r="F1445" s="2"/>
      <c r="G1445" s="2" t="s">
        <v>9</v>
      </c>
      <c r="H1445" s="7"/>
      <c r="I1445" s="2" t="s">
        <v>9</v>
      </c>
      <c r="K1445" t="e">
        <v>#N/A</v>
      </c>
      <c r="L1445" s="2" t="s">
        <v>8637</v>
      </c>
      <c r="M1445" t="s">
        <v>8178</v>
      </c>
      <c r="N1445" s="4"/>
    </row>
    <row r="1446" spans="1:14" ht="39" x14ac:dyDescent="0.3">
      <c r="A1446" s="1" t="str">
        <f>HYPERLINK("https://ipmanager.doe.gov/IPManager//ExternalLink.aspx?6ibkph2k9yi6F%2B0Vz7YoTjnDGhmGHGI79OAwoXPAAfg%3D","Link")</f>
        <v>Link</v>
      </c>
      <c r="B1446" s="2" t="s">
        <v>4757</v>
      </c>
      <c r="C1446" s="2" t="s">
        <v>4718</v>
      </c>
      <c r="D1446" s="2" t="s">
        <v>4719</v>
      </c>
      <c r="E1446" s="2" t="s">
        <v>4758</v>
      </c>
      <c r="F1446" s="2"/>
      <c r="G1446" s="2" t="s">
        <v>9</v>
      </c>
      <c r="H1446" s="7"/>
      <c r="I1446" s="2" t="s">
        <v>9</v>
      </c>
      <c r="K1446" t="e">
        <v>#N/A</v>
      </c>
      <c r="L1446" s="2" t="s">
        <v>8637</v>
      </c>
      <c r="M1446" t="s">
        <v>8178</v>
      </c>
      <c r="N1446" s="4"/>
    </row>
    <row r="1447" spans="1:14" ht="52" x14ac:dyDescent="0.3">
      <c r="A1447" s="1" t="str">
        <f>HYPERLINK("https://ipmanager.doe.gov/IPManager//ExternalLink.aspx?6ibkph2k9yi6F%2B0Vz7YoTjnDGhmGHGI7y4r%2F%2BrJP72A%3D","Link")</f>
        <v>Link</v>
      </c>
      <c r="B1447" s="2" t="s">
        <v>4762</v>
      </c>
      <c r="C1447" s="2" t="s">
        <v>4763</v>
      </c>
      <c r="D1447" s="2" t="s">
        <v>1901</v>
      </c>
      <c r="E1447" s="2" t="s">
        <v>4764</v>
      </c>
      <c r="F1447" s="2"/>
      <c r="G1447" s="2" t="s">
        <v>9</v>
      </c>
      <c r="H1447" s="7"/>
      <c r="I1447" s="2" t="s">
        <v>9</v>
      </c>
      <c r="K1447" t="e">
        <v>#N/A</v>
      </c>
      <c r="L1447" s="2" t="s">
        <v>8638</v>
      </c>
      <c r="M1447" t="s">
        <v>8179</v>
      </c>
      <c r="N1447" s="4"/>
    </row>
    <row r="1448" spans="1:14" ht="65" x14ac:dyDescent="0.3">
      <c r="A1448" s="1" t="str">
        <f>HYPERLINK("https://ipmanager.doe.gov/IPManager//ExternalLink.aspx?6ibkph2k9yi6F%2B0Vz7YoTnXVN2REjGcWUPHM4pU3QVg%3D","Link")</f>
        <v>Link</v>
      </c>
      <c r="B1448" s="2" t="s">
        <v>4775</v>
      </c>
      <c r="C1448" s="2" t="s">
        <v>4763</v>
      </c>
      <c r="D1448" s="2" t="s">
        <v>1901</v>
      </c>
      <c r="E1448" s="2" t="s">
        <v>4776</v>
      </c>
      <c r="F1448" s="2"/>
      <c r="G1448" s="2" t="s">
        <v>9</v>
      </c>
      <c r="H1448" s="7"/>
      <c r="I1448" s="2" t="s">
        <v>9</v>
      </c>
      <c r="K1448" t="e">
        <v>#N/A</v>
      </c>
      <c r="L1448" s="2" t="s">
        <v>8638</v>
      </c>
      <c r="M1448" t="s">
        <v>8179</v>
      </c>
      <c r="N1448" s="4"/>
    </row>
    <row r="1449" spans="1:14" ht="52" x14ac:dyDescent="0.3">
      <c r="A1449" s="1" t="str">
        <f>HYPERLINK("https://ipmanager.doe.gov/IPManager//ExternalLink.aspx?6ibkph2k9yi6F%2B0Vz7YoTjnDGhmGHGI7vp9pMoqWQ8o%3D","Link")</f>
        <v>Link</v>
      </c>
      <c r="B1449" s="2" t="s">
        <v>4765</v>
      </c>
      <c r="C1449" s="2" t="s">
        <v>4763</v>
      </c>
      <c r="D1449" s="2" t="s">
        <v>1901</v>
      </c>
      <c r="E1449" s="2" t="s">
        <v>4766</v>
      </c>
      <c r="F1449" s="2" t="s">
        <v>4767</v>
      </c>
      <c r="G1449" s="2" t="s">
        <v>4768</v>
      </c>
      <c r="H1449" s="7"/>
      <c r="I1449" s="2" t="s">
        <v>9</v>
      </c>
      <c r="K1449" t="e">
        <v>#N/A</v>
      </c>
      <c r="L1449" s="2" t="s">
        <v>8638</v>
      </c>
      <c r="M1449" t="s">
        <v>8179</v>
      </c>
      <c r="N1449" s="4"/>
    </row>
    <row r="1450" spans="1:14" ht="52" x14ac:dyDescent="0.3">
      <c r="A1450" s="1" t="str">
        <f>HYPERLINK("https://ipmanager.doe.gov/IPManager//ExternalLink.aspx?6ibkph2k9yi6F%2B0Vz7YoTq6RR9BlGHHiUA7%2B3%2BAuYV4%3D","Link")</f>
        <v>Link</v>
      </c>
      <c r="B1450" s="2" t="s">
        <v>4769</v>
      </c>
      <c r="C1450" s="2" t="s">
        <v>4763</v>
      </c>
      <c r="D1450" s="2" t="s">
        <v>1901</v>
      </c>
      <c r="E1450" s="2" t="s">
        <v>4770</v>
      </c>
      <c r="F1450" s="2" t="s">
        <v>4771</v>
      </c>
      <c r="G1450" s="2" t="s">
        <v>2400</v>
      </c>
      <c r="H1450" s="7"/>
      <c r="I1450" s="2" t="s">
        <v>9</v>
      </c>
      <c r="K1450" t="e">
        <v>#N/A</v>
      </c>
      <c r="L1450" s="2" t="s">
        <v>8638</v>
      </c>
      <c r="M1450" t="s">
        <v>8179</v>
      </c>
      <c r="N1450" s="4"/>
    </row>
    <row r="1451" spans="1:14" ht="52" x14ac:dyDescent="0.3">
      <c r="A1451" s="1" t="str">
        <f>HYPERLINK("https://ipmanager.doe.gov/IPManager//ExternalLink.aspx?6ibkph2k9yi6F%2B0Vz7YoTvPUg%2FVZPl3irfvMrT%2FvC84%3D","Link")</f>
        <v>Link</v>
      </c>
      <c r="B1451" s="2" t="s">
        <v>4772</v>
      </c>
      <c r="C1451" s="2" t="s">
        <v>4763</v>
      </c>
      <c r="D1451" s="2" t="s">
        <v>1901</v>
      </c>
      <c r="E1451" s="2" t="s">
        <v>4770</v>
      </c>
      <c r="F1451" s="2" t="s">
        <v>4773</v>
      </c>
      <c r="G1451" s="2" t="s">
        <v>4774</v>
      </c>
      <c r="H1451" s="7"/>
      <c r="I1451" s="2" t="s">
        <v>9</v>
      </c>
      <c r="J1451" t="s">
        <v>4773</v>
      </c>
      <c r="K1451" t="s">
        <v>7949</v>
      </c>
      <c r="L1451" s="2" t="s">
        <v>8638</v>
      </c>
      <c r="M1451" t="s">
        <v>8179</v>
      </c>
      <c r="N1451" s="4"/>
    </row>
    <row r="1452" spans="1:14" ht="65" x14ac:dyDescent="0.3">
      <c r="A1452" s="1" t="str">
        <f>HYPERLINK("https://ipmanager.doe.gov/IPManager//ExternalLink.aspx?6ibkph2k9yi6F%2B0Vz7YoTnXVN2REjGcWGgv4FpxitQc%3D","Link")</f>
        <v>Link</v>
      </c>
      <c r="B1452" s="2" t="s">
        <v>4777</v>
      </c>
      <c r="C1452" s="2" t="s">
        <v>4763</v>
      </c>
      <c r="D1452" s="2" t="s">
        <v>1901</v>
      </c>
      <c r="E1452" s="2" t="s">
        <v>4778</v>
      </c>
      <c r="F1452" s="2" t="s">
        <v>4779</v>
      </c>
      <c r="G1452" s="2" t="s">
        <v>4780</v>
      </c>
      <c r="H1452" s="7"/>
      <c r="I1452" s="2" t="s">
        <v>9</v>
      </c>
      <c r="K1452" t="e">
        <v>#N/A</v>
      </c>
      <c r="L1452" s="2" t="s">
        <v>8638</v>
      </c>
      <c r="M1452" t="s">
        <v>8179</v>
      </c>
      <c r="N1452" s="4"/>
    </row>
    <row r="1453" spans="1:14" ht="52" x14ac:dyDescent="0.3">
      <c r="A1453" s="1" t="str">
        <f>HYPERLINK("https://ipmanager.doe.gov/IPManager//ExternalLink.aspx?6ibkph2k9yi6F%2B0Vz7YoTp68px7nSN2grj8l68zoKcc%3D","Link")</f>
        <v>Link</v>
      </c>
      <c r="B1453" s="2" t="s">
        <v>4781</v>
      </c>
      <c r="C1453" s="2" t="s">
        <v>4763</v>
      </c>
      <c r="D1453" s="2" t="s">
        <v>1901</v>
      </c>
      <c r="E1453" s="2" t="s">
        <v>4782</v>
      </c>
      <c r="F1453" s="2" t="s">
        <v>4783</v>
      </c>
      <c r="G1453" s="2" t="s">
        <v>4155</v>
      </c>
      <c r="H1453" s="7"/>
      <c r="I1453" s="2" t="s">
        <v>9</v>
      </c>
      <c r="K1453" t="e">
        <v>#N/A</v>
      </c>
      <c r="L1453" s="2" t="s">
        <v>8638</v>
      </c>
      <c r="M1453" t="s">
        <v>8179</v>
      </c>
      <c r="N1453" s="4"/>
    </row>
    <row r="1454" spans="1:14" ht="52" x14ac:dyDescent="0.3">
      <c r="A1454" s="1" t="str">
        <f>HYPERLINK("https://ipmanager.doe.gov/IPManager//ExternalLink.aspx?6ibkph2k9yi6F%2B0Vz7YoTvE8yjoHgvp6Mm%2BBQmlAmH0%3D","Link")</f>
        <v>Link</v>
      </c>
      <c r="B1454" s="2" t="s">
        <v>4786</v>
      </c>
      <c r="C1454" s="2" t="s">
        <v>4763</v>
      </c>
      <c r="D1454" s="2" t="s">
        <v>1901</v>
      </c>
      <c r="E1454" s="2" t="s">
        <v>4782</v>
      </c>
      <c r="F1454" s="2" t="s">
        <v>4787</v>
      </c>
      <c r="G1454" s="2" t="s">
        <v>4788</v>
      </c>
      <c r="H1454" s="7"/>
      <c r="I1454" s="2" t="s">
        <v>9</v>
      </c>
      <c r="J1454" t="s">
        <v>4787</v>
      </c>
      <c r="K1454" t="s">
        <v>7753</v>
      </c>
      <c r="L1454" s="2" t="s">
        <v>8638</v>
      </c>
      <c r="M1454" t="s">
        <v>8179</v>
      </c>
      <c r="N1454" s="4"/>
    </row>
    <row r="1455" spans="1:14" ht="52" x14ac:dyDescent="0.3">
      <c r="A1455" s="1" t="str">
        <f>HYPERLINK("https://ipmanager.doe.gov/IPManager//ExternalLink.aspx?6ibkph2k9yi6F%2B0Vz7YoTq6RR9BlGHHif5MRVxoPrCA%3D","Link")</f>
        <v>Link</v>
      </c>
      <c r="B1455" s="2" t="s">
        <v>4789</v>
      </c>
      <c r="C1455" s="2" t="s">
        <v>4763</v>
      </c>
      <c r="D1455" s="2" t="s">
        <v>1901</v>
      </c>
      <c r="E1455" s="2" t="s">
        <v>4790</v>
      </c>
      <c r="F1455" s="2" t="s">
        <v>4791</v>
      </c>
      <c r="G1455" s="2" t="s">
        <v>4792</v>
      </c>
      <c r="H1455" s="7"/>
      <c r="I1455" s="2" t="s">
        <v>9</v>
      </c>
      <c r="K1455" t="e">
        <v>#N/A</v>
      </c>
      <c r="L1455" s="2" t="s">
        <v>8638</v>
      </c>
      <c r="M1455" t="s">
        <v>8179</v>
      </c>
      <c r="N1455" s="4"/>
    </row>
    <row r="1456" spans="1:14" ht="52" x14ac:dyDescent="0.3">
      <c r="A1456" s="1" t="str">
        <f>HYPERLINK("https://ipmanager.doe.gov/IPManager//ExternalLink.aspx?6ibkph2k9yi6F%2B0Vz7YoTkqAgjuWMa9QDUED00FIFFk%3D","Link")</f>
        <v>Link</v>
      </c>
      <c r="B1456" s="2" t="s">
        <v>4793</v>
      </c>
      <c r="C1456" s="2" t="s">
        <v>4763</v>
      </c>
      <c r="D1456" s="2" t="s">
        <v>1901</v>
      </c>
      <c r="E1456" s="2" t="s">
        <v>4790</v>
      </c>
      <c r="F1456" s="2" t="s">
        <v>4784</v>
      </c>
      <c r="G1456" s="2" t="s">
        <v>2186</v>
      </c>
      <c r="H1456" s="7"/>
      <c r="I1456" s="2" t="s">
        <v>9</v>
      </c>
      <c r="J1456" t="s">
        <v>4784</v>
      </c>
      <c r="K1456" t="s">
        <v>7754</v>
      </c>
      <c r="L1456" s="2" t="s">
        <v>8638</v>
      </c>
      <c r="M1456" t="s">
        <v>8179</v>
      </c>
      <c r="N1456" s="4"/>
    </row>
    <row r="1457" spans="1:14" ht="26" x14ac:dyDescent="0.3">
      <c r="A1457" s="1" t="str">
        <f>HYPERLINK("https://ipmanager.doe.gov/IPManager//ExternalLink.aspx?6ibkph2k9yi6F%2B0Vz7YoTsTAnuFk5EoABfy64d%2FL5IY%3D","Link")</f>
        <v>Link</v>
      </c>
      <c r="B1457" s="2" t="s">
        <v>4799</v>
      </c>
      <c r="C1457" s="2" t="s">
        <v>4795</v>
      </c>
      <c r="D1457" s="2" t="s">
        <v>4796</v>
      </c>
      <c r="E1457" s="2" t="s">
        <v>4800</v>
      </c>
      <c r="F1457" s="2" t="s">
        <v>4801</v>
      </c>
      <c r="G1457" s="2" t="s">
        <v>2632</v>
      </c>
      <c r="H1457" s="2"/>
      <c r="I1457" s="2" t="s">
        <v>9</v>
      </c>
      <c r="K1457" t="e">
        <v>#N/A</v>
      </c>
      <c r="L1457" s="2" t="s">
        <v>8639</v>
      </c>
      <c r="M1457" t="s">
        <v>8180</v>
      </c>
      <c r="N1457" s="4"/>
    </row>
    <row r="1458" spans="1:14" ht="39" x14ac:dyDescent="0.3">
      <c r="A1458" s="1" t="str">
        <f>HYPERLINK("https://ipmanager.doe.gov/IPManager//ExternalLink.aspx?6ibkph2k9yi6F%2B0Vz7YoTsTAnuFk5EoAZA%2BzxeQsaO4%3D","Link")</f>
        <v>Link</v>
      </c>
      <c r="B1458" s="2" t="s">
        <v>4802</v>
      </c>
      <c r="C1458" s="2" t="s">
        <v>4795</v>
      </c>
      <c r="D1458" s="2" t="s">
        <v>4796</v>
      </c>
      <c r="E1458" s="2" t="s">
        <v>4803</v>
      </c>
      <c r="F1458" s="2" t="s">
        <v>4804</v>
      </c>
      <c r="G1458" s="2" t="s">
        <v>3103</v>
      </c>
      <c r="H1458" s="2"/>
      <c r="I1458" s="2" t="s">
        <v>9</v>
      </c>
      <c r="K1458" t="e">
        <v>#N/A</v>
      </c>
      <c r="L1458" s="2" t="s">
        <v>8639</v>
      </c>
      <c r="M1458" t="s">
        <v>8180</v>
      </c>
      <c r="N1458" s="4"/>
    </row>
    <row r="1459" spans="1:14" ht="39" x14ac:dyDescent="0.3">
      <c r="A1459" s="1" t="str">
        <f>HYPERLINK("https://ipmanager.doe.gov/IPManager//ExternalLink.aspx?6ibkph2k9yi6F%2B0Vz7YoTsTAnuFk5EoAj5CSf%2BWotiM%3D","Link")</f>
        <v>Link</v>
      </c>
      <c r="B1459" s="2" t="s">
        <v>4808</v>
      </c>
      <c r="C1459" s="2" t="s">
        <v>4795</v>
      </c>
      <c r="D1459" s="2" t="s">
        <v>4796</v>
      </c>
      <c r="E1459" s="2" t="s">
        <v>4803</v>
      </c>
      <c r="F1459" s="2" t="s">
        <v>4809</v>
      </c>
      <c r="G1459" s="2" t="s">
        <v>3103</v>
      </c>
      <c r="H1459" s="2"/>
      <c r="I1459" s="2" t="s">
        <v>9</v>
      </c>
      <c r="K1459" t="e">
        <v>#N/A</v>
      </c>
      <c r="L1459" s="2" t="s">
        <v>8639</v>
      </c>
      <c r="M1459" t="s">
        <v>8180</v>
      </c>
      <c r="N1459" s="4"/>
    </row>
    <row r="1460" spans="1:14" ht="26" x14ac:dyDescent="0.3">
      <c r="A1460" s="1" t="str">
        <f>HYPERLINK("https://ipmanager.doe.gov/IPManager//ExternalLink.aspx?6ibkph2k9yi6F%2B0Vz7YoTsTAnuFk5EoA4sDIBhgYpD8%3D","Link")</f>
        <v>Link</v>
      </c>
      <c r="B1460" s="2" t="s">
        <v>4810</v>
      </c>
      <c r="C1460" s="2" t="s">
        <v>4795</v>
      </c>
      <c r="D1460" s="2" t="s">
        <v>4796</v>
      </c>
      <c r="E1460" s="2" t="s">
        <v>4811</v>
      </c>
      <c r="F1460" s="2" t="s">
        <v>4812</v>
      </c>
      <c r="G1460" s="2" t="s">
        <v>4813</v>
      </c>
      <c r="H1460" s="2"/>
      <c r="I1460" s="2" t="s">
        <v>9</v>
      </c>
      <c r="K1460" t="e">
        <v>#N/A</v>
      </c>
      <c r="L1460" s="2" t="s">
        <v>8639</v>
      </c>
      <c r="M1460" t="s">
        <v>8180</v>
      </c>
      <c r="N1460" s="4"/>
    </row>
    <row r="1461" spans="1:14" ht="26" x14ac:dyDescent="0.3">
      <c r="A1461" s="1" t="str">
        <f>HYPERLINK("https://ipmanager.doe.gov/IPManager//ExternalLink.aspx?6ibkph2k9yi6F%2B0Vz7YoTvE8yjoHgvp6qrayISj4%2BO8%3D","Link")</f>
        <v>Link</v>
      </c>
      <c r="B1461" s="2" t="s">
        <v>4818</v>
      </c>
      <c r="C1461" s="2" t="s">
        <v>4795</v>
      </c>
      <c r="D1461" s="2" t="s">
        <v>4796</v>
      </c>
      <c r="E1461" s="2" t="s">
        <v>4811</v>
      </c>
      <c r="F1461" s="2" t="s">
        <v>4819</v>
      </c>
      <c r="G1461" s="2" t="s">
        <v>4820</v>
      </c>
      <c r="H1461" s="2"/>
      <c r="I1461" s="2" t="s">
        <v>9</v>
      </c>
      <c r="K1461" t="e">
        <v>#N/A</v>
      </c>
      <c r="L1461" s="2" t="s">
        <v>8639</v>
      </c>
      <c r="M1461" t="s">
        <v>8180</v>
      </c>
      <c r="N1461" s="4"/>
    </row>
    <row r="1462" spans="1:14" ht="26" x14ac:dyDescent="0.3">
      <c r="A1462" s="1" t="str">
        <f>HYPERLINK("https://ipmanager.doe.gov/IPManager//ExternalLink.aspx?6ibkph2k9yi6F%2B0Vz7YoTsTAnuFk5EoASQDRoJPfv5o%3D","Link")</f>
        <v>Link</v>
      </c>
      <c r="B1462" s="2" t="s">
        <v>4825</v>
      </c>
      <c r="C1462" s="2" t="s">
        <v>4795</v>
      </c>
      <c r="D1462" s="2" t="s">
        <v>4796</v>
      </c>
      <c r="E1462" s="2" t="s">
        <v>4806</v>
      </c>
      <c r="F1462" s="2" t="s">
        <v>4807</v>
      </c>
      <c r="G1462" s="2" t="s">
        <v>4155</v>
      </c>
      <c r="H1462" s="2"/>
      <c r="I1462" s="2" t="s">
        <v>9</v>
      </c>
      <c r="K1462" t="e">
        <v>#N/A</v>
      </c>
      <c r="L1462" s="2" t="s">
        <v>8639</v>
      </c>
      <c r="M1462" t="s">
        <v>8180</v>
      </c>
      <c r="N1462" s="4"/>
    </row>
    <row r="1463" spans="1:14" ht="39" x14ac:dyDescent="0.3">
      <c r="A1463" s="1" t="str">
        <f>HYPERLINK("https://ipmanager.doe.gov/IPManager//ExternalLink.aspx?6ibkph2k9yi6F%2B0Vz7YoTjnDGhmGHGI7XN%2BV2RCvblI%3D","Link")</f>
        <v>Link</v>
      </c>
      <c r="B1463" s="2" t="s">
        <v>4829</v>
      </c>
      <c r="C1463" s="2" t="s">
        <v>4795</v>
      </c>
      <c r="D1463" s="2" t="s">
        <v>4796</v>
      </c>
      <c r="E1463" s="2" t="s">
        <v>4830</v>
      </c>
      <c r="F1463" s="2" t="s">
        <v>4831</v>
      </c>
      <c r="G1463" s="2" t="s">
        <v>4832</v>
      </c>
      <c r="H1463" s="2"/>
      <c r="I1463" s="2" t="s">
        <v>9</v>
      </c>
      <c r="K1463" t="e">
        <v>#N/A</v>
      </c>
      <c r="L1463" s="2" t="s">
        <v>8639</v>
      </c>
      <c r="M1463" t="s">
        <v>8180</v>
      </c>
      <c r="N1463" s="4"/>
    </row>
    <row r="1464" spans="1:14" ht="26" x14ac:dyDescent="0.3">
      <c r="A1464" s="1" t="str">
        <f>HYPERLINK("https://ipmanager.doe.gov/IPManager//ExternalLink.aspx?6ibkph2k9yi6F%2B0Vz7YoTjnDGhmGHGI70iWHMYYytEc%3D","Link")</f>
        <v>Link</v>
      </c>
      <c r="B1464" s="2" t="s">
        <v>4833</v>
      </c>
      <c r="C1464" s="2" t="s">
        <v>4795</v>
      </c>
      <c r="D1464" s="2" t="s">
        <v>4796</v>
      </c>
      <c r="E1464" s="2" t="s">
        <v>4834</v>
      </c>
      <c r="F1464" s="2" t="s">
        <v>4835</v>
      </c>
      <c r="G1464" s="2" t="s">
        <v>9</v>
      </c>
      <c r="H1464" s="2"/>
      <c r="I1464" s="2" t="s">
        <v>9</v>
      </c>
      <c r="K1464" t="e">
        <v>#N/A</v>
      </c>
      <c r="L1464" s="2" t="s">
        <v>8639</v>
      </c>
      <c r="M1464" t="s">
        <v>8180</v>
      </c>
      <c r="N1464" s="4"/>
    </row>
    <row r="1465" spans="1:14" ht="39" x14ac:dyDescent="0.3">
      <c r="A1465" s="1" t="str">
        <f>HYPERLINK("https://ipmanager.doe.gov/IPManager//ExternalLink.aspx?6ibkph2k9yi6F%2B0Vz7YoTo7DPLa3%2F%2FGgaqHU4jXMJE0%3D","Link")</f>
        <v>Link</v>
      </c>
      <c r="B1465" s="2" t="s">
        <v>4836</v>
      </c>
      <c r="C1465" s="2" t="s">
        <v>4795</v>
      </c>
      <c r="D1465" s="2" t="s">
        <v>4796</v>
      </c>
      <c r="E1465" s="2" t="s">
        <v>4837</v>
      </c>
      <c r="F1465" s="2" t="s">
        <v>4838</v>
      </c>
      <c r="G1465" s="2" t="s">
        <v>3543</v>
      </c>
      <c r="H1465" s="7"/>
      <c r="I1465" s="2" t="s">
        <v>9</v>
      </c>
      <c r="K1465" t="e">
        <v>#N/A</v>
      </c>
      <c r="L1465" s="2" t="s">
        <v>8639</v>
      </c>
      <c r="M1465" t="s">
        <v>8180</v>
      </c>
      <c r="N1465" s="4"/>
    </row>
    <row r="1466" spans="1:14" ht="39" x14ac:dyDescent="0.3">
      <c r="A1466" s="1" t="str">
        <f>HYPERLINK("https://ipmanager.doe.gov/IPManager//ExternalLink.aspx?6ibkph2k9yi6F%2B0Vz7YoTjnDGhmGHGI7xVFYFp6J6gQ%3D","Link")</f>
        <v>Link</v>
      </c>
      <c r="B1466" s="2" t="s">
        <v>4839</v>
      </c>
      <c r="C1466" s="2" t="s">
        <v>4795</v>
      </c>
      <c r="D1466" s="2" t="s">
        <v>4796</v>
      </c>
      <c r="E1466" s="2" t="s">
        <v>4840</v>
      </c>
      <c r="F1466" s="2" t="s">
        <v>4841</v>
      </c>
      <c r="G1466" s="2" t="s">
        <v>9</v>
      </c>
      <c r="H1466" s="7"/>
      <c r="I1466" s="2" t="s">
        <v>9</v>
      </c>
      <c r="K1466" t="e">
        <v>#N/A</v>
      </c>
      <c r="L1466" s="2" t="s">
        <v>8639</v>
      </c>
      <c r="M1466" t="s">
        <v>8180</v>
      </c>
      <c r="N1466" s="4"/>
    </row>
    <row r="1467" spans="1:14" ht="26" x14ac:dyDescent="0.3">
      <c r="A1467" s="1" t="str">
        <f>HYPERLINK("https://ipmanager.doe.gov/IPManager//ExternalLink.aspx?6ibkph2k9yi6F%2B0Vz7YoTjnDGhmGHGI7jisvp3snmkM%3D","Link")</f>
        <v>Link</v>
      </c>
      <c r="B1467" s="2" t="s">
        <v>4846</v>
      </c>
      <c r="C1467" s="2" t="s">
        <v>4795</v>
      </c>
      <c r="D1467" s="2" t="s">
        <v>4796</v>
      </c>
      <c r="E1467" s="2" t="s">
        <v>4847</v>
      </c>
      <c r="F1467" s="2" t="s">
        <v>4848</v>
      </c>
      <c r="G1467" s="2" t="s">
        <v>9</v>
      </c>
      <c r="H1467" s="7"/>
      <c r="I1467" s="2" t="s">
        <v>9</v>
      </c>
      <c r="K1467" t="e">
        <v>#N/A</v>
      </c>
      <c r="L1467" s="2" t="s">
        <v>8639</v>
      </c>
      <c r="M1467" t="s">
        <v>8180</v>
      </c>
      <c r="N1467" s="4"/>
    </row>
    <row r="1468" spans="1:14" ht="26" x14ac:dyDescent="0.3">
      <c r="A1468" s="1" t="str">
        <f>HYPERLINK("https://ipmanager.doe.gov/IPManager//ExternalLink.aspx?6ibkph2k9yi6F%2B0Vz7YoTo7DPLa3%2F%2FGgJ2fJfO6jhgU%3D","Link")</f>
        <v>Link</v>
      </c>
      <c r="B1468" s="2" t="s">
        <v>4849</v>
      </c>
      <c r="C1468" s="2" t="s">
        <v>4795</v>
      </c>
      <c r="D1468" s="2" t="s">
        <v>4796</v>
      </c>
      <c r="E1468" s="2" t="s">
        <v>4850</v>
      </c>
      <c r="F1468" s="2" t="s">
        <v>4851</v>
      </c>
      <c r="G1468" s="2" t="s">
        <v>2583</v>
      </c>
      <c r="H1468" s="7"/>
      <c r="I1468" s="2" t="s">
        <v>9</v>
      </c>
      <c r="K1468" t="e">
        <v>#N/A</v>
      </c>
      <c r="L1468" s="2" t="s">
        <v>8639</v>
      </c>
      <c r="M1468" t="s">
        <v>8180</v>
      </c>
      <c r="N1468" s="4"/>
    </row>
    <row r="1469" spans="1:14" ht="39" x14ac:dyDescent="0.3">
      <c r="A1469" s="1" t="str">
        <f>HYPERLINK("https://ipmanager.doe.gov/IPManager//ExternalLink.aspx?6ibkph2k9yi6F%2B0Vz7YoTr7J5I%2BY4foYucVJ13ODfz4%3D","Link")</f>
        <v>Link</v>
      </c>
      <c r="B1469" s="2" t="s">
        <v>4794</v>
      </c>
      <c r="C1469" s="2" t="s">
        <v>4795</v>
      </c>
      <c r="D1469" s="2" t="s">
        <v>4796</v>
      </c>
      <c r="E1469" s="2" t="s">
        <v>4797</v>
      </c>
      <c r="F1469" s="2"/>
      <c r="G1469" s="2" t="s">
        <v>9</v>
      </c>
      <c r="H1469" s="7"/>
      <c r="I1469" s="2" t="s">
        <v>9</v>
      </c>
      <c r="K1469" t="e">
        <v>#N/A</v>
      </c>
      <c r="L1469" s="2" t="s">
        <v>8639</v>
      </c>
      <c r="M1469" t="s">
        <v>8180</v>
      </c>
      <c r="N1469" s="4"/>
    </row>
    <row r="1470" spans="1:14" ht="26" x14ac:dyDescent="0.3">
      <c r="A1470" s="1" t="str">
        <f>HYPERLINK("https://ipmanager.doe.gov/IPManager//ExternalLink.aspx?6ibkph2k9yi6F%2B0Vz7YoTsTAnuFk5EoAm3KCenTBBI4%3D","Link")</f>
        <v>Link</v>
      </c>
      <c r="B1470" s="2" t="s">
        <v>4814</v>
      </c>
      <c r="C1470" s="2" t="s">
        <v>4795</v>
      </c>
      <c r="D1470" s="2" t="s">
        <v>4796</v>
      </c>
      <c r="E1470" s="2" t="s">
        <v>4811</v>
      </c>
      <c r="F1470" s="2" t="s">
        <v>4815</v>
      </c>
      <c r="G1470" s="2" t="s">
        <v>4813</v>
      </c>
      <c r="H1470" s="7" t="s">
        <v>4816</v>
      </c>
      <c r="I1470" s="2" t="s">
        <v>4817</v>
      </c>
      <c r="K1470" t="e">
        <v>#N/A</v>
      </c>
      <c r="L1470" s="2" t="s">
        <v>8639</v>
      </c>
      <c r="M1470" t="s">
        <v>8180</v>
      </c>
    </row>
    <row r="1471" spans="1:14" ht="26" x14ac:dyDescent="0.3">
      <c r="A1471" s="1" t="str">
        <f>HYPERLINK("https://ipmanager.doe.gov/IPManager//ExternalLink.aspx?6ibkph2k9yi6F%2B0Vz7YoTsTAnuFk5EoAW6QtngFRrlc%3D","Link")</f>
        <v>Link</v>
      </c>
      <c r="B1471" s="2" t="s">
        <v>4821</v>
      </c>
      <c r="C1471" s="2" t="s">
        <v>4795</v>
      </c>
      <c r="D1471" s="2" t="s">
        <v>4796</v>
      </c>
      <c r="E1471" s="2" t="s">
        <v>4811</v>
      </c>
      <c r="F1471" s="2" t="s">
        <v>4822</v>
      </c>
      <c r="G1471" s="2" t="s">
        <v>1301</v>
      </c>
      <c r="H1471" s="7" t="s">
        <v>4823</v>
      </c>
      <c r="I1471" s="2" t="s">
        <v>3383</v>
      </c>
      <c r="K1471" t="e">
        <v>#N/A</v>
      </c>
      <c r="L1471" s="2" t="s">
        <v>8639</v>
      </c>
      <c r="M1471" t="s">
        <v>8180</v>
      </c>
    </row>
    <row r="1472" spans="1:14" ht="26" x14ac:dyDescent="0.3">
      <c r="A1472" s="1" t="str">
        <f>HYPERLINK("https://ipmanager.doe.gov/IPManager//ExternalLink.aspx?6ibkph2k9yi6F%2B0Vz7YoTsTAnuFk5EoAFiw%2FQrhVCRU%3D","Link")</f>
        <v>Link</v>
      </c>
      <c r="B1472" s="2" t="s">
        <v>4824</v>
      </c>
      <c r="C1472" s="2" t="s">
        <v>4795</v>
      </c>
      <c r="D1472" s="2" t="s">
        <v>4796</v>
      </c>
      <c r="E1472" s="2" t="s">
        <v>4806</v>
      </c>
      <c r="F1472" s="2"/>
      <c r="G1472" s="2" t="s">
        <v>9</v>
      </c>
      <c r="H1472" s="7"/>
      <c r="I1472" s="2" t="s">
        <v>9</v>
      </c>
      <c r="K1472" t="e">
        <v>#N/A</v>
      </c>
      <c r="L1472" s="2" t="s">
        <v>8639</v>
      </c>
      <c r="M1472" t="s">
        <v>8180</v>
      </c>
      <c r="N1472" s="4"/>
    </row>
    <row r="1473" spans="1:14" ht="26" x14ac:dyDescent="0.3">
      <c r="A1473" s="1" t="str">
        <f>HYPERLINK("https://ipmanager.doe.gov/IPManager//ExternalLink.aspx?6ibkph2k9yi6F%2B0Vz7YoTsTAnuFk5EoATKqgCyiNgtg%3D","Link")</f>
        <v>Link</v>
      </c>
      <c r="B1473" s="2" t="s">
        <v>4826</v>
      </c>
      <c r="C1473" s="2" t="s">
        <v>4795</v>
      </c>
      <c r="D1473" s="2" t="s">
        <v>4827</v>
      </c>
      <c r="E1473" s="2" t="s">
        <v>4828</v>
      </c>
      <c r="F1473" s="2"/>
      <c r="G1473" s="2" t="s">
        <v>9</v>
      </c>
      <c r="H1473" s="7"/>
      <c r="I1473" s="2" t="s">
        <v>9</v>
      </c>
      <c r="K1473" t="e">
        <v>#N/A</v>
      </c>
      <c r="L1473" s="2" t="s">
        <v>8639</v>
      </c>
      <c r="M1473" t="s">
        <v>8180</v>
      </c>
      <c r="N1473" s="4"/>
    </row>
    <row r="1474" spans="1:14" ht="39" x14ac:dyDescent="0.3">
      <c r="A1474" s="1" t="str">
        <f>HYPERLINK("https://ipmanager.doe.gov/IPManager//ExternalLink.aspx?6ibkph2k9yi6F%2B0Vz7YoTq6RR9BlGHHi6bBMxKZoAzs%3D","Link")</f>
        <v>Link</v>
      </c>
      <c r="B1474" s="2" t="s">
        <v>4842</v>
      </c>
      <c r="C1474" s="2" t="s">
        <v>4795</v>
      </c>
      <c r="D1474" s="2" t="s">
        <v>4796</v>
      </c>
      <c r="E1474" s="2" t="s">
        <v>4843</v>
      </c>
      <c r="F1474" s="2"/>
      <c r="G1474" s="2" t="s">
        <v>9</v>
      </c>
      <c r="H1474" s="7"/>
      <c r="I1474" s="2" t="s">
        <v>9</v>
      </c>
      <c r="K1474" t="e">
        <v>#N/A</v>
      </c>
      <c r="L1474" s="2" t="s">
        <v>8639</v>
      </c>
      <c r="M1474" t="s">
        <v>8180</v>
      </c>
      <c r="N1474" s="4"/>
    </row>
    <row r="1475" spans="1:14" ht="39" x14ac:dyDescent="0.3">
      <c r="A1475" s="1" t="str">
        <f>HYPERLINK("https://ipmanager.doe.gov/IPManager//ExternalLink.aspx?6ibkph2k9yi6F%2B0Vz7YoTgZwfmYxrNyKkiwVNdrOvao%3D","Link")</f>
        <v>Link</v>
      </c>
      <c r="B1475" s="2" t="s">
        <v>4844</v>
      </c>
      <c r="C1475" s="2" t="s">
        <v>4795</v>
      </c>
      <c r="D1475" s="2" t="s">
        <v>4796</v>
      </c>
      <c r="E1475" s="2" t="s">
        <v>4845</v>
      </c>
      <c r="F1475" s="2"/>
      <c r="G1475" s="2" t="s">
        <v>9</v>
      </c>
      <c r="H1475" s="7"/>
      <c r="I1475" s="2" t="s">
        <v>9</v>
      </c>
      <c r="K1475" t="e">
        <v>#N/A</v>
      </c>
      <c r="L1475" s="2" t="s">
        <v>8639</v>
      </c>
      <c r="M1475" t="s">
        <v>8180</v>
      </c>
      <c r="N1475" s="4"/>
    </row>
    <row r="1476" spans="1:14" ht="52" x14ac:dyDescent="0.3">
      <c r="A1476" s="1" t="str">
        <f>HYPERLINK("https://ipmanager.doe.gov/IPManager//ExternalLink.aspx?6ibkph2k9yi6F%2B0Vz7YoTo7DPLa3%2F%2FGgTBzBpUWl%2BQM%3D","Link")</f>
        <v>Link</v>
      </c>
      <c r="B1476" s="2" t="s">
        <v>4866</v>
      </c>
      <c r="C1476" s="2" t="s">
        <v>4853</v>
      </c>
      <c r="D1476" s="2" t="s">
        <v>4854</v>
      </c>
      <c r="E1476" s="2" t="s">
        <v>4867</v>
      </c>
      <c r="F1476" s="2" t="s">
        <v>4868</v>
      </c>
      <c r="G1476" s="2" t="s">
        <v>2197</v>
      </c>
      <c r="H1476" s="7"/>
      <c r="I1476" s="2" t="s">
        <v>9</v>
      </c>
      <c r="K1476" t="e">
        <v>#N/A</v>
      </c>
      <c r="L1476" s="2" t="s">
        <v>8640</v>
      </c>
      <c r="M1476" t="s">
        <v>8181</v>
      </c>
      <c r="N1476" s="4"/>
    </row>
    <row r="1477" spans="1:14" ht="52" x14ac:dyDescent="0.3">
      <c r="A1477" s="1" t="str">
        <f>HYPERLINK("https://ipmanager.doe.gov/IPManager//ExternalLink.aspx?6ibkph2k9yi6F%2B0Vz7YoTjnDGhmGHGI7UsHWbdFrWe4%3D","Link")</f>
        <v>Link</v>
      </c>
      <c r="B1477" s="2" t="s">
        <v>4852</v>
      </c>
      <c r="C1477" s="2" t="s">
        <v>4853</v>
      </c>
      <c r="D1477" s="2" t="s">
        <v>4854</v>
      </c>
      <c r="E1477" s="2" t="s">
        <v>4855</v>
      </c>
      <c r="F1477" s="2"/>
      <c r="G1477" s="2" t="s">
        <v>9</v>
      </c>
      <c r="H1477" s="7"/>
      <c r="I1477" s="2" t="s">
        <v>9</v>
      </c>
      <c r="K1477" t="e">
        <v>#N/A</v>
      </c>
      <c r="L1477" s="2" t="s">
        <v>8640</v>
      </c>
      <c r="M1477" t="s">
        <v>8181</v>
      </c>
      <c r="N1477" s="4"/>
    </row>
    <row r="1478" spans="1:14" ht="65" x14ac:dyDescent="0.3">
      <c r="A1478" s="1" t="str">
        <f>HYPERLINK("https://ipmanager.doe.gov/IPManager//ExternalLink.aspx?6ibkph2k9yi6F%2B0Vz7YoTjnDGhmGHGI7aWNTexrNESo%3D","Link")</f>
        <v>Link</v>
      </c>
      <c r="B1478" s="2" t="s">
        <v>4856</v>
      </c>
      <c r="C1478" s="2" t="s">
        <v>4853</v>
      </c>
      <c r="D1478" s="2" t="s">
        <v>4854</v>
      </c>
      <c r="E1478" s="2" t="s">
        <v>4857</v>
      </c>
      <c r="F1478" s="2"/>
      <c r="G1478" s="2" t="s">
        <v>9</v>
      </c>
      <c r="H1478" s="7"/>
      <c r="I1478" s="2" t="s">
        <v>9</v>
      </c>
      <c r="K1478" t="e">
        <v>#N/A</v>
      </c>
      <c r="L1478" s="2" t="s">
        <v>8640</v>
      </c>
      <c r="M1478" t="s">
        <v>8181</v>
      </c>
      <c r="N1478" s="4"/>
    </row>
    <row r="1479" spans="1:14" ht="65" x14ac:dyDescent="0.3">
      <c r="A1479" s="1" t="str">
        <f>HYPERLINK("https://ipmanager.doe.gov/IPManager//ExternalLink.aspx?6ibkph2k9yi6F%2B0Vz7YoTr7J5I%2BY4foYY0RQBe25m4I%3D","Link")</f>
        <v>Link</v>
      </c>
      <c r="B1479" s="2" t="s">
        <v>4858</v>
      </c>
      <c r="C1479" s="2" t="s">
        <v>4853</v>
      </c>
      <c r="D1479" s="2" t="s">
        <v>4854</v>
      </c>
      <c r="E1479" s="2" t="s">
        <v>4859</v>
      </c>
      <c r="F1479" s="2"/>
      <c r="G1479" s="2" t="s">
        <v>9</v>
      </c>
      <c r="H1479" s="7"/>
      <c r="I1479" s="2" t="s">
        <v>9</v>
      </c>
      <c r="K1479" t="e">
        <v>#N/A</v>
      </c>
      <c r="L1479" s="2" t="s">
        <v>8640</v>
      </c>
      <c r="M1479" t="s">
        <v>8181</v>
      </c>
      <c r="N1479" s="4"/>
    </row>
    <row r="1480" spans="1:14" ht="52" x14ac:dyDescent="0.3">
      <c r="A1480" s="1" t="str">
        <f>HYPERLINK("https://ipmanager.doe.gov/IPManager//ExternalLink.aspx?6ibkph2k9yi6F%2B0Vz7YoTo7DPLa3%2F%2FGgzly4C0VYbWc%3D","Link")</f>
        <v>Link</v>
      </c>
      <c r="B1480" s="2" t="s">
        <v>4860</v>
      </c>
      <c r="C1480" s="2" t="s">
        <v>4853</v>
      </c>
      <c r="D1480" s="2" t="s">
        <v>4854</v>
      </c>
      <c r="E1480" s="2" t="s">
        <v>4861</v>
      </c>
      <c r="F1480" s="2"/>
      <c r="G1480" s="2" t="s">
        <v>9</v>
      </c>
      <c r="H1480" s="7"/>
      <c r="I1480" s="2" t="s">
        <v>9</v>
      </c>
      <c r="K1480" t="e">
        <v>#N/A</v>
      </c>
      <c r="L1480" s="2" t="s">
        <v>8640</v>
      </c>
      <c r="M1480" t="s">
        <v>8181</v>
      </c>
      <c r="N1480" s="4"/>
    </row>
    <row r="1481" spans="1:14" ht="39" x14ac:dyDescent="0.3">
      <c r="A1481" s="1" t="str">
        <f>HYPERLINK("https://ipmanager.doe.gov/IPManager//ExternalLink.aspx?6ibkph2k9yi6F%2B0Vz7YoTo7DPLa3%2F%2FGgh77L4jXBKGY%3D","Link")</f>
        <v>Link</v>
      </c>
      <c r="B1481" s="2" t="s">
        <v>4862</v>
      </c>
      <c r="C1481" s="2" t="s">
        <v>4853</v>
      </c>
      <c r="D1481" s="2" t="s">
        <v>4854</v>
      </c>
      <c r="E1481" s="2" t="s">
        <v>4863</v>
      </c>
      <c r="F1481" s="2"/>
      <c r="G1481" s="2" t="s">
        <v>9</v>
      </c>
      <c r="H1481" s="7"/>
      <c r="I1481" s="2" t="s">
        <v>9</v>
      </c>
      <c r="K1481" t="e">
        <v>#N/A</v>
      </c>
      <c r="L1481" s="2" t="s">
        <v>8640</v>
      </c>
      <c r="M1481" t="s">
        <v>8181</v>
      </c>
      <c r="N1481" s="4"/>
    </row>
    <row r="1482" spans="1:14" ht="52" x14ac:dyDescent="0.3">
      <c r="A1482" s="1" t="str">
        <f>HYPERLINK("https://ipmanager.doe.gov/IPManager//ExternalLink.aspx?6ibkph2k9yi6F%2B0Vz7YoTo7DPLa3%2F%2FGgJZ6bNOWh9Ik%3D","Link")</f>
        <v>Link</v>
      </c>
      <c r="B1482" s="2" t="s">
        <v>4864</v>
      </c>
      <c r="C1482" s="2" t="s">
        <v>4853</v>
      </c>
      <c r="D1482" s="2" t="s">
        <v>4854</v>
      </c>
      <c r="E1482" s="2" t="s">
        <v>4865</v>
      </c>
      <c r="F1482" s="2"/>
      <c r="G1482" s="2" t="s">
        <v>9</v>
      </c>
      <c r="H1482" s="7"/>
      <c r="I1482" s="2" t="s">
        <v>9</v>
      </c>
      <c r="K1482" t="e">
        <v>#N/A</v>
      </c>
      <c r="L1482" s="2" t="s">
        <v>8640</v>
      </c>
      <c r="M1482" t="s">
        <v>8181</v>
      </c>
      <c r="N1482" s="4"/>
    </row>
    <row r="1483" spans="1:14" ht="65" x14ac:dyDescent="0.3">
      <c r="A1483" s="1" t="str">
        <f>HYPERLINK("https://ipmanager.doe.gov/IPManager//ExternalLink.aspx?6ibkph2k9yi6F%2B0Vz7YoTo7DPLa3%2F%2FGgSbeSC%2FoHLlI%3D","Link")</f>
        <v>Link</v>
      </c>
      <c r="B1483" s="2" t="s">
        <v>4869</v>
      </c>
      <c r="C1483" s="2" t="s">
        <v>4870</v>
      </c>
      <c r="D1483" s="2" t="s">
        <v>2483</v>
      </c>
      <c r="E1483" s="2" t="s">
        <v>4871</v>
      </c>
      <c r="F1483" s="2" t="s">
        <v>4872</v>
      </c>
      <c r="G1483" s="2" t="s">
        <v>4873</v>
      </c>
      <c r="H1483" s="7"/>
      <c r="I1483" s="2" t="s">
        <v>9</v>
      </c>
      <c r="J1483" t="s">
        <v>815</v>
      </c>
      <c r="K1483" t="s">
        <v>7748</v>
      </c>
      <c r="L1483" s="2" t="s">
        <v>8641</v>
      </c>
      <c r="M1483" t="s">
        <v>8182</v>
      </c>
      <c r="N1483" s="4"/>
    </row>
    <row r="1484" spans="1:14" ht="52" x14ac:dyDescent="0.3">
      <c r="A1484" s="1" t="str">
        <f>HYPERLINK("https://ipmanager.doe.gov/IPManager//ExternalLink.aspx?6ibkph2k9yi6F%2B0Vz7YoTr7J5I%2BY4foYgKgvsXrsI7g%3D","Link")</f>
        <v>Link</v>
      </c>
      <c r="B1484" s="2" t="s">
        <v>4878</v>
      </c>
      <c r="C1484" s="2" t="s">
        <v>4870</v>
      </c>
      <c r="D1484" s="2" t="s">
        <v>2483</v>
      </c>
      <c r="E1484" s="2" t="s">
        <v>4879</v>
      </c>
      <c r="F1484" s="2" t="s">
        <v>7608</v>
      </c>
      <c r="G1484" s="2" t="s">
        <v>4880</v>
      </c>
      <c r="H1484" s="2"/>
      <c r="I1484" s="2" t="s">
        <v>9</v>
      </c>
      <c r="J1484" t="s">
        <v>1849</v>
      </c>
      <c r="K1484" t="s">
        <v>7848</v>
      </c>
      <c r="L1484" s="2" t="s">
        <v>8641</v>
      </c>
      <c r="M1484" t="s">
        <v>8182</v>
      </c>
      <c r="N1484" s="4"/>
    </row>
    <row r="1485" spans="1:14" ht="78" x14ac:dyDescent="0.3">
      <c r="A1485" s="1" t="str">
        <f>HYPERLINK("https://ipmanager.doe.gov/IPManager//ExternalLink.aspx?6ibkph2k9yi6F%2B0Vz7YoTr7J5I%2BY4foYsGFDu%2FlbUCg%3D","Link")</f>
        <v>Link</v>
      </c>
      <c r="B1485" s="2" t="s">
        <v>4881</v>
      </c>
      <c r="C1485" s="2" t="s">
        <v>4870</v>
      </c>
      <c r="D1485" s="2" t="s">
        <v>2483</v>
      </c>
      <c r="E1485" s="2" t="s">
        <v>4875</v>
      </c>
      <c r="F1485" s="2" t="s">
        <v>4882</v>
      </c>
      <c r="G1485" s="2" t="s">
        <v>4883</v>
      </c>
      <c r="H1485" s="2"/>
      <c r="I1485" s="2" t="s">
        <v>9</v>
      </c>
      <c r="J1485" t="s">
        <v>4882</v>
      </c>
      <c r="K1485" t="s">
        <v>7685</v>
      </c>
      <c r="L1485" s="2" t="s">
        <v>8641</v>
      </c>
      <c r="M1485" t="s">
        <v>8182</v>
      </c>
      <c r="N1485" s="4"/>
    </row>
    <row r="1486" spans="1:14" ht="65" x14ac:dyDescent="0.3">
      <c r="A1486" s="1" t="str">
        <f>HYPERLINK("https://ipmanager.doe.gov/IPManager//ExternalLink.aspx?6ibkph2k9yi6F%2B0Vz7YoTr7J5I%2BY4foYRLWAQkXsGgk%3D","Link")</f>
        <v>Link</v>
      </c>
      <c r="B1486" s="2" t="s">
        <v>4884</v>
      </c>
      <c r="C1486" s="2" t="s">
        <v>4870</v>
      </c>
      <c r="D1486" s="2" t="s">
        <v>2483</v>
      </c>
      <c r="E1486" s="2" t="s">
        <v>4871</v>
      </c>
      <c r="F1486" s="2" t="s">
        <v>4885</v>
      </c>
      <c r="G1486" s="2" t="s">
        <v>4883</v>
      </c>
      <c r="H1486" s="2"/>
      <c r="I1486" s="2" t="s">
        <v>9</v>
      </c>
      <c r="J1486" t="s">
        <v>4885</v>
      </c>
      <c r="K1486" t="s">
        <v>7950</v>
      </c>
      <c r="L1486" s="2" t="s">
        <v>8641</v>
      </c>
      <c r="M1486" t="s">
        <v>8182</v>
      </c>
      <c r="N1486" s="4"/>
    </row>
    <row r="1487" spans="1:14" ht="52" x14ac:dyDescent="0.3">
      <c r="A1487" s="1" t="str">
        <f>HYPERLINK("https://ipmanager.doe.gov/IPManager//ExternalLink.aspx?6ibkph2k9yi6F%2B0Vz7YoTvPUg%2FVZPl3iCEJXPq5W%2Bd0%3D","Link")</f>
        <v>Link</v>
      </c>
      <c r="B1487" s="2" t="s">
        <v>4886</v>
      </c>
      <c r="C1487" s="2" t="s">
        <v>4870</v>
      </c>
      <c r="D1487" s="2" t="s">
        <v>2483</v>
      </c>
      <c r="E1487" s="2" t="s">
        <v>4879</v>
      </c>
      <c r="F1487" s="2" t="s">
        <v>4887</v>
      </c>
      <c r="G1487" s="2" t="s">
        <v>280</v>
      </c>
      <c r="H1487" s="2"/>
      <c r="I1487" s="2" t="s">
        <v>9</v>
      </c>
      <c r="J1487" t="s">
        <v>4887</v>
      </c>
      <c r="K1487" t="s">
        <v>7686</v>
      </c>
      <c r="L1487" s="2" t="s">
        <v>8641</v>
      </c>
      <c r="M1487" t="s">
        <v>8182</v>
      </c>
      <c r="N1487" s="4"/>
    </row>
    <row r="1488" spans="1:14" ht="39" x14ac:dyDescent="0.3">
      <c r="A1488" s="1" t="str">
        <f>HYPERLINK("https://ipmanager.doe.gov/IPManager//ExternalLink.aspx?6ibkph2k9yi6F%2B0Vz7YoTp68px7nSN2gVEQZ0VGktNc%3D","Link")</f>
        <v>Link</v>
      </c>
      <c r="B1488" s="2" t="s">
        <v>4899</v>
      </c>
      <c r="C1488" s="2" t="s">
        <v>4870</v>
      </c>
      <c r="D1488" s="2" t="s">
        <v>2483</v>
      </c>
      <c r="E1488" s="2" t="s">
        <v>4895</v>
      </c>
      <c r="F1488" s="2" t="s">
        <v>4900</v>
      </c>
      <c r="G1488" s="2" t="s">
        <v>4891</v>
      </c>
      <c r="H1488" s="2"/>
      <c r="I1488" s="2" t="s">
        <v>9</v>
      </c>
      <c r="J1488" t="s">
        <v>5214</v>
      </c>
      <c r="K1488" t="s">
        <v>7951</v>
      </c>
      <c r="L1488" s="2" t="s">
        <v>8641</v>
      </c>
      <c r="M1488" t="s">
        <v>8182</v>
      </c>
      <c r="N1488" s="4"/>
    </row>
    <row r="1489" spans="1:14" ht="39" x14ac:dyDescent="0.3">
      <c r="A1489" s="1" t="str">
        <f>HYPERLINK("https://ipmanager.doe.gov/IPManager//ExternalLink.aspx?6ibkph2k9yi6F%2B0Vz7YoTp68px7nSN2gFTGZ1QVnjn8%3D","Link")</f>
        <v>Link</v>
      </c>
      <c r="B1489" s="2" t="s">
        <v>4901</v>
      </c>
      <c r="C1489" s="2" t="s">
        <v>4870</v>
      </c>
      <c r="D1489" s="2" t="s">
        <v>2483</v>
      </c>
      <c r="E1489" s="2" t="s">
        <v>4902</v>
      </c>
      <c r="F1489" s="2" t="s">
        <v>4903</v>
      </c>
      <c r="G1489" s="2" t="s">
        <v>4891</v>
      </c>
      <c r="H1489" s="2"/>
      <c r="I1489" s="2" t="s">
        <v>9</v>
      </c>
      <c r="J1489" t="s">
        <v>3408</v>
      </c>
      <c r="K1489" t="s">
        <v>7926</v>
      </c>
      <c r="L1489" s="2" t="s">
        <v>8641</v>
      </c>
      <c r="M1489" t="s">
        <v>8182</v>
      </c>
      <c r="N1489" s="4"/>
    </row>
    <row r="1490" spans="1:14" ht="39" x14ac:dyDescent="0.3">
      <c r="A1490" s="1" t="str">
        <f>HYPERLINK("https://ipmanager.doe.gov/IPManager//ExternalLink.aspx?6ibkph2k9yi6F%2B0Vz7YoTp68px7nSN2g3J%2B1SI4WWyE%3D","Link")</f>
        <v>Link</v>
      </c>
      <c r="B1490" s="2" t="s">
        <v>4904</v>
      </c>
      <c r="C1490" s="2" t="s">
        <v>4870</v>
      </c>
      <c r="D1490" s="2" t="s">
        <v>2483</v>
      </c>
      <c r="E1490" s="2" t="s">
        <v>4905</v>
      </c>
      <c r="F1490" s="2" t="s">
        <v>4906</v>
      </c>
      <c r="G1490" s="2" t="s">
        <v>4907</v>
      </c>
      <c r="H1490" s="2"/>
      <c r="I1490" s="2" t="s">
        <v>9</v>
      </c>
      <c r="J1490" t="s">
        <v>5792</v>
      </c>
      <c r="K1490" t="s">
        <v>7952</v>
      </c>
      <c r="L1490" s="2" t="s">
        <v>8641</v>
      </c>
      <c r="M1490" t="s">
        <v>8182</v>
      </c>
      <c r="N1490" s="4"/>
    </row>
    <row r="1491" spans="1:14" ht="78" x14ac:dyDescent="0.3">
      <c r="A1491" s="1" t="str">
        <f>HYPERLINK("https://ipmanager.doe.gov/IPManager//ExternalLink.aspx?6ibkph2k9yi6F%2B0Vz7YoTgZwfmYxrNyKbDqTUh4gW54%3D","Link")</f>
        <v>Link</v>
      </c>
      <c r="B1491" s="2" t="s">
        <v>4874</v>
      </c>
      <c r="C1491" s="2" t="s">
        <v>4870</v>
      </c>
      <c r="D1491" s="2" t="s">
        <v>2483</v>
      </c>
      <c r="E1491" s="2" t="s">
        <v>4875</v>
      </c>
      <c r="F1491" s="2" t="s">
        <v>4876</v>
      </c>
      <c r="G1491" s="2" t="s">
        <v>4877</v>
      </c>
      <c r="H1491" s="7"/>
      <c r="I1491" s="2" t="s">
        <v>9</v>
      </c>
      <c r="J1491" t="s">
        <v>7563</v>
      </c>
      <c r="K1491" t="s">
        <v>7953</v>
      </c>
      <c r="L1491" s="2" t="s">
        <v>8641</v>
      </c>
      <c r="M1491" t="s">
        <v>8182</v>
      </c>
      <c r="N1491" s="4"/>
    </row>
    <row r="1492" spans="1:14" ht="39" x14ac:dyDescent="0.3">
      <c r="A1492" s="1" t="str">
        <f>HYPERLINK("https://ipmanager.doe.gov/IPManager//ExternalLink.aspx?6ibkph2k9yi6F%2B0Vz7YoTvPUg%2FVZPl3iTyca2DtK7Zc%3D","Link")</f>
        <v>Link</v>
      </c>
      <c r="B1492" s="2" t="s">
        <v>4888</v>
      </c>
      <c r="C1492" s="2" t="s">
        <v>4870</v>
      </c>
      <c r="D1492" s="2" t="s">
        <v>2483</v>
      </c>
      <c r="E1492" s="2" t="s">
        <v>4889</v>
      </c>
      <c r="F1492" s="2" t="s">
        <v>4890</v>
      </c>
      <c r="G1492" s="2" t="s">
        <v>4891</v>
      </c>
      <c r="H1492" s="7" t="s">
        <v>4892</v>
      </c>
      <c r="I1492" s="2" t="s">
        <v>4893</v>
      </c>
      <c r="K1492" t="e">
        <v>#N/A</v>
      </c>
      <c r="L1492" s="2" t="s">
        <v>8641</v>
      </c>
      <c r="M1492" t="s">
        <v>8182</v>
      </c>
    </row>
    <row r="1493" spans="1:14" ht="39" x14ac:dyDescent="0.3">
      <c r="A1493" s="1" t="str">
        <f>HYPERLINK("https://ipmanager.doe.gov/IPManager//ExternalLink.aspx?6ibkph2k9yi6F%2B0Vz7YoTvPUg%2FVZPl3ikP9BQY0LnY0%3D","Link")</f>
        <v>Link</v>
      </c>
      <c r="B1493" s="2" t="s">
        <v>4894</v>
      </c>
      <c r="C1493" s="2" t="s">
        <v>4870</v>
      </c>
      <c r="D1493" s="2" t="s">
        <v>2483</v>
      </c>
      <c r="E1493" s="2" t="s">
        <v>4895</v>
      </c>
      <c r="F1493" s="2" t="s">
        <v>4896</v>
      </c>
      <c r="G1493" s="2" t="s">
        <v>4897</v>
      </c>
      <c r="H1493" s="7" t="s">
        <v>4898</v>
      </c>
      <c r="I1493" s="2" t="s">
        <v>1779</v>
      </c>
      <c r="K1493" t="e">
        <v>#N/A</v>
      </c>
      <c r="L1493" s="2" t="s">
        <v>8641</v>
      </c>
      <c r="M1493" t="s">
        <v>8182</v>
      </c>
    </row>
    <row r="1494" spans="1:14" ht="39" x14ac:dyDescent="0.3">
      <c r="A1494" s="1" t="str">
        <f>HYPERLINK("https://ipmanager.doe.gov/IPManager//ExternalLink.aspx?6ibkph2k9yi6F%2B0Vz7YoTp68px7nSN2ghDTwohN1pVU%3D","Link")</f>
        <v>Link</v>
      </c>
      <c r="B1494" s="2" t="s">
        <v>4908</v>
      </c>
      <c r="C1494" s="2" t="s">
        <v>4909</v>
      </c>
      <c r="D1494" s="2" t="s">
        <v>4169</v>
      </c>
      <c r="E1494" s="2" t="s">
        <v>4910</v>
      </c>
      <c r="F1494" s="2"/>
      <c r="G1494" s="2" t="s">
        <v>9</v>
      </c>
      <c r="H1494" s="7"/>
      <c r="I1494" s="2" t="s">
        <v>9</v>
      </c>
      <c r="K1494" t="e">
        <v>#N/A</v>
      </c>
      <c r="L1494" s="2" t="s">
        <v>8642</v>
      </c>
      <c r="M1494" t="s">
        <v>8183</v>
      </c>
      <c r="N1494" s="4"/>
    </row>
    <row r="1495" spans="1:14" ht="39" x14ac:dyDescent="0.3">
      <c r="A1495" s="1" t="str">
        <f>HYPERLINK("https://ipmanager.doe.gov/IPManager//ExternalLink.aspx?6ibkph2k9yi6F%2B0Vz7YoTq6RR9BlGHHiHr0fuy7Ut%2BM%3D","Link")</f>
        <v>Link</v>
      </c>
      <c r="B1495" s="2" t="s">
        <v>4914</v>
      </c>
      <c r="C1495" s="2" t="s">
        <v>4909</v>
      </c>
      <c r="D1495" s="2" t="s">
        <v>4169</v>
      </c>
      <c r="E1495" s="2" t="s">
        <v>4915</v>
      </c>
      <c r="F1495" s="2"/>
      <c r="G1495" s="2" t="s">
        <v>9</v>
      </c>
      <c r="H1495" s="7"/>
      <c r="I1495" s="2" t="s">
        <v>9</v>
      </c>
      <c r="K1495" t="e">
        <v>#N/A</v>
      </c>
      <c r="L1495" s="2" t="s">
        <v>8642</v>
      </c>
      <c r="M1495" t="s">
        <v>8183</v>
      </c>
      <c r="N1495" s="4"/>
    </row>
    <row r="1496" spans="1:14" ht="26" x14ac:dyDescent="0.3">
      <c r="A1496" s="1" t="str">
        <f>HYPERLINK("https://ipmanager.doe.gov/IPManager//ExternalLink.aspx?6ibkph2k9yi6F%2B0Vz7YoTr7J5I%2BY4foY%2FQ2Bv92wvHw%3D","Link")</f>
        <v>Link</v>
      </c>
      <c r="B1496" s="2" t="s">
        <v>4916</v>
      </c>
      <c r="C1496" s="2" t="s">
        <v>4909</v>
      </c>
      <c r="D1496" s="2" t="s">
        <v>4169</v>
      </c>
      <c r="E1496" s="2"/>
      <c r="F1496" s="2"/>
      <c r="G1496" s="2" t="s">
        <v>9</v>
      </c>
      <c r="H1496" s="7"/>
      <c r="I1496" s="2" t="s">
        <v>9</v>
      </c>
      <c r="K1496" t="e">
        <v>#N/A</v>
      </c>
      <c r="L1496" s="2" t="s">
        <v>8642</v>
      </c>
      <c r="M1496" t="s">
        <v>8183</v>
      </c>
      <c r="N1496" s="4"/>
    </row>
    <row r="1497" spans="1:14" ht="26" x14ac:dyDescent="0.3">
      <c r="A1497" s="1" t="str">
        <f>HYPERLINK("https://ipmanager.doe.gov/IPManager//ExternalLink.aspx?6ibkph2k9yi6F%2B0Vz7YoTgZwfmYxrNyKezMpAd1PWcs%3D","Link")</f>
        <v>Link</v>
      </c>
      <c r="B1497" s="2" t="s">
        <v>4917</v>
      </c>
      <c r="C1497" s="2" t="s">
        <v>4909</v>
      </c>
      <c r="D1497" s="2" t="s">
        <v>2483</v>
      </c>
      <c r="E1497" s="2" t="s">
        <v>4918</v>
      </c>
      <c r="F1497" s="2"/>
      <c r="G1497" s="2" t="s">
        <v>9</v>
      </c>
      <c r="H1497" s="7"/>
      <c r="I1497" s="2" t="s">
        <v>9</v>
      </c>
      <c r="K1497" t="e">
        <v>#N/A</v>
      </c>
      <c r="L1497" s="2" t="s">
        <v>8642</v>
      </c>
      <c r="M1497" t="s">
        <v>8183</v>
      </c>
      <c r="N1497" s="4"/>
    </row>
    <row r="1498" spans="1:14" ht="52" x14ac:dyDescent="0.3">
      <c r="A1498" s="1" t="str">
        <f>HYPERLINK("https://ipmanager.doe.gov/IPManager//ExternalLink.aspx?6ibkph2k9yi6F%2B0Vz7YoTp68px7nSN2gUGt77XlYRco%3D","Link")</f>
        <v>Link</v>
      </c>
      <c r="B1498" s="2" t="s">
        <v>4911</v>
      </c>
      <c r="C1498" s="2" t="s">
        <v>4909</v>
      </c>
      <c r="D1498" s="2" t="s">
        <v>4169</v>
      </c>
      <c r="E1498" s="2" t="s">
        <v>4912</v>
      </c>
      <c r="F1498" s="2" t="s">
        <v>4913</v>
      </c>
      <c r="G1498" s="2" t="s">
        <v>3658</v>
      </c>
      <c r="H1498" s="7"/>
      <c r="I1498" s="2" t="s">
        <v>9</v>
      </c>
      <c r="K1498" t="e">
        <v>#N/A</v>
      </c>
      <c r="L1498" s="2" t="s">
        <v>8642</v>
      </c>
      <c r="M1498" t="s">
        <v>8183</v>
      </c>
      <c r="N1498" s="4"/>
    </row>
    <row r="1499" spans="1:14" ht="52" x14ac:dyDescent="0.3">
      <c r="A1499" s="1" t="str">
        <f>HYPERLINK("https://ipmanager.doe.gov/IPManager//ExternalLink.aspx?6ibkph2k9yi6F%2B0Vz7YoTq6RR9BlGHHijIigjawrHrs%3D","Link")</f>
        <v>Link</v>
      </c>
      <c r="B1499" s="2" t="s">
        <v>4919</v>
      </c>
      <c r="C1499" s="2" t="s">
        <v>4920</v>
      </c>
      <c r="D1499" s="2" t="s">
        <v>1415</v>
      </c>
      <c r="E1499" s="2" t="s">
        <v>4921</v>
      </c>
      <c r="F1499" s="2" t="s">
        <v>4922</v>
      </c>
      <c r="G1499" s="2" t="s">
        <v>3339</v>
      </c>
      <c r="H1499" s="2"/>
      <c r="I1499" s="2" t="s">
        <v>9</v>
      </c>
      <c r="J1499" t="s">
        <v>4983</v>
      </c>
      <c r="K1499" t="s">
        <v>7954</v>
      </c>
      <c r="L1499" s="2" t="s">
        <v>8643</v>
      </c>
      <c r="M1499" t="s">
        <v>8184</v>
      </c>
      <c r="N1499" s="4"/>
    </row>
    <row r="1500" spans="1:14" ht="26" x14ac:dyDescent="0.3">
      <c r="A1500" s="1" t="str">
        <f>HYPERLINK("https://ipmanager.doe.gov/IPManager//ExternalLink.aspx?6ibkph2k9yi6F%2B0Vz7YoTo7DPLa3%2F%2FGgsW1hxIg0jaQ%3D","Link")</f>
        <v>Link</v>
      </c>
      <c r="B1500" s="2" t="s">
        <v>4935</v>
      </c>
      <c r="C1500" s="2" t="s">
        <v>4924</v>
      </c>
      <c r="D1500" s="2" t="s">
        <v>1474</v>
      </c>
      <c r="E1500" s="2" t="s">
        <v>4936</v>
      </c>
      <c r="F1500" s="2"/>
      <c r="G1500" s="2" t="s">
        <v>9</v>
      </c>
      <c r="H1500" s="7"/>
      <c r="I1500" s="2" t="s">
        <v>9</v>
      </c>
      <c r="K1500" t="e">
        <v>#N/A</v>
      </c>
      <c r="L1500" s="2" t="s">
        <v>8644</v>
      </c>
      <c r="M1500" t="s">
        <v>8129</v>
      </c>
      <c r="N1500" s="4"/>
    </row>
    <row r="1501" spans="1:14" ht="39" x14ac:dyDescent="0.3">
      <c r="A1501" s="1" t="str">
        <f>HYPERLINK("https://ipmanager.doe.gov/IPManager//ExternalLink.aspx?6ibkph2k9yi6F%2B0Vz7YoTnXVN2REjGcWd%2FgI85gCm50%3D","Link")</f>
        <v>Link</v>
      </c>
      <c r="B1501" s="2" t="s">
        <v>4937</v>
      </c>
      <c r="C1501" s="2" t="s">
        <v>4924</v>
      </c>
      <c r="D1501" s="2" t="s">
        <v>1474</v>
      </c>
      <c r="E1501" s="2" t="s">
        <v>4938</v>
      </c>
      <c r="F1501" s="2"/>
      <c r="G1501" s="2" t="s">
        <v>9</v>
      </c>
      <c r="H1501" s="7"/>
      <c r="I1501" s="2" t="s">
        <v>9</v>
      </c>
      <c r="K1501" t="e">
        <v>#N/A</v>
      </c>
      <c r="L1501" s="2" t="s">
        <v>8644</v>
      </c>
      <c r="M1501" t="s">
        <v>8129</v>
      </c>
      <c r="N1501" s="4"/>
    </row>
    <row r="1502" spans="1:14" ht="26" x14ac:dyDescent="0.3">
      <c r="A1502" s="1" t="str">
        <f>HYPERLINK("https://ipmanager.doe.gov/IPManager//ExternalLink.aspx?6ibkph2k9yi6F%2B0Vz7YoTr7J5I%2BY4foY%2F%2BI0o2A%2Fet4%3D","Link")</f>
        <v>Link</v>
      </c>
      <c r="B1502" s="2" t="s">
        <v>4939</v>
      </c>
      <c r="C1502" s="2" t="s">
        <v>4924</v>
      </c>
      <c r="D1502" s="2" t="s">
        <v>1474</v>
      </c>
      <c r="E1502" s="2" t="s">
        <v>4940</v>
      </c>
      <c r="F1502" s="2"/>
      <c r="G1502" s="2" t="s">
        <v>9</v>
      </c>
      <c r="H1502" s="7"/>
      <c r="I1502" s="2" t="s">
        <v>9</v>
      </c>
      <c r="K1502" t="e">
        <v>#N/A</v>
      </c>
      <c r="L1502" s="2" t="s">
        <v>8644</v>
      </c>
      <c r="M1502" t="s">
        <v>8129</v>
      </c>
      <c r="N1502" s="4"/>
    </row>
    <row r="1503" spans="1:14" ht="26" x14ac:dyDescent="0.3">
      <c r="A1503" s="1" t="str">
        <f>HYPERLINK("https://ipmanager.doe.gov/IPManager//ExternalLink.aspx?6ibkph2k9yi6F%2B0Vz7YoTgZwfmYxrNyK5RbMJT8f1uw%3D","Link")</f>
        <v>Link</v>
      </c>
      <c r="B1503" s="2" t="s">
        <v>4923</v>
      </c>
      <c r="C1503" s="2" t="s">
        <v>4924</v>
      </c>
      <c r="D1503" s="2" t="s">
        <v>1474</v>
      </c>
      <c r="E1503" s="2" t="s">
        <v>4925</v>
      </c>
      <c r="F1503" s="2" t="s">
        <v>4926</v>
      </c>
      <c r="G1503" s="2" t="s">
        <v>4927</v>
      </c>
      <c r="H1503" s="7"/>
      <c r="I1503" s="2" t="s">
        <v>9</v>
      </c>
      <c r="K1503" t="e">
        <v>#N/A</v>
      </c>
      <c r="L1503" s="2" t="s">
        <v>8644</v>
      </c>
      <c r="M1503" t="s">
        <v>8129</v>
      </c>
      <c r="N1503" s="4"/>
    </row>
    <row r="1504" spans="1:14" ht="26" x14ac:dyDescent="0.3">
      <c r="A1504" s="1" t="str">
        <f>HYPERLINK("https://ipmanager.doe.gov/IPManager//ExternalLink.aspx?6ibkph2k9yi6F%2B0Vz7YoTr7J5I%2BY4foY%2BmzUWr%2B1yCk%3D","Link")</f>
        <v>Link</v>
      </c>
      <c r="B1504" s="2" t="s">
        <v>4928</v>
      </c>
      <c r="C1504" s="2" t="s">
        <v>4924</v>
      </c>
      <c r="D1504" s="2" t="s">
        <v>1474</v>
      </c>
      <c r="E1504" s="2" t="s">
        <v>4929</v>
      </c>
      <c r="F1504" s="2" t="s">
        <v>4930</v>
      </c>
      <c r="G1504" s="2" t="s">
        <v>4931</v>
      </c>
      <c r="H1504" s="7"/>
      <c r="I1504" s="2" t="s">
        <v>9</v>
      </c>
      <c r="K1504" t="e">
        <v>#N/A</v>
      </c>
      <c r="L1504" s="2" t="s">
        <v>8644</v>
      </c>
      <c r="M1504" t="s">
        <v>8129</v>
      </c>
      <c r="N1504" s="4"/>
    </row>
    <row r="1505" spans="1:14" ht="26" x14ac:dyDescent="0.3">
      <c r="A1505" s="1" t="str">
        <f>HYPERLINK("https://ipmanager.doe.gov/IPManager//ExternalLink.aspx?6ibkph2k9yi6F%2B0Vz7YoTjnDGhmGHGI7WUTTu2smvbM%3D","Link")</f>
        <v>Link</v>
      </c>
      <c r="B1505" s="2" t="s">
        <v>4932</v>
      </c>
      <c r="C1505" s="2" t="s">
        <v>4924</v>
      </c>
      <c r="D1505" s="2" t="s">
        <v>1474</v>
      </c>
      <c r="E1505" s="2" t="s">
        <v>4925</v>
      </c>
      <c r="F1505" s="2" t="s">
        <v>4933</v>
      </c>
      <c r="G1505" s="2" t="s">
        <v>4934</v>
      </c>
      <c r="H1505" s="7"/>
      <c r="I1505" s="2" t="s">
        <v>9</v>
      </c>
      <c r="J1505" t="s">
        <v>4933</v>
      </c>
      <c r="K1505" t="s">
        <v>7955</v>
      </c>
      <c r="L1505" s="2" t="s">
        <v>8644</v>
      </c>
      <c r="M1505" t="s">
        <v>8129</v>
      </c>
      <c r="N1505" s="4"/>
    </row>
    <row r="1506" spans="1:14" ht="26" x14ac:dyDescent="0.3">
      <c r="A1506" s="1" t="str">
        <f>HYPERLINK("https://ipmanager.doe.gov/IPManager//ExternalLink.aspx?6ibkph2k9yi6F%2B0Vz7YoTr7J5I%2BY4foY1FRVy%2BXjO64%3D","Link")</f>
        <v>Link</v>
      </c>
      <c r="B1506" s="2" t="s">
        <v>4945</v>
      </c>
      <c r="C1506" s="2" t="s">
        <v>4942</v>
      </c>
      <c r="D1506" s="2" t="s">
        <v>3527</v>
      </c>
      <c r="E1506" s="2" t="s">
        <v>4943</v>
      </c>
      <c r="F1506" s="2" t="s">
        <v>4946</v>
      </c>
      <c r="G1506" s="2" t="s">
        <v>4947</v>
      </c>
      <c r="H1506" s="7"/>
      <c r="I1506" s="2" t="s">
        <v>9</v>
      </c>
      <c r="K1506" t="e">
        <v>#N/A</v>
      </c>
      <c r="L1506" s="2" t="s">
        <v>8645</v>
      </c>
      <c r="M1506" t="s">
        <v>8185</v>
      </c>
      <c r="N1506" s="4"/>
    </row>
    <row r="1507" spans="1:14" ht="26" x14ac:dyDescent="0.3">
      <c r="A1507" s="1" t="str">
        <f>HYPERLINK("https://ipmanager.doe.gov/IPManager//ExternalLink.aspx?6ibkph2k9yi6F%2B0Vz7YoTgZwfmYxrNyK6eoTn3e40zo%3D","Link")</f>
        <v>Link</v>
      </c>
      <c r="B1507" s="2" t="s">
        <v>4941</v>
      </c>
      <c r="C1507" s="2" t="s">
        <v>4942</v>
      </c>
      <c r="D1507" s="2" t="s">
        <v>3527</v>
      </c>
      <c r="E1507" s="2" t="s">
        <v>4943</v>
      </c>
      <c r="F1507" s="2"/>
      <c r="G1507" s="2" t="s">
        <v>4944</v>
      </c>
      <c r="H1507" s="7"/>
      <c r="I1507" s="2" t="s">
        <v>9</v>
      </c>
      <c r="K1507" t="e">
        <v>#N/A</v>
      </c>
      <c r="L1507" s="2" t="s">
        <v>8645</v>
      </c>
      <c r="M1507" t="s">
        <v>8185</v>
      </c>
      <c r="N1507" s="4"/>
    </row>
    <row r="1508" spans="1:14" ht="39" x14ac:dyDescent="0.3">
      <c r="A1508" s="1" t="str">
        <f>HYPERLINK("https://ipmanager.doe.gov/IPManager//ExternalLink.aspx?6ibkph2k9yi6F%2B0Vz7YoTq6RR9BlGHHiWYfOa8KNC6M%3D","Link")</f>
        <v>Link</v>
      </c>
      <c r="B1508" s="2" t="s">
        <v>4948</v>
      </c>
      <c r="C1508" s="2" t="s">
        <v>4942</v>
      </c>
      <c r="D1508" s="2" t="s">
        <v>3527</v>
      </c>
      <c r="E1508" s="2" t="s">
        <v>4949</v>
      </c>
      <c r="F1508" s="2" t="s">
        <v>4950</v>
      </c>
      <c r="G1508" s="2" t="s">
        <v>4000</v>
      </c>
      <c r="H1508" s="7"/>
      <c r="I1508" s="2" t="s">
        <v>9</v>
      </c>
      <c r="J1508" t="s">
        <v>7564</v>
      </c>
      <c r="K1508" t="s">
        <v>7956</v>
      </c>
      <c r="L1508" s="2" t="s">
        <v>8645</v>
      </c>
      <c r="M1508" t="s">
        <v>8185</v>
      </c>
      <c r="N1508" s="4"/>
    </row>
    <row r="1509" spans="1:14" ht="26" x14ac:dyDescent="0.3">
      <c r="A1509" s="1" t="str">
        <f>HYPERLINK("https://ipmanager.doe.gov/IPManager//ExternalLink.aspx?6ibkph2k9yi6F%2B0Vz7YoTq6RR9BlGHHi1LjE2mQ9v3w%3D","Link")</f>
        <v>Link</v>
      </c>
      <c r="B1509" s="2" t="s">
        <v>4951</v>
      </c>
      <c r="C1509" s="2" t="s">
        <v>4942</v>
      </c>
      <c r="D1509" s="2" t="s">
        <v>3527</v>
      </c>
      <c r="E1509" s="2" t="s">
        <v>4952</v>
      </c>
      <c r="F1509" s="2"/>
      <c r="G1509" s="2" t="s">
        <v>9</v>
      </c>
      <c r="H1509" s="7"/>
      <c r="I1509" s="2" t="s">
        <v>9</v>
      </c>
      <c r="K1509" t="e">
        <v>#N/A</v>
      </c>
      <c r="L1509" s="2" t="s">
        <v>8645</v>
      </c>
      <c r="M1509" t="s">
        <v>8185</v>
      </c>
      <c r="N1509" s="4"/>
    </row>
    <row r="1510" spans="1:14" ht="39" x14ac:dyDescent="0.3">
      <c r="A1510" s="1" t="str">
        <f>HYPERLINK("https://ipmanager.doe.gov/IPManager//ExternalLink.aspx?6ibkph2k9yi6F%2B0Vz7YoTjnDGhmGHGI7zkYIbhaIPos%3D","Link")</f>
        <v>Link</v>
      </c>
      <c r="B1510" s="2" t="s">
        <v>4953</v>
      </c>
      <c r="C1510" s="2" t="s">
        <v>4942</v>
      </c>
      <c r="D1510" s="2" t="s">
        <v>3527</v>
      </c>
      <c r="E1510" s="2" t="s">
        <v>4954</v>
      </c>
      <c r="F1510" s="2" t="s">
        <v>4955</v>
      </c>
      <c r="G1510" s="2" t="s">
        <v>751</v>
      </c>
      <c r="H1510" s="7"/>
      <c r="I1510" s="2" t="s">
        <v>9</v>
      </c>
      <c r="J1510" t="s">
        <v>7565</v>
      </c>
      <c r="K1510" t="s">
        <v>7957</v>
      </c>
      <c r="L1510" s="2" t="s">
        <v>8645</v>
      </c>
      <c r="M1510" t="s">
        <v>8185</v>
      </c>
      <c r="N1510" s="4"/>
    </row>
    <row r="1511" spans="1:14" ht="39" x14ac:dyDescent="0.3">
      <c r="A1511" s="1" t="str">
        <f>HYPERLINK("https://ipmanager.doe.gov/IPManager//ExternalLink.aspx?6ibkph2k9yi6F%2B0Vz7YoTr7J5I%2BY4foYLEffcp1iW4w%3D","Link")</f>
        <v>Link</v>
      </c>
      <c r="B1511" s="2" t="s">
        <v>4956</v>
      </c>
      <c r="C1511" s="2" t="s">
        <v>4942</v>
      </c>
      <c r="D1511" s="2" t="s">
        <v>3527</v>
      </c>
      <c r="E1511" s="2" t="s">
        <v>4957</v>
      </c>
      <c r="F1511" s="2" t="s">
        <v>4958</v>
      </c>
      <c r="G1511" s="2" t="s">
        <v>751</v>
      </c>
      <c r="H1511" s="7"/>
      <c r="I1511" s="2" t="s">
        <v>9</v>
      </c>
      <c r="J1511" t="s">
        <v>7566</v>
      </c>
      <c r="K1511" t="s">
        <v>7958</v>
      </c>
      <c r="L1511" s="2" t="s">
        <v>8645</v>
      </c>
      <c r="M1511" t="s">
        <v>8185</v>
      </c>
      <c r="N1511" s="4"/>
    </row>
    <row r="1512" spans="1:14" ht="39" x14ac:dyDescent="0.3">
      <c r="A1512" s="1" t="str">
        <f>HYPERLINK("https://ipmanager.doe.gov/IPManager//ExternalLink.aspx?6ibkph2k9yi6F%2B0Vz7YoTgZwfmYxrNyKTphxrs7IWzg%3D","Link")</f>
        <v>Link</v>
      </c>
      <c r="B1512" s="2" t="s">
        <v>4959</v>
      </c>
      <c r="C1512" s="2" t="s">
        <v>4960</v>
      </c>
      <c r="D1512" s="2" t="s">
        <v>4961</v>
      </c>
      <c r="E1512" s="2" t="s">
        <v>4962</v>
      </c>
      <c r="F1512" s="2" t="s">
        <v>7605</v>
      </c>
      <c r="G1512" s="2" t="s">
        <v>4963</v>
      </c>
      <c r="H1512" s="7"/>
      <c r="I1512" s="2" t="s">
        <v>9</v>
      </c>
      <c r="J1512" t="s">
        <v>4466</v>
      </c>
      <c r="K1512" t="s">
        <v>7945</v>
      </c>
      <c r="L1512" s="2" t="s">
        <v>8646</v>
      </c>
      <c r="M1512" t="s">
        <v>8186</v>
      </c>
      <c r="N1512" s="4"/>
    </row>
    <row r="1513" spans="1:14" ht="39" x14ac:dyDescent="0.3">
      <c r="A1513" s="1" t="str">
        <f>HYPERLINK("https://ipmanager.doe.gov/IPManager//ExternalLink.aspx?6ibkph2k9yi6F%2B0Vz7YoTgZwfmYxrNyKaQvy6yzW%2FfI%3D","Link")</f>
        <v>Link</v>
      </c>
      <c r="B1513" s="2" t="s">
        <v>4964</v>
      </c>
      <c r="C1513" s="2" t="s">
        <v>4960</v>
      </c>
      <c r="D1513" s="2" t="s">
        <v>4961</v>
      </c>
      <c r="E1513" s="2" t="s">
        <v>4962</v>
      </c>
      <c r="F1513" s="2"/>
      <c r="G1513" s="2" t="s">
        <v>9</v>
      </c>
      <c r="H1513" s="7"/>
      <c r="I1513" s="2" t="s">
        <v>9</v>
      </c>
      <c r="K1513" t="e">
        <v>#N/A</v>
      </c>
      <c r="L1513" s="2" t="s">
        <v>8646</v>
      </c>
      <c r="M1513" t="s">
        <v>8186</v>
      </c>
      <c r="N1513" s="4"/>
    </row>
    <row r="1514" spans="1:14" ht="39" x14ac:dyDescent="0.3">
      <c r="A1514" s="1" t="str">
        <f>HYPERLINK("https://ipmanager.doe.gov/IPManager//ExternalLink.aspx?6ibkph2k9yi6F%2B0Vz7YoTvPUg%2FVZPl3iGnh7P7EbQ1o%3D","Link")</f>
        <v>Link</v>
      </c>
      <c r="B1514" s="2" t="s">
        <v>4965</v>
      </c>
      <c r="C1514" s="2" t="s">
        <v>4966</v>
      </c>
      <c r="D1514" s="2" t="s">
        <v>1775</v>
      </c>
      <c r="E1514" s="2" t="s">
        <v>4967</v>
      </c>
      <c r="F1514" s="2"/>
      <c r="G1514" s="2" t="s">
        <v>9</v>
      </c>
      <c r="H1514" s="7"/>
      <c r="I1514" s="2" t="s">
        <v>9</v>
      </c>
      <c r="K1514" t="e">
        <v>#N/A</v>
      </c>
      <c r="L1514" s="2" t="s">
        <v>8647</v>
      </c>
      <c r="M1514" t="s">
        <v>8187</v>
      </c>
      <c r="N1514" s="4"/>
    </row>
    <row r="1515" spans="1:14" ht="26" x14ac:dyDescent="0.3">
      <c r="A1515" s="1" t="str">
        <f>HYPERLINK("https://ipmanager.doe.gov/IPManager//ExternalLink.aspx?6ibkph2k9yi6F%2B0Vz7YoTnXVN2REjGcWY5T0rlg%2Brec%3D","Link")</f>
        <v>Link</v>
      </c>
      <c r="B1515" s="2" t="s">
        <v>4968</v>
      </c>
      <c r="C1515" s="2" t="s">
        <v>4969</v>
      </c>
      <c r="D1515" s="2" t="s">
        <v>2230</v>
      </c>
      <c r="E1515" s="2" t="s">
        <v>4970</v>
      </c>
      <c r="F1515" s="2"/>
      <c r="G1515" s="2" t="s">
        <v>9</v>
      </c>
      <c r="H1515" s="7"/>
      <c r="I1515" s="2" t="s">
        <v>9</v>
      </c>
      <c r="K1515" t="e">
        <v>#N/A</v>
      </c>
      <c r="L1515" s="2" t="s">
        <v>8648</v>
      </c>
      <c r="M1515" t="s">
        <v>8188</v>
      </c>
      <c r="N1515" s="4"/>
    </row>
    <row r="1516" spans="1:14" ht="26" x14ac:dyDescent="0.3">
      <c r="A1516" s="1" t="str">
        <f>HYPERLINK("https://ipmanager.doe.gov/IPManager//ExternalLink.aspx?6ibkph2k9yi6F%2B0Vz7YoTjnDGhmGHGI7SPSGm3lZ2hY%3D","Link")</f>
        <v>Link</v>
      </c>
      <c r="B1516" s="2" t="s">
        <v>4971</v>
      </c>
      <c r="C1516" s="2" t="s">
        <v>4969</v>
      </c>
      <c r="D1516" s="2" t="s">
        <v>2230</v>
      </c>
      <c r="E1516" s="2" t="s">
        <v>4972</v>
      </c>
      <c r="F1516" s="2" t="s">
        <v>4973</v>
      </c>
      <c r="G1516" s="2" t="s">
        <v>4180</v>
      </c>
      <c r="H1516" s="2"/>
      <c r="I1516" s="2" t="s">
        <v>9</v>
      </c>
      <c r="K1516" t="e">
        <v>#N/A</v>
      </c>
      <c r="L1516" s="2" t="s">
        <v>8648</v>
      </c>
      <c r="M1516" t="s">
        <v>8188</v>
      </c>
      <c r="N1516" s="4"/>
    </row>
    <row r="1517" spans="1:14" ht="26" x14ac:dyDescent="0.3">
      <c r="A1517" s="1" t="str">
        <f>HYPERLINK("https://ipmanager.doe.gov/IPManager//ExternalLink.aspx?6ibkph2k9yi6F%2B0Vz7YoTnXVN2REjGcWVIoMDqLU1s4%3D","Link")</f>
        <v>Link</v>
      </c>
      <c r="B1517" s="2" t="s">
        <v>4976</v>
      </c>
      <c r="C1517" s="2" t="s">
        <v>4969</v>
      </c>
      <c r="D1517" s="2" t="s">
        <v>2230</v>
      </c>
      <c r="E1517" s="2" t="s">
        <v>4972</v>
      </c>
      <c r="F1517" s="2" t="s">
        <v>4974</v>
      </c>
      <c r="G1517" s="3">
        <v>42622</v>
      </c>
      <c r="H1517" s="2"/>
      <c r="I1517" s="2" t="s">
        <v>9</v>
      </c>
      <c r="K1517" t="e">
        <v>#N/A</v>
      </c>
      <c r="L1517" s="2" t="s">
        <v>8648</v>
      </c>
      <c r="M1517" t="s">
        <v>8188</v>
      </c>
      <c r="N1517" s="4"/>
    </row>
    <row r="1518" spans="1:14" ht="26" x14ac:dyDescent="0.3">
      <c r="A1518" s="1" t="str">
        <f>HYPERLINK("https://ipmanager.doe.gov/IPManager//ExternalLink.aspx?6ibkph2k9yi6F%2B0Vz7YoTnXVN2REjGcW1b97dXN%2BF8s%3D","Link")</f>
        <v>Link</v>
      </c>
      <c r="B1518" s="2" t="s">
        <v>4979</v>
      </c>
      <c r="C1518" s="2" t="s">
        <v>4969</v>
      </c>
      <c r="D1518" s="2" t="s">
        <v>2230</v>
      </c>
      <c r="E1518" s="2" t="s">
        <v>4972</v>
      </c>
      <c r="F1518" s="2" t="s">
        <v>4973</v>
      </c>
      <c r="G1518" s="2" t="s">
        <v>4180</v>
      </c>
      <c r="H1518" s="2"/>
      <c r="I1518" s="2" t="s">
        <v>9</v>
      </c>
      <c r="K1518" t="e">
        <v>#N/A</v>
      </c>
      <c r="L1518" s="2" t="s">
        <v>8648</v>
      </c>
      <c r="M1518" t="s">
        <v>8188</v>
      </c>
      <c r="N1518" s="4"/>
    </row>
    <row r="1519" spans="1:14" ht="26" x14ac:dyDescent="0.3">
      <c r="A1519" s="1" t="str">
        <f>HYPERLINK("https://ipmanager.doe.gov/IPManager//ExternalLink.aspx?6ibkph2k9yi6F%2B0Vz7YoTjnDGhmGHGI7SBjBtI%2BFItU%3D","Link")</f>
        <v>Link</v>
      </c>
      <c r="B1519" s="2" t="s">
        <v>4980</v>
      </c>
      <c r="C1519" s="2" t="s">
        <v>4969</v>
      </c>
      <c r="D1519" s="2" t="s">
        <v>2230</v>
      </c>
      <c r="E1519" s="2" t="s">
        <v>4972</v>
      </c>
      <c r="F1519" s="2" t="s">
        <v>4977</v>
      </c>
      <c r="G1519" s="2" t="s">
        <v>4981</v>
      </c>
      <c r="H1519" s="2"/>
      <c r="I1519" s="2" t="s">
        <v>9</v>
      </c>
      <c r="K1519" t="e">
        <v>#N/A</v>
      </c>
      <c r="L1519" s="2" t="s">
        <v>8648</v>
      </c>
      <c r="M1519" t="s">
        <v>8188</v>
      </c>
      <c r="N1519" s="4"/>
    </row>
    <row r="1520" spans="1:14" ht="26" x14ac:dyDescent="0.3">
      <c r="A1520" s="1" t="str">
        <f>HYPERLINK("https://ipmanager.doe.gov/IPManager//ExternalLink.aspx?6ibkph2k9yi6F%2B0Vz7YoTo7DPLa3%2F%2FGgHQ4%2BFpGfwNA%3D","Link")</f>
        <v>Link</v>
      </c>
      <c r="B1520" s="2" t="s">
        <v>4982</v>
      </c>
      <c r="C1520" s="2" t="s">
        <v>4969</v>
      </c>
      <c r="D1520" s="2" t="s">
        <v>2230</v>
      </c>
      <c r="E1520" s="2" t="s">
        <v>4972</v>
      </c>
      <c r="F1520" s="2" t="s">
        <v>4983</v>
      </c>
      <c r="G1520" s="2" t="s">
        <v>4978</v>
      </c>
      <c r="H1520" s="2"/>
      <c r="I1520" s="2" t="s">
        <v>9</v>
      </c>
      <c r="J1520" t="s">
        <v>4983</v>
      </c>
      <c r="K1520" t="s">
        <v>7954</v>
      </c>
      <c r="L1520" s="2" t="s">
        <v>8648</v>
      </c>
      <c r="M1520" t="s">
        <v>8188</v>
      </c>
      <c r="N1520" s="4"/>
    </row>
    <row r="1521" spans="1:14" ht="39" x14ac:dyDescent="0.3">
      <c r="A1521" s="1" t="str">
        <f>HYPERLINK("https://ipmanager.doe.gov/IPManager//ExternalLink.aspx?6ibkph2k9yi6F%2B0Vz7YoTo7DPLa3%2F%2FGgWg6njC3i3so%3D","Link")</f>
        <v>Link</v>
      </c>
      <c r="B1521" s="2" t="s">
        <v>4984</v>
      </c>
      <c r="C1521" s="2" t="s">
        <v>4985</v>
      </c>
      <c r="D1521" s="2" t="s">
        <v>4986</v>
      </c>
      <c r="E1521" s="2" t="s">
        <v>4987</v>
      </c>
      <c r="F1521" s="2" t="s">
        <v>4988</v>
      </c>
      <c r="G1521" s="2" t="s">
        <v>4989</v>
      </c>
      <c r="H1521" s="7"/>
      <c r="I1521" s="2" t="s">
        <v>9</v>
      </c>
      <c r="K1521" t="e">
        <v>#N/A</v>
      </c>
      <c r="L1521" s="2" t="s">
        <v>8649</v>
      </c>
      <c r="M1521" t="s">
        <v>8189</v>
      </c>
      <c r="N1521" s="4"/>
    </row>
    <row r="1522" spans="1:14" ht="39" x14ac:dyDescent="0.3">
      <c r="A1522" s="1" t="str">
        <f>HYPERLINK("https://ipmanager.doe.gov/IPManager//ExternalLink.aspx?6ibkph2k9yi6F%2B0Vz7YoTo7DPLa3%2F%2FGgxBtTmc%2Bpi34%3D","Link")</f>
        <v>Link</v>
      </c>
      <c r="B1522" s="2" t="s">
        <v>4990</v>
      </c>
      <c r="C1522" s="2" t="s">
        <v>4985</v>
      </c>
      <c r="D1522" s="2" t="s">
        <v>4986</v>
      </c>
      <c r="E1522" s="2" t="s">
        <v>4987</v>
      </c>
      <c r="F1522" s="2" t="s">
        <v>4991</v>
      </c>
      <c r="G1522" s="2" t="s">
        <v>1270</v>
      </c>
      <c r="H1522" s="7"/>
      <c r="I1522" s="2" t="s">
        <v>9</v>
      </c>
      <c r="J1522" t="s">
        <v>4991</v>
      </c>
      <c r="K1522" t="s">
        <v>7704</v>
      </c>
      <c r="L1522" s="2" t="s">
        <v>8649</v>
      </c>
      <c r="M1522" t="s">
        <v>8189</v>
      </c>
      <c r="N1522" s="4"/>
    </row>
    <row r="1523" spans="1:14" ht="52" x14ac:dyDescent="0.3">
      <c r="A1523" s="1" t="str">
        <f>HYPERLINK("https://ipmanager.doe.gov/IPManager//ExternalLink.aspx?6ibkph2k9yi6F%2B0Vz7YoTo7DPLa3%2F%2FGgMvPiwdx6%2Fpg%3D","Link")</f>
        <v>Link</v>
      </c>
      <c r="B1523" s="2" t="s">
        <v>4992</v>
      </c>
      <c r="C1523" s="2" t="s">
        <v>4985</v>
      </c>
      <c r="D1523" s="2" t="s">
        <v>4986</v>
      </c>
      <c r="E1523" s="2" t="s">
        <v>4993</v>
      </c>
      <c r="F1523" s="2" t="s">
        <v>4994</v>
      </c>
      <c r="G1523" s="2" t="s">
        <v>2550</v>
      </c>
      <c r="H1523" s="7"/>
      <c r="I1523" s="2" t="s">
        <v>9</v>
      </c>
      <c r="K1523" t="e">
        <v>#N/A</v>
      </c>
      <c r="L1523" s="2" t="s">
        <v>8649</v>
      </c>
      <c r="M1523" t="s">
        <v>8189</v>
      </c>
      <c r="N1523" s="4"/>
    </row>
    <row r="1524" spans="1:14" ht="65" x14ac:dyDescent="0.3">
      <c r="A1524" s="1" t="str">
        <f>HYPERLINK("https://ipmanager.doe.gov/IPManager//ExternalLink.aspx?6ibkph2k9yi6F%2B0Vz7YoTjnDGhmGHGI7%2BFEj%2BU1wkcE%3D","Link")</f>
        <v>Link</v>
      </c>
      <c r="B1524" s="2" t="s">
        <v>4997</v>
      </c>
      <c r="C1524" s="2" t="s">
        <v>4985</v>
      </c>
      <c r="D1524" s="2" t="s">
        <v>4986</v>
      </c>
      <c r="E1524" s="2" t="s">
        <v>4998</v>
      </c>
      <c r="F1524" s="2" t="s">
        <v>4999</v>
      </c>
      <c r="G1524" s="2" t="s">
        <v>2409</v>
      </c>
      <c r="H1524" s="7"/>
      <c r="I1524" s="2" t="s">
        <v>9</v>
      </c>
      <c r="K1524" t="e">
        <v>#N/A</v>
      </c>
      <c r="L1524" s="2" t="s">
        <v>8649</v>
      </c>
      <c r="M1524" t="s">
        <v>8189</v>
      </c>
      <c r="N1524" s="4"/>
    </row>
    <row r="1525" spans="1:14" ht="39" x14ac:dyDescent="0.3">
      <c r="A1525" s="1" t="str">
        <f>HYPERLINK("https://ipmanager.doe.gov/IPManager//ExternalLink.aspx?6ibkph2k9yi6F%2B0Vz7YoTjnDGhmGHGI7pdgXNLNuhsY%3D","Link")</f>
        <v>Link</v>
      </c>
      <c r="B1525" s="2" t="s">
        <v>5000</v>
      </c>
      <c r="C1525" s="2" t="s">
        <v>4985</v>
      </c>
      <c r="D1525" s="2" t="s">
        <v>4986</v>
      </c>
      <c r="E1525" s="2" t="s">
        <v>5001</v>
      </c>
      <c r="F1525" s="2" t="s">
        <v>5002</v>
      </c>
      <c r="G1525" s="2" t="s">
        <v>4095</v>
      </c>
      <c r="H1525" s="7"/>
      <c r="I1525" s="2" t="s">
        <v>9</v>
      </c>
      <c r="K1525" t="e">
        <v>#N/A</v>
      </c>
      <c r="L1525" s="2" t="s">
        <v>8649</v>
      </c>
      <c r="M1525" t="s">
        <v>8189</v>
      </c>
      <c r="N1525" s="4"/>
    </row>
    <row r="1526" spans="1:14" ht="52" x14ac:dyDescent="0.3">
      <c r="A1526" s="1" t="str">
        <f>HYPERLINK("https://ipmanager.doe.gov/IPManager//ExternalLink.aspx?6ibkph2k9yi6F%2B0Vz7YoTvE8yjoHgvp6%2FNNhiiBaKWI%3D","Link")</f>
        <v>Link</v>
      </c>
      <c r="B1526" s="2" t="s">
        <v>4995</v>
      </c>
      <c r="C1526" s="2" t="s">
        <v>4985</v>
      </c>
      <c r="D1526" s="2" t="s">
        <v>4986</v>
      </c>
      <c r="E1526" s="2" t="s">
        <v>4996</v>
      </c>
      <c r="F1526" s="2"/>
      <c r="G1526" s="2" t="s">
        <v>9</v>
      </c>
      <c r="H1526" s="7"/>
      <c r="I1526" s="2" t="s">
        <v>9</v>
      </c>
      <c r="K1526" t="e">
        <v>#N/A</v>
      </c>
      <c r="L1526" s="2" t="s">
        <v>8649</v>
      </c>
      <c r="M1526" t="s">
        <v>8189</v>
      </c>
      <c r="N1526" s="4"/>
    </row>
    <row r="1527" spans="1:14" ht="52" x14ac:dyDescent="0.3">
      <c r="A1527" s="1" t="str">
        <f>HYPERLINK("https://ipmanager.doe.gov/IPManager//ExternalLink.aspx?6ibkph2k9yi6F%2B0Vz7YoTjnDGhmGHGI73YpUsP4QN2M%3D","Link")</f>
        <v>Link</v>
      </c>
      <c r="B1527" s="2" t="s">
        <v>5003</v>
      </c>
      <c r="C1527" s="2" t="s">
        <v>5004</v>
      </c>
      <c r="D1527" s="2" t="s">
        <v>5005</v>
      </c>
      <c r="E1527" s="2" t="s">
        <v>5006</v>
      </c>
      <c r="F1527" s="2"/>
      <c r="G1527" s="2" t="s">
        <v>9</v>
      </c>
      <c r="H1527" s="7"/>
      <c r="I1527" s="2" t="s">
        <v>9</v>
      </c>
      <c r="K1527" t="e">
        <v>#N/A</v>
      </c>
      <c r="L1527" s="2" t="s">
        <v>8650</v>
      </c>
      <c r="M1527" t="s">
        <v>8190</v>
      </c>
      <c r="N1527" s="4"/>
    </row>
    <row r="1528" spans="1:14" ht="26" x14ac:dyDescent="0.3">
      <c r="A1528" s="1" t="str">
        <f>HYPERLINK("https://ipmanager.doe.gov/IPManager//ExternalLink.aspx?6ibkph2k9yi6F%2B0Vz7YoTjnDGhmGHGI738iZg0YX2cI%3D","Link")</f>
        <v>Link</v>
      </c>
      <c r="B1528" s="2" t="s">
        <v>5007</v>
      </c>
      <c r="C1528" s="2" t="s">
        <v>5008</v>
      </c>
      <c r="D1528" s="2" t="s">
        <v>293</v>
      </c>
      <c r="E1528" s="2" t="s">
        <v>5009</v>
      </c>
      <c r="F1528" s="2"/>
      <c r="G1528" s="2" t="s">
        <v>9</v>
      </c>
      <c r="H1528" s="7"/>
      <c r="I1528" s="2" t="s">
        <v>9</v>
      </c>
      <c r="K1528" t="e">
        <v>#N/A</v>
      </c>
      <c r="L1528" s="2" t="s">
        <v>8651</v>
      </c>
      <c r="M1528" t="s">
        <v>8191</v>
      </c>
      <c r="N1528" s="4"/>
    </row>
    <row r="1529" spans="1:14" ht="39" x14ac:dyDescent="0.3">
      <c r="A1529" s="1" t="str">
        <f>HYPERLINK("https://ipmanager.doe.gov/IPManager//ExternalLink.aspx?6ibkph2k9yi6F%2B0Vz7YoTq6RR9BlGHHie4N4khzQtOQ%3D","Link")</f>
        <v>Link</v>
      </c>
      <c r="B1529" s="2" t="s">
        <v>5010</v>
      </c>
      <c r="C1529" s="2" t="s">
        <v>5011</v>
      </c>
      <c r="D1529" s="2" t="s">
        <v>5012</v>
      </c>
      <c r="E1529" s="2" t="s">
        <v>5013</v>
      </c>
      <c r="F1529" s="2" t="s">
        <v>5014</v>
      </c>
      <c r="G1529" s="2" t="s">
        <v>759</v>
      </c>
      <c r="H1529" s="7"/>
      <c r="I1529" s="2" t="s">
        <v>9</v>
      </c>
      <c r="K1529" t="e">
        <v>#N/A</v>
      </c>
      <c r="L1529" s="2" t="s">
        <v>8652</v>
      </c>
      <c r="M1529" t="s">
        <v>8192</v>
      </c>
      <c r="N1529" s="4"/>
    </row>
    <row r="1530" spans="1:14" ht="26" x14ac:dyDescent="0.3">
      <c r="A1530" s="1" t="str">
        <f>HYPERLINK("https://ipmanager.doe.gov/IPManager//ExternalLink.aspx?6ibkph2k9yi6F%2B0Vz7YoTq6RR9BlGHHi4ie%2Br%2FnuwMw%3D","Link")</f>
        <v>Link</v>
      </c>
      <c r="B1530" s="2" t="s">
        <v>5015</v>
      </c>
      <c r="C1530" s="2" t="s">
        <v>5016</v>
      </c>
      <c r="D1530" s="2" t="s">
        <v>3062</v>
      </c>
      <c r="E1530" s="2" t="s">
        <v>5017</v>
      </c>
      <c r="F1530" s="2" t="s">
        <v>5018</v>
      </c>
      <c r="G1530" s="2" t="s">
        <v>2774</v>
      </c>
      <c r="H1530" s="7" t="s">
        <v>5019</v>
      </c>
      <c r="I1530" s="2" t="s">
        <v>352</v>
      </c>
      <c r="K1530" t="e">
        <v>#N/A</v>
      </c>
      <c r="L1530" s="2" t="s">
        <v>8597</v>
      </c>
      <c r="M1530" t="s">
        <v>8139</v>
      </c>
    </row>
    <row r="1531" spans="1:14" ht="39" x14ac:dyDescent="0.3">
      <c r="A1531" s="1" t="str">
        <f>HYPERLINK("https://ipmanager.doe.gov/IPManager//ExternalLink.aspx?6ibkph2k9yi6F%2B0Vz7YoTkqAgjuWMa9QYrgpD4D1aXw%3D","Link")</f>
        <v>Link</v>
      </c>
      <c r="B1531" s="2" t="s">
        <v>5037</v>
      </c>
      <c r="C1531" s="2" t="s">
        <v>5021</v>
      </c>
      <c r="D1531" s="2" t="s">
        <v>2230</v>
      </c>
      <c r="E1531" s="2" t="s">
        <v>5038</v>
      </c>
      <c r="F1531" s="2"/>
      <c r="G1531" s="2" t="s">
        <v>9</v>
      </c>
      <c r="H1531" s="7"/>
      <c r="I1531" s="2" t="s">
        <v>9</v>
      </c>
      <c r="K1531" t="e">
        <v>#N/A</v>
      </c>
      <c r="L1531" s="2" t="s">
        <v>8653</v>
      </c>
      <c r="M1531" t="s">
        <v>8193</v>
      </c>
      <c r="N1531" s="4"/>
    </row>
    <row r="1532" spans="1:14" ht="39" x14ac:dyDescent="0.3">
      <c r="A1532" s="1" t="str">
        <f>HYPERLINK("https://ipmanager.doe.gov/IPManager//ExternalLink.aspx?6ibkph2k9yi6F%2B0Vz7YoTo7DPLa3%2F%2FGgEAweWBJQ%2FJQ%3D","Link")</f>
        <v>Link</v>
      </c>
      <c r="B1532" s="2" t="s">
        <v>5039</v>
      </c>
      <c r="C1532" s="2" t="s">
        <v>5021</v>
      </c>
      <c r="D1532" s="2" t="s">
        <v>2230</v>
      </c>
      <c r="E1532" s="2" t="s">
        <v>5040</v>
      </c>
      <c r="F1532" s="2"/>
      <c r="G1532" s="2" t="s">
        <v>9</v>
      </c>
      <c r="H1532" s="7"/>
      <c r="I1532" s="2" t="s">
        <v>9</v>
      </c>
      <c r="K1532" t="e">
        <v>#N/A</v>
      </c>
      <c r="L1532" s="2" t="s">
        <v>8653</v>
      </c>
      <c r="M1532" t="s">
        <v>8193</v>
      </c>
      <c r="N1532" s="4"/>
    </row>
    <row r="1533" spans="1:14" ht="26" x14ac:dyDescent="0.3">
      <c r="A1533" s="1" t="str">
        <f>HYPERLINK("https://ipmanager.doe.gov/IPManager//ExternalLink.aspx?6ibkph2k9yi6F%2B0Vz7YoTipZ798QK%2BbP%2BySXLt%2FAxOY%3D","Link")</f>
        <v>Link</v>
      </c>
      <c r="B1533" s="2" t="s">
        <v>5020</v>
      </c>
      <c r="C1533" s="2" t="s">
        <v>5021</v>
      </c>
      <c r="D1533" s="2" t="s">
        <v>2230</v>
      </c>
      <c r="E1533" s="2" t="s">
        <v>5022</v>
      </c>
      <c r="F1533" s="2" t="s">
        <v>5023</v>
      </c>
      <c r="G1533" s="2" t="s">
        <v>5024</v>
      </c>
      <c r="H1533" s="2"/>
      <c r="I1533" s="2" t="s">
        <v>9</v>
      </c>
      <c r="K1533" t="e">
        <v>#N/A</v>
      </c>
      <c r="L1533" s="2" t="s">
        <v>8653</v>
      </c>
      <c r="M1533" t="s">
        <v>8193</v>
      </c>
      <c r="N1533" s="4"/>
    </row>
    <row r="1534" spans="1:14" ht="26" x14ac:dyDescent="0.3">
      <c r="A1534" s="1" t="str">
        <f>HYPERLINK("https://ipmanager.doe.gov/IPManager//ExternalLink.aspx?6ibkph2k9yi6F%2B0Vz7YoTgZwfmYxrNyKo5LHlHh34yA%3D","Link")</f>
        <v>Link</v>
      </c>
      <c r="B1534" s="2" t="s">
        <v>5025</v>
      </c>
      <c r="C1534" s="2" t="s">
        <v>5021</v>
      </c>
      <c r="D1534" s="2" t="s">
        <v>2230</v>
      </c>
      <c r="E1534" s="2" t="s">
        <v>5022</v>
      </c>
      <c r="F1534" s="2" t="s">
        <v>5026</v>
      </c>
      <c r="G1534" s="2" t="s">
        <v>5027</v>
      </c>
      <c r="H1534" s="2"/>
      <c r="I1534" s="2" t="s">
        <v>9</v>
      </c>
      <c r="K1534" t="e">
        <v>#N/A</v>
      </c>
      <c r="L1534" s="2" t="s">
        <v>8653</v>
      </c>
      <c r="M1534" t="s">
        <v>8193</v>
      </c>
      <c r="N1534" s="4"/>
    </row>
    <row r="1535" spans="1:14" ht="52" x14ac:dyDescent="0.3">
      <c r="A1535" s="1" t="str">
        <f>HYPERLINK("https://ipmanager.doe.gov/IPManager//ExternalLink.aspx?6ibkph2k9yi6F%2B0Vz7YoTvPUg%2FVZPl3ihTZ3pHr8dsY%3D","Link")</f>
        <v>Link</v>
      </c>
      <c r="B1535" s="2" t="s">
        <v>5028</v>
      </c>
      <c r="C1535" s="2" t="s">
        <v>5021</v>
      </c>
      <c r="D1535" s="2" t="s">
        <v>2230</v>
      </c>
      <c r="E1535" s="2" t="s">
        <v>5029</v>
      </c>
      <c r="F1535" s="2" t="s">
        <v>5030</v>
      </c>
      <c r="G1535" s="2" t="s">
        <v>2433</v>
      </c>
      <c r="H1535" s="2"/>
      <c r="I1535" s="2" t="s">
        <v>9</v>
      </c>
      <c r="K1535" t="e">
        <v>#N/A</v>
      </c>
      <c r="L1535" s="2" t="s">
        <v>8653</v>
      </c>
      <c r="M1535" t="s">
        <v>8193</v>
      </c>
      <c r="N1535" s="4"/>
    </row>
    <row r="1536" spans="1:14" ht="52" x14ac:dyDescent="0.3">
      <c r="A1536" s="1" t="str">
        <f>HYPERLINK("https://ipmanager.doe.gov/IPManager//ExternalLink.aspx?6ibkph2k9yi6F%2B0Vz7YoTvE8yjoHgvp6EbYxDJcKzRg%3D","Link")</f>
        <v>Link</v>
      </c>
      <c r="B1536" s="2" t="s">
        <v>5031</v>
      </c>
      <c r="C1536" s="2" t="s">
        <v>5021</v>
      </c>
      <c r="D1536" s="2" t="s">
        <v>2230</v>
      </c>
      <c r="E1536" s="2" t="s">
        <v>5029</v>
      </c>
      <c r="F1536" s="2" t="s">
        <v>5032</v>
      </c>
      <c r="G1536" s="2" t="s">
        <v>9</v>
      </c>
      <c r="H1536" s="2"/>
      <c r="I1536" s="2" t="s">
        <v>9</v>
      </c>
      <c r="K1536" t="e">
        <v>#N/A</v>
      </c>
      <c r="L1536" s="2" t="s">
        <v>8653</v>
      </c>
      <c r="M1536" t="s">
        <v>8193</v>
      </c>
      <c r="N1536" s="4"/>
    </row>
    <row r="1537" spans="1:14" ht="52" x14ac:dyDescent="0.3">
      <c r="A1537" s="1" t="str">
        <f>HYPERLINK("https://ipmanager.doe.gov/IPManager//ExternalLink.aspx?6ibkph2k9yi6F%2B0Vz7YoTvPUg%2FVZPl3i%2FLJ8EaSxVSk%3D","Link")</f>
        <v>Link</v>
      </c>
      <c r="B1537" s="2" t="s">
        <v>5033</v>
      </c>
      <c r="C1537" s="2" t="s">
        <v>5021</v>
      </c>
      <c r="D1537" s="2" t="s">
        <v>2230</v>
      </c>
      <c r="E1537" s="2" t="s">
        <v>5034</v>
      </c>
      <c r="F1537" s="2" t="s">
        <v>5035</v>
      </c>
      <c r="G1537" s="2" t="s">
        <v>5036</v>
      </c>
      <c r="H1537" s="2"/>
      <c r="I1537" s="2" t="s">
        <v>9</v>
      </c>
      <c r="K1537" t="e">
        <v>#N/A</v>
      </c>
      <c r="L1537" s="2" t="s">
        <v>8653</v>
      </c>
      <c r="M1537" t="s">
        <v>8193</v>
      </c>
      <c r="N1537" s="4"/>
    </row>
    <row r="1538" spans="1:14" ht="26" x14ac:dyDescent="0.3">
      <c r="A1538" s="1" t="str">
        <f>HYPERLINK("https://ipmanager.doe.gov/IPManager//ExternalLink.aspx?6ibkph2k9yi6F%2B0Vz7YoTgZwfmYxrNyKgu627q%2BZhvI%3D","Link")</f>
        <v>Link</v>
      </c>
      <c r="B1538" s="2" t="s">
        <v>5041</v>
      </c>
      <c r="C1538" s="2" t="s">
        <v>5042</v>
      </c>
      <c r="D1538" s="2" t="s">
        <v>5043</v>
      </c>
      <c r="E1538" s="2" t="s">
        <v>5044</v>
      </c>
      <c r="F1538" s="2" t="s">
        <v>5045</v>
      </c>
      <c r="G1538" s="2" t="s">
        <v>5046</v>
      </c>
      <c r="H1538" s="2"/>
      <c r="I1538" s="2" t="s">
        <v>9</v>
      </c>
      <c r="K1538" t="e">
        <v>#N/A</v>
      </c>
      <c r="L1538" s="2" t="s">
        <v>8654</v>
      </c>
      <c r="M1538" t="s">
        <v>8194</v>
      </c>
      <c r="N1538" s="4"/>
    </row>
    <row r="1539" spans="1:14" ht="52" x14ac:dyDescent="0.3">
      <c r="A1539" s="1" t="str">
        <f>HYPERLINK("https://ipmanager.doe.gov/IPManager//ExternalLink.aspx?6ibkph2k9yi6F%2B0Vz7YoTgZwfmYxrNyKwUpH02tvunE%3D","Link")</f>
        <v>Link</v>
      </c>
      <c r="B1539" s="2" t="s">
        <v>5048</v>
      </c>
      <c r="C1539" s="2" t="s">
        <v>5049</v>
      </c>
      <c r="D1539" s="2" t="s">
        <v>5050</v>
      </c>
      <c r="E1539" s="2" t="s">
        <v>5051</v>
      </c>
      <c r="F1539" s="2"/>
      <c r="G1539" s="2" t="s">
        <v>9</v>
      </c>
      <c r="H1539" s="7"/>
      <c r="I1539" s="2" t="s">
        <v>9</v>
      </c>
      <c r="K1539" t="e">
        <v>#N/A</v>
      </c>
      <c r="L1539" s="2" t="s">
        <v>8655</v>
      </c>
      <c r="M1539" t="s">
        <v>8195</v>
      </c>
      <c r="N1539" s="4"/>
    </row>
    <row r="1540" spans="1:14" ht="26" x14ac:dyDescent="0.3">
      <c r="A1540" s="1" t="str">
        <f>HYPERLINK("https://ipmanager.doe.gov/IPManager//ExternalLink.aspx?6ibkph2k9yi6F%2B0Vz7YoTjnDGhmGHGI79txfTPJ%2Fe38%3D","Link")</f>
        <v>Link</v>
      </c>
      <c r="B1540" s="2" t="s">
        <v>5053</v>
      </c>
      <c r="C1540" s="2" t="s">
        <v>5052</v>
      </c>
      <c r="D1540" s="2" t="s">
        <v>3455</v>
      </c>
      <c r="E1540" s="2" t="s">
        <v>5054</v>
      </c>
      <c r="F1540" s="2" t="s">
        <v>5055</v>
      </c>
      <c r="G1540" s="2" t="s">
        <v>2395</v>
      </c>
      <c r="H1540" s="7"/>
      <c r="I1540" s="2" t="s">
        <v>9</v>
      </c>
      <c r="K1540" t="e">
        <v>#N/A</v>
      </c>
      <c r="L1540" s="2" t="s">
        <v>8656</v>
      </c>
      <c r="M1540" t="s">
        <v>8196</v>
      </c>
      <c r="N1540" s="4"/>
    </row>
    <row r="1541" spans="1:14" ht="78" x14ac:dyDescent="0.3">
      <c r="A1541" s="1" t="str">
        <f>HYPERLINK("https://ipmanager.doe.gov/IPManager//ExternalLink.aspx?6ibkph2k9yi6F%2B0Vz7YoTq6RR9BlGHHilBpzDZSLerk%3D","Link")</f>
        <v>Link</v>
      </c>
      <c r="B1541" s="2" t="s">
        <v>5056</v>
      </c>
      <c r="C1541" s="2" t="s">
        <v>5057</v>
      </c>
      <c r="D1541" s="2" t="s">
        <v>5058</v>
      </c>
      <c r="E1541" s="2" t="s">
        <v>5059</v>
      </c>
      <c r="F1541" s="2" t="s">
        <v>5060</v>
      </c>
      <c r="G1541" s="2" t="s">
        <v>5061</v>
      </c>
      <c r="H1541" s="2"/>
      <c r="I1541" s="2" t="s">
        <v>9</v>
      </c>
      <c r="J1541" t="s">
        <v>2628</v>
      </c>
      <c r="K1541" t="s">
        <v>7887</v>
      </c>
      <c r="L1541" s="2" t="s">
        <v>8657</v>
      </c>
      <c r="M1541" t="s">
        <v>8197</v>
      </c>
      <c r="N1541" s="4"/>
    </row>
    <row r="1542" spans="1:14" ht="39" x14ac:dyDescent="0.3">
      <c r="A1542" s="1" t="str">
        <f>HYPERLINK("https://ipmanager.doe.gov/IPManager//ExternalLink.aspx?6ibkph2k9yi6F%2B0Vz7YoTjnDGhmGHGI7wZOQPMW8n5I%3D","Link")</f>
        <v>Link</v>
      </c>
      <c r="B1542" s="2" t="s">
        <v>5062</v>
      </c>
      <c r="C1542" s="2" t="s">
        <v>5063</v>
      </c>
      <c r="D1542" s="2" t="s">
        <v>5064</v>
      </c>
      <c r="E1542" s="2" t="s">
        <v>5065</v>
      </c>
      <c r="F1542" s="2"/>
      <c r="G1542" s="2" t="s">
        <v>9</v>
      </c>
      <c r="H1542" s="7"/>
      <c r="I1542" s="2" t="s">
        <v>9</v>
      </c>
      <c r="K1542" t="e">
        <v>#N/A</v>
      </c>
      <c r="L1542" s="2" t="s">
        <v>8658</v>
      </c>
      <c r="M1542" t="s">
        <v>8198</v>
      </c>
      <c r="N1542" s="4"/>
    </row>
    <row r="1543" spans="1:14" ht="39" x14ac:dyDescent="0.3">
      <c r="A1543" s="1" t="str">
        <f>HYPERLINK("https://ipmanager.doe.gov/IPManager//ExternalLink.aspx?6ibkph2k9yi6F%2B0Vz7YoTsTAnuFk5EoAv4zBHeWneLs%3D","Link")</f>
        <v>Link</v>
      </c>
      <c r="B1543" s="2" t="s">
        <v>5073</v>
      </c>
      <c r="C1543" s="2" t="s">
        <v>5063</v>
      </c>
      <c r="D1543" s="2" t="s">
        <v>5074</v>
      </c>
      <c r="E1543" s="2" t="s">
        <v>5075</v>
      </c>
      <c r="F1543" s="2" t="s">
        <v>5076</v>
      </c>
      <c r="G1543" s="2" t="s">
        <v>5077</v>
      </c>
      <c r="H1543" s="8">
        <v>10184138</v>
      </c>
      <c r="I1543" s="2" t="s">
        <v>5078</v>
      </c>
      <c r="K1543" t="e">
        <v>#N/A</v>
      </c>
      <c r="L1543" s="2" t="s">
        <v>8658</v>
      </c>
      <c r="M1543" t="s">
        <v>8198</v>
      </c>
    </row>
    <row r="1544" spans="1:14" ht="26" x14ac:dyDescent="0.3">
      <c r="A1544" s="1" t="str">
        <f>HYPERLINK("https://ipmanager.doe.gov/IPManager//ExternalLink.aspx?6ibkph2k9yi6F%2B0Vz7YoTo7DPLa3%2F%2FGg%2BLcWlMeQabs%3D","Link")</f>
        <v>Link</v>
      </c>
      <c r="B1544" s="2" t="s">
        <v>5079</v>
      </c>
      <c r="C1544" s="2" t="s">
        <v>5063</v>
      </c>
      <c r="D1544" s="2" t="s">
        <v>5064</v>
      </c>
      <c r="E1544" s="2" t="s">
        <v>5080</v>
      </c>
      <c r="F1544" s="2"/>
      <c r="G1544" s="2" t="s">
        <v>9</v>
      </c>
      <c r="H1544" s="7"/>
      <c r="I1544" s="2" t="s">
        <v>9</v>
      </c>
      <c r="K1544" t="e">
        <v>#N/A</v>
      </c>
      <c r="L1544" s="2" t="s">
        <v>8658</v>
      </c>
      <c r="M1544" t="s">
        <v>8198</v>
      </c>
      <c r="N1544" s="4"/>
    </row>
    <row r="1545" spans="1:14" ht="26" x14ac:dyDescent="0.3">
      <c r="A1545" s="1" t="str">
        <f>HYPERLINK("https://ipmanager.doe.gov/IPManager//ExternalLink.aspx?6ibkph2k9yi6F%2B0Vz7YoTq6RR9BlGHHiO9mYVgn8XCA%3D","Link")</f>
        <v>Link</v>
      </c>
      <c r="B1545" s="2" t="s">
        <v>5066</v>
      </c>
      <c r="C1545" s="2" t="s">
        <v>5063</v>
      </c>
      <c r="D1545" s="2" t="s">
        <v>5064</v>
      </c>
      <c r="E1545" s="2" t="s">
        <v>5067</v>
      </c>
      <c r="F1545" s="2" t="s">
        <v>5068</v>
      </c>
      <c r="G1545" s="2" t="s">
        <v>5069</v>
      </c>
      <c r="H1545" s="7"/>
      <c r="I1545" s="2" t="s">
        <v>9</v>
      </c>
      <c r="J1545" t="s">
        <v>5068</v>
      </c>
      <c r="K1545" t="s">
        <v>7948</v>
      </c>
      <c r="L1545" s="2" t="s">
        <v>8658</v>
      </c>
      <c r="M1545" t="s">
        <v>8198</v>
      </c>
      <c r="N1545" s="4"/>
    </row>
    <row r="1546" spans="1:14" ht="26" x14ac:dyDescent="0.3">
      <c r="A1546" s="1" t="str">
        <f>HYPERLINK("https://ipmanager.doe.gov/IPManager//ExternalLink.aspx?6ibkph2k9yi6F%2B0Vz7YoTjnDGhmGHGI78MSHVB3fnqI%3D","Link")</f>
        <v>Link</v>
      </c>
      <c r="B1546" s="2" t="s">
        <v>5072</v>
      </c>
      <c r="C1546" s="2" t="s">
        <v>5063</v>
      </c>
      <c r="D1546" s="2" t="s">
        <v>5064</v>
      </c>
      <c r="E1546" s="2" t="s">
        <v>5067</v>
      </c>
      <c r="F1546" s="2" t="s">
        <v>5070</v>
      </c>
      <c r="G1546" s="2" t="s">
        <v>5071</v>
      </c>
      <c r="H1546" s="7"/>
      <c r="I1546" s="2" t="s">
        <v>9</v>
      </c>
      <c r="K1546" t="e">
        <v>#N/A</v>
      </c>
      <c r="L1546" s="2" t="s">
        <v>8658</v>
      </c>
      <c r="M1546" t="s">
        <v>8198</v>
      </c>
      <c r="N1546" s="4"/>
    </row>
    <row r="1547" spans="1:14" ht="52" x14ac:dyDescent="0.3">
      <c r="A1547" s="1" t="str">
        <f>HYPERLINK("https://ipmanager.doe.gov/IPManager//ExternalLink.aspx?6ibkph2k9yi6F%2B0Vz7YoTjnDGhmGHGI7e%2Bb%2BcsqvT5U%3D","Link")</f>
        <v>Link</v>
      </c>
      <c r="B1547" s="2" t="s">
        <v>5082</v>
      </c>
      <c r="C1547" s="2" t="s">
        <v>5083</v>
      </c>
      <c r="D1547" s="2" t="s">
        <v>1318</v>
      </c>
      <c r="E1547" s="2" t="s">
        <v>5084</v>
      </c>
      <c r="F1547" s="2"/>
      <c r="G1547" s="2" t="s">
        <v>9</v>
      </c>
      <c r="H1547" s="7"/>
      <c r="I1547" s="2" t="s">
        <v>9</v>
      </c>
      <c r="K1547" t="e">
        <v>#N/A</v>
      </c>
      <c r="L1547" s="2" t="s">
        <v>8659</v>
      </c>
      <c r="M1547" t="s">
        <v>8199</v>
      </c>
      <c r="N1547" s="4"/>
    </row>
    <row r="1548" spans="1:14" ht="26" x14ac:dyDescent="0.3">
      <c r="A1548" s="1" t="str">
        <f>HYPERLINK("https://ipmanager.doe.gov/IPManager//ExternalLink.aspx?6ibkph2k9yi6F%2B0Vz7YoThEBhkR3uHVrJSw3je4ji48%3D","Link")</f>
        <v>Link</v>
      </c>
      <c r="B1548" s="2" t="s">
        <v>5085</v>
      </c>
      <c r="C1548" s="2" t="s">
        <v>5083</v>
      </c>
      <c r="D1548" s="2" t="s">
        <v>1318</v>
      </c>
      <c r="E1548" s="2" t="s">
        <v>5086</v>
      </c>
      <c r="F1548" s="2"/>
      <c r="G1548" s="2" t="s">
        <v>9</v>
      </c>
      <c r="H1548" s="7"/>
      <c r="I1548" s="2" t="s">
        <v>9</v>
      </c>
      <c r="K1548" t="e">
        <v>#N/A</v>
      </c>
      <c r="L1548" s="2" t="s">
        <v>8659</v>
      </c>
      <c r="M1548" t="s">
        <v>8199</v>
      </c>
      <c r="N1548" s="4"/>
    </row>
    <row r="1549" spans="1:14" ht="52" x14ac:dyDescent="0.3">
      <c r="A1549" s="1" t="str">
        <f>HYPERLINK("https://ipmanager.doe.gov/IPManager//ExternalLink.aspx?6ibkph2k9yi6F%2B0Vz7YoTgZwfmYxrNyKhQTe0qqwVco%3D","Link")</f>
        <v>Link</v>
      </c>
      <c r="B1549" s="2" t="s">
        <v>5087</v>
      </c>
      <c r="C1549" s="2" t="s">
        <v>5083</v>
      </c>
      <c r="D1549" s="2" t="s">
        <v>1318</v>
      </c>
      <c r="E1549" s="2" t="s">
        <v>5088</v>
      </c>
      <c r="F1549" s="2" t="s">
        <v>7648</v>
      </c>
      <c r="G1549" s="2" t="s">
        <v>5089</v>
      </c>
      <c r="H1549" s="8">
        <v>10266831</v>
      </c>
      <c r="I1549" s="2" t="s">
        <v>5090</v>
      </c>
      <c r="K1549" t="e">
        <v>#N/A</v>
      </c>
      <c r="L1549" s="2" t="s">
        <v>8659</v>
      </c>
      <c r="M1549" t="s">
        <v>8199</v>
      </c>
    </row>
    <row r="1550" spans="1:14" ht="52" x14ac:dyDescent="0.3">
      <c r="A1550" s="1" t="str">
        <f>HYPERLINK("https://ipmanager.doe.gov/IPManager//ExternalLink.aspx?6ibkph2k9yi6F%2B0Vz7YoTjnDGhmGHGI7y369QvZybXw%3D","Link")</f>
        <v>Link</v>
      </c>
      <c r="B1550" s="2" t="s">
        <v>5091</v>
      </c>
      <c r="C1550" s="2" t="s">
        <v>5083</v>
      </c>
      <c r="D1550" s="2" t="s">
        <v>1318</v>
      </c>
      <c r="E1550" s="2" t="s">
        <v>5088</v>
      </c>
      <c r="F1550" s="2" t="s">
        <v>5092</v>
      </c>
      <c r="G1550" s="2" t="s">
        <v>5093</v>
      </c>
      <c r="H1550" s="8">
        <v>9518278</v>
      </c>
      <c r="I1550" s="2" t="s">
        <v>3996</v>
      </c>
      <c r="K1550" t="e">
        <v>#N/A</v>
      </c>
      <c r="L1550" s="2" t="s">
        <v>8659</v>
      </c>
      <c r="M1550" t="s">
        <v>8199</v>
      </c>
    </row>
    <row r="1551" spans="1:14" ht="52" x14ac:dyDescent="0.3">
      <c r="A1551" s="1" t="str">
        <f>HYPERLINK("https://ipmanager.doe.gov/IPManager//ExternalLink.aspx?6ibkph2k9yi6F%2B0Vz7YoTvPUg%2FVZPl3iUwMNQ30obKw%3D","Link")</f>
        <v>Link</v>
      </c>
      <c r="B1551" s="2" t="s">
        <v>5094</v>
      </c>
      <c r="C1551" s="2" t="s">
        <v>5083</v>
      </c>
      <c r="D1551" s="2" t="s">
        <v>1318</v>
      </c>
      <c r="E1551" s="2" t="s">
        <v>5088</v>
      </c>
      <c r="F1551" s="2" t="s">
        <v>5095</v>
      </c>
      <c r="G1551" s="2" t="s">
        <v>1289</v>
      </c>
      <c r="H1551" s="8">
        <v>10006033</v>
      </c>
      <c r="I1551" s="2" t="s">
        <v>5096</v>
      </c>
      <c r="K1551" t="e">
        <v>#N/A</v>
      </c>
      <c r="L1551" s="2" t="s">
        <v>8659</v>
      </c>
      <c r="M1551" t="s">
        <v>8199</v>
      </c>
    </row>
    <row r="1552" spans="1:14" ht="26" x14ac:dyDescent="0.3">
      <c r="A1552" s="1" t="str">
        <f>HYPERLINK("https://ipmanager.doe.gov/IPManager//ExternalLink.aspx?6ibkph2k9yi6F%2B0Vz7YoTgZwfmYxrNyKpUv6W8QeknQ%3D","Link")</f>
        <v>Link</v>
      </c>
      <c r="B1552" s="2" t="s">
        <v>5102</v>
      </c>
      <c r="C1552" s="2" t="s">
        <v>5098</v>
      </c>
      <c r="D1552" s="2" t="s">
        <v>1891</v>
      </c>
      <c r="E1552" s="2" t="s">
        <v>5103</v>
      </c>
      <c r="F1552" s="2" t="s">
        <v>5104</v>
      </c>
      <c r="G1552" s="2" t="s">
        <v>5105</v>
      </c>
      <c r="H1552" s="7"/>
      <c r="I1552" s="2" t="s">
        <v>9</v>
      </c>
      <c r="K1552" t="e">
        <v>#N/A</v>
      </c>
      <c r="L1552" s="2" t="s">
        <v>8660</v>
      </c>
      <c r="M1552" t="s">
        <v>8200</v>
      </c>
      <c r="N1552" s="4"/>
    </row>
    <row r="1553" spans="1:14" ht="26" x14ac:dyDescent="0.3">
      <c r="A1553" s="1" t="str">
        <f>HYPERLINK("https://ipmanager.doe.gov/IPManager//ExternalLink.aspx?6ibkph2k9yi6F%2B0Vz7YoTjnDGhmGHGI7ZfuK4B1ElVc%3D","Link")</f>
        <v>Link</v>
      </c>
      <c r="B1553" s="2" t="s">
        <v>5108</v>
      </c>
      <c r="C1553" s="2" t="s">
        <v>5098</v>
      </c>
      <c r="D1553" s="2" t="s">
        <v>1891</v>
      </c>
      <c r="E1553" s="2" t="s">
        <v>5103</v>
      </c>
      <c r="F1553" s="2" t="s">
        <v>5109</v>
      </c>
      <c r="G1553" s="2" t="s">
        <v>5110</v>
      </c>
      <c r="H1553" s="7"/>
      <c r="I1553" s="2" t="s">
        <v>9</v>
      </c>
      <c r="J1553" t="s">
        <v>5109</v>
      </c>
      <c r="K1553" t="s">
        <v>7768</v>
      </c>
      <c r="L1553" s="2" t="s">
        <v>8660</v>
      </c>
      <c r="M1553" t="s">
        <v>8200</v>
      </c>
      <c r="N1553" s="4"/>
    </row>
    <row r="1554" spans="1:14" ht="26" x14ac:dyDescent="0.3">
      <c r="A1554" s="1" t="str">
        <f>HYPERLINK("https://ipmanager.doe.gov/IPManager//ExternalLink.aspx?6ibkph2k9yi6F%2B0Vz7YoTvPUg%2FVZPl3i1q0r%2BbJw5dc%3D","Link")</f>
        <v>Link</v>
      </c>
      <c r="B1554" s="2" t="s">
        <v>5111</v>
      </c>
      <c r="C1554" s="2" t="s">
        <v>5098</v>
      </c>
      <c r="D1554" s="2" t="s">
        <v>1891</v>
      </c>
      <c r="E1554" s="2" t="s">
        <v>5103</v>
      </c>
      <c r="F1554" s="2" t="s">
        <v>5106</v>
      </c>
      <c r="G1554" s="2" t="s">
        <v>4071</v>
      </c>
      <c r="H1554" s="7"/>
      <c r="I1554" s="2" t="s">
        <v>9</v>
      </c>
      <c r="K1554" t="e">
        <v>#N/A</v>
      </c>
      <c r="L1554" s="2" t="s">
        <v>8660</v>
      </c>
      <c r="M1554" t="s">
        <v>8200</v>
      </c>
      <c r="N1554" s="4"/>
    </row>
    <row r="1555" spans="1:14" ht="26" x14ac:dyDescent="0.3">
      <c r="A1555" s="1" t="str">
        <f>HYPERLINK("https://ipmanager.doe.gov/IPManager//ExternalLink.aspx?6ibkph2k9yi6F%2B0Vz7YoTjnDGhmGHGI7SUzkIfw1bHM%3D","Link")</f>
        <v>Link</v>
      </c>
      <c r="B1555" s="2" t="s">
        <v>5097</v>
      </c>
      <c r="C1555" s="2" t="s">
        <v>5098</v>
      </c>
      <c r="D1555" s="2" t="s">
        <v>1891</v>
      </c>
      <c r="E1555" s="2" t="s">
        <v>5099</v>
      </c>
      <c r="F1555" s="2"/>
      <c r="G1555" s="2" t="s">
        <v>9</v>
      </c>
      <c r="H1555" s="7"/>
      <c r="I1555" s="2" t="s">
        <v>9</v>
      </c>
      <c r="K1555" t="e">
        <v>#N/A</v>
      </c>
      <c r="L1555" s="2" t="s">
        <v>8660</v>
      </c>
      <c r="M1555" t="s">
        <v>8200</v>
      </c>
      <c r="N1555" s="4"/>
    </row>
    <row r="1556" spans="1:14" ht="39" x14ac:dyDescent="0.3">
      <c r="A1556" s="1" t="str">
        <f>HYPERLINK("https://ipmanager.doe.gov/IPManager//ExternalLink.aspx?6ibkph2k9yi6F%2B0Vz7YoTjnDGhmGHGI7oiyU1Z2HK%2Bs%3D","Link")</f>
        <v>Link</v>
      </c>
      <c r="B1556" s="2" t="s">
        <v>5100</v>
      </c>
      <c r="C1556" s="2" t="s">
        <v>5098</v>
      </c>
      <c r="D1556" s="2" t="s">
        <v>1891</v>
      </c>
      <c r="E1556" s="2" t="s">
        <v>5101</v>
      </c>
      <c r="F1556" s="2"/>
      <c r="G1556" s="2" t="s">
        <v>9</v>
      </c>
      <c r="H1556" s="7"/>
      <c r="I1556" s="2" t="s">
        <v>9</v>
      </c>
      <c r="K1556" t="e">
        <v>#N/A</v>
      </c>
      <c r="L1556" s="2" t="s">
        <v>8660</v>
      </c>
      <c r="M1556" t="s">
        <v>8200</v>
      </c>
      <c r="N1556" s="4"/>
    </row>
    <row r="1557" spans="1:14" ht="52" x14ac:dyDescent="0.3">
      <c r="A1557" s="1" t="str">
        <f>HYPERLINK("https://ipmanager.doe.gov/IPManager//ExternalLink.aspx?6ibkph2k9yi6F%2B0Vz7YoTvPUg%2FVZPl3iqWx8RbVG1gI%3D","Link")</f>
        <v>Link</v>
      </c>
      <c r="B1557" s="2" t="s">
        <v>5112</v>
      </c>
      <c r="C1557" s="2" t="s">
        <v>5113</v>
      </c>
      <c r="D1557" s="2" t="s">
        <v>95</v>
      </c>
      <c r="E1557" s="2" t="s">
        <v>5114</v>
      </c>
      <c r="F1557" s="2"/>
      <c r="G1557" s="2" t="s">
        <v>9</v>
      </c>
      <c r="H1557" s="7"/>
      <c r="I1557" s="2" t="s">
        <v>9</v>
      </c>
      <c r="K1557" t="e">
        <v>#N/A</v>
      </c>
      <c r="L1557" s="2" t="s">
        <v>8661</v>
      </c>
      <c r="M1557" t="s">
        <v>8201</v>
      </c>
      <c r="N1557" s="4"/>
    </row>
    <row r="1558" spans="1:14" ht="65" x14ac:dyDescent="0.3">
      <c r="A1558" s="1" t="str">
        <f>HYPERLINK("https://ipmanager.doe.gov/IPManager//ExternalLink.aspx?6ibkph2k9yi6F%2B0Vz7YoTo7DPLa3%2F%2FGgs%2FA%2FuQCeOLA%3D","Link")</f>
        <v>Link</v>
      </c>
      <c r="B1558" s="2" t="s">
        <v>5115</v>
      </c>
      <c r="C1558" s="2" t="s">
        <v>5113</v>
      </c>
      <c r="D1558" s="2" t="s">
        <v>95</v>
      </c>
      <c r="E1558" s="2" t="s">
        <v>5116</v>
      </c>
      <c r="F1558" s="2"/>
      <c r="G1558" s="2" t="s">
        <v>9</v>
      </c>
      <c r="H1558" s="7"/>
      <c r="I1558" s="2" t="s">
        <v>9</v>
      </c>
      <c r="K1558" t="e">
        <v>#N/A</v>
      </c>
      <c r="L1558" s="2" t="s">
        <v>8661</v>
      </c>
      <c r="M1558" t="s">
        <v>8201</v>
      </c>
      <c r="N1558" s="4"/>
    </row>
    <row r="1559" spans="1:14" ht="65" x14ac:dyDescent="0.3">
      <c r="A1559" s="1" t="str">
        <f>HYPERLINK("https://ipmanager.doe.gov/IPManager//ExternalLink.aspx?6ibkph2k9yi6F%2B0Vz7YoTo7DPLa3%2F%2FGgmuli%2F6pkptc%3D","Link")</f>
        <v>Link</v>
      </c>
      <c r="B1559" s="2" t="s">
        <v>5117</v>
      </c>
      <c r="C1559" s="2" t="s">
        <v>5113</v>
      </c>
      <c r="D1559" s="2" t="s">
        <v>95</v>
      </c>
      <c r="E1559" s="2" t="s">
        <v>5118</v>
      </c>
      <c r="F1559" s="2"/>
      <c r="G1559" s="2" t="s">
        <v>9</v>
      </c>
      <c r="H1559" s="7"/>
      <c r="I1559" s="2" t="s">
        <v>9</v>
      </c>
      <c r="K1559" t="e">
        <v>#N/A</v>
      </c>
      <c r="L1559" s="2" t="s">
        <v>8661</v>
      </c>
      <c r="M1559" t="s">
        <v>8201</v>
      </c>
      <c r="N1559" s="4"/>
    </row>
    <row r="1560" spans="1:14" ht="65" x14ac:dyDescent="0.3">
      <c r="A1560" s="1" t="str">
        <f>HYPERLINK("https://ipmanager.doe.gov/IPManager//ExternalLink.aspx?6ibkph2k9yi6F%2B0Vz7YoTo7DPLa3%2F%2FGgtxVbMpWWW1E%3D","Link")</f>
        <v>Link</v>
      </c>
      <c r="B1560" s="2" t="s">
        <v>5123</v>
      </c>
      <c r="C1560" s="2" t="s">
        <v>5113</v>
      </c>
      <c r="D1560" s="2" t="s">
        <v>95</v>
      </c>
      <c r="E1560" s="2" t="s">
        <v>5116</v>
      </c>
      <c r="F1560" s="2"/>
      <c r="G1560" s="2" t="s">
        <v>9</v>
      </c>
      <c r="H1560" s="7"/>
      <c r="I1560" s="2" t="s">
        <v>9</v>
      </c>
      <c r="K1560" t="e">
        <v>#N/A</v>
      </c>
      <c r="L1560" s="2" t="s">
        <v>8661</v>
      </c>
      <c r="M1560" t="s">
        <v>8201</v>
      </c>
      <c r="N1560" s="4"/>
    </row>
    <row r="1561" spans="1:14" ht="65" x14ac:dyDescent="0.3">
      <c r="A1561" s="1" t="str">
        <f>HYPERLINK("https://ipmanager.doe.gov/IPManager//ExternalLink.aspx?6ibkph2k9yi6F%2B0Vz7YoTipZ798QK%2BbPU7E4lJm1SG4%3D","Link")</f>
        <v>Link</v>
      </c>
      <c r="B1561" s="2" t="s">
        <v>5124</v>
      </c>
      <c r="C1561" s="2" t="s">
        <v>5113</v>
      </c>
      <c r="D1561" s="2" t="s">
        <v>2957</v>
      </c>
      <c r="E1561" s="2" t="s">
        <v>5116</v>
      </c>
      <c r="F1561" s="2"/>
      <c r="G1561" s="2" t="s">
        <v>9</v>
      </c>
      <c r="H1561" s="7"/>
      <c r="I1561" s="2" t="s">
        <v>9</v>
      </c>
      <c r="K1561" t="e">
        <v>#N/A</v>
      </c>
      <c r="L1561" s="2" t="s">
        <v>8661</v>
      </c>
      <c r="M1561" t="s">
        <v>8201</v>
      </c>
      <c r="N1561" s="4"/>
    </row>
    <row r="1562" spans="1:14" ht="39" x14ac:dyDescent="0.3">
      <c r="A1562" s="1" t="str">
        <f>HYPERLINK("https://ipmanager.doe.gov/IPManager//ExternalLink.aspx?6ibkph2k9yi6F%2B0Vz7YoTgZwfmYxrNyKQb6GJ9LIHsY%3D","Link")</f>
        <v>Link</v>
      </c>
      <c r="B1562" s="2" t="s">
        <v>5125</v>
      </c>
      <c r="C1562" s="2" t="s">
        <v>5113</v>
      </c>
      <c r="D1562" s="2" t="s">
        <v>95</v>
      </c>
      <c r="E1562" s="2" t="s">
        <v>5126</v>
      </c>
      <c r="F1562" s="2"/>
      <c r="G1562" s="2" t="s">
        <v>9</v>
      </c>
      <c r="H1562" s="7"/>
      <c r="I1562" s="2" t="s">
        <v>9</v>
      </c>
      <c r="K1562" t="e">
        <v>#N/A</v>
      </c>
      <c r="L1562" s="2" t="s">
        <v>8661</v>
      </c>
      <c r="M1562" t="s">
        <v>8201</v>
      </c>
      <c r="N1562" s="4"/>
    </row>
    <row r="1563" spans="1:14" ht="39" x14ac:dyDescent="0.3">
      <c r="A1563" s="1" t="str">
        <f>HYPERLINK("https://ipmanager.doe.gov/IPManager//ExternalLink.aspx?6ibkph2k9yi6F%2B0Vz7YoTgZwfmYxrNyK1YsGTJEBiHk%3D","Link")</f>
        <v>Link</v>
      </c>
      <c r="B1563" s="2" t="s">
        <v>5127</v>
      </c>
      <c r="C1563" s="2" t="s">
        <v>5113</v>
      </c>
      <c r="D1563" s="2" t="s">
        <v>95</v>
      </c>
      <c r="E1563" s="2" t="s">
        <v>5128</v>
      </c>
      <c r="F1563" s="2" t="s">
        <v>5129</v>
      </c>
      <c r="G1563" s="2" t="s">
        <v>1477</v>
      </c>
      <c r="H1563" s="7"/>
      <c r="I1563" s="2" t="s">
        <v>9</v>
      </c>
      <c r="J1563" t="s">
        <v>7567</v>
      </c>
      <c r="K1563" t="s">
        <v>7959</v>
      </c>
      <c r="L1563" s="2" t="s">
        <v>8661</v>
      </c>
      <c r="M1563" t="s">
        <v>8201</v>
      </c>
      <c r="N1563" s="4"/>
    </row>
    <row r="1564" spans="1:14" ht="39" x14ac:dyDescent="0.3">
      <c r="A1564" s="1" t="str">
        <f>HYPERLINK("https://ipmanager.doe.gov/IPManager//ExternalLink.aspx?6ibkph2k9yi6F%2B0Vz7YoTo7DPLa3%2F%2FGgFujokXT9gjc%3D","Link")</f>
        <v>Link</v>
      </c>
      <c r="B1564" s="2" t="s">
        <v>5119</v>
      </c>
      <c r="C1564" s="2" t="s">
        <v>5113</v>
      </c>
      <c r="D1564" s="2" t="s">
        <v>95</v>
      </c>
      <c r="E1564" s="2" t="s">
        <v>5120</v>
      </c>
      <c r="F1564" s="2" t="s">
        <v>5121</v>
      </c>
      <c r="G1564" s="2" t="s">
        <v>5122</v>
      </c>
      <c r="H1564" s="7"/>
      <c r="I1564" s="2" t="s">
        <v>9</v>
      </c>
      <c r="K1564" t="e">
        <v>#N/A</v>
      </c>
      <c r="L1564" s="2" t="s">
        <v>8661</v>
      </c>
      <c r="M1564" t="s">
        <v>8201</v>
      </c>
      <c r="N1564" s="4"/>
    </row>
    <row r="1565" spans="1:14" ht="26" x14ac:dyDescent="0.3">
      <c r="A1565" s="1" t="str">
        <f>HYPERLINK("https://ipmanager.doe.gov/IPManager//ExternalLink.aspx?6ibkph2k9yi6F%2B0Vz7YoTgZwfmYxrNyKl0BgIR%2BBLdI%3D","Link")</f>
        <v>Link</v>
      </c>
      <c r="B1565" s="2" t="s">
        <v>5130</v>
      </c>
      <c r="C1565" s="2" t="s">
        <v>5113</v>
      </c>
      <c r="D1565" s="2" t="s">
        <v>95</v>
      </c>
      <c r="E1565" s="2" t="s">
        <v>5131</v>
      </c>
      <c r="F1565" s="2" t="s">
        <v>5132</v>
      </c>
      <c r="G1565" s="2" t="s">
        <v>5133</v>
      </c>
      <c r="H1565" s="7"/>
      <c r="I1565" s="2" t="s">
        <v>9</v>
      </c>
      <c r="J1565" t="s">
        <v>5132</v>
      </c>
      <c r="K1565" t="s">
        <v>7750</v>
      </c>
      <c r="L1565" s="2" t="s">
        <v>8661</v>
      </c>
      <c r="M1565" t="s">
        <v>8201</v>
      </c>
      <c r="N1565" s="4"/>
    </row>
    <row r="1566" spans="1:14" ht="26" x14ac:dyDescent="0.3">
      <c r="A1566" s="1" t="str">
        <f>HYPERLINK("https://ipmanager.doe.gov/IPManager//ExternalLink.aspx?6ibkph2k9yi6F%2B0Vz7YoTipZ798QK%2BbPNs4QHQm3Gx8%3D","Link")</f>
        <v>Link</v>
      </c>
      <c r="B1566" s="2" t="s">
        <v>5134</v>
      </c>
      <c r="C1566" s="2" t="s">
        <v>5113</v>
      </c>
      <c r="D1566" s="2" t="s">
        <v>95</v>
      </c>
      <c r="E1566" s="2" t="s">
        <v>5131</v>
      </c>
      <c r="F1566" s="2" t="s">
        <v>5135</v>
      </c>
      <c r="G1566" s="2" t="s">
        <v>3666</v>
      </c>
      <c r="H1566" s="7"/>
      <c r="I1566" s="2" t="s">
        <v>9</v>
      </c>
      <c r="K1566" t="e">
        <v>#N/A</v>
      </c>
      <c r="L1566" s="2" t="s">
        <v>8661</v>
      </c>
      <c r="M1566" t="s">
        <v>8201</v>
      </c>
      <c r="N1566" s="4"/>
    </row>
    <row r="1567" spans="1:14" ht="26" x14ac:dyDescent="0.3">
      <c r="A1567" s="1" t="str">
        <f>HYPERLINK("https://ipmanager.doe.gov/IPManager//ExternalLink.aspx?6ibkph2k9yi6F%2B0Vz7YoTkqAgjuWMa9QpCa0vNUqyrs%3D","Link")</f>
        <v>Link</v>
      </c>
      <c r="B1567" s="2" t="s">
        <v>5136</v>
      </c>
      <c r="C1567" s="2" t="s">
        <v>5113</v>
      </c>
      <c r="D1567" s="2" t="s">
        <v>95</v>
      </c>
      <c r="E1567" s="2" t="s">
        <v>5131</v>
      </c>
      <c r="F1567" s="2" t="s">
        <v>5137</v>
      </c>
      <c r="G1567" s="2" t="s">
        <v>5105</v>
      </c>
      <c r="H1567" s="7"/>
      <c r="I1567" s="2" t="s">
        <v>9</v>
      </c>
      <c r="J1567" t="s">
        <v>5137</v>
      </c>
      <c r="K1567" t="s">
        <v>7751</v>
      </c>
      <c r="L1567" s="2" t="s">
        <v>8661</v>
      </c>
      <c r="M1567" t="s">
        <v>8201</v>
      </c>
      <c r="N1567" s="4"/>
    </row>
    <row r="1568" spans="1:14" ht="39" x14ac:dyDescent="0.3">
      <c r="A1568" s="1" t="str">
        <f>HYPERLINK("https://ipmanager.doe.gov/IPManager//ExternalLink.aspx?6ibkph2k9yi6F%2B0Vz7YoTjnDGhmGHGI76Q%2F12ze9v44%3D","Link")</f>
        <v>Link</v>
      </c>
      <c r="B1568" s="2" t="s">
        <v>5155</v>
      </c>
      <c r="C1568" s="2" t="s">
        <v>5139</v>
      </c>
      <c r="D1568" s="2" t="s">
        <v>770</v>
      </c>
      <c r="E1568" s="2" t="s">
        <v>5156</v>
      </c>
      <c r="F1568" s="2" t="s">
        <v>7634</v>
      </c>
      <c r="G1568" s="2" t="s">
        <v>2276</v>
      </c>
      <c r="H1568" s="7"/>
      <c r="I1568" s="2" t="s">
        <v>9</v>
      </c>
      <c r="K1568" t="e">
        <v>#N/A</v>
      </c>
      <c r="L1568" s="2" t="s">
        <v>8467</v>
      </c>
      <c r="M1568" t="s">
        <v>8005</v>
      </c>
      <c r="N1568" s="4"/>
    </row>
    <row r="1569" spans="1:14" ht="39" x14ac:dyDescent="0.3">
      <c r="A1569" s="1" t="str">
        <f>HYPERLINK("https://ipmanager.doe.gov/IPManager//ExternalLink.aspx?6ibkph2k9yi6F%2B0Vz7YoTq6RR9BlGHHi8AC0vghp3Cw%3D","Link")</f>
        <v>Link</v>
      </c>
      <c r="B1569" s="2" t="s">
        <v>5157</v>
      </c>
      <c r="C1569" s="2" t="s">
        <v>5139</v>
      </c>
      <c r="D1569" s="2" t="s">
        <v>770</v>
      </c>
      <c r="E1569" s="2" t="s">
        <v>5158</v>
      </c>
      <c r="F1569" s="2" t="s">
        <v>7635</v>
      </c>
      <c r="G1569" s="2" t="s">
        <v>288</v>
      </c>
      <c r="H1569" s="7"/>
      <c r="I1569" s="2" t="s">
        <v>9</v>
      </c>
      <c r="K1569" t="e">
        <v>#N/A</v>
      </c>
      <c r="L1569" s="2" t="s">
        <v>8467</v>
      </c>
      <c r="M1569" t="s">
        <v>8005</v>
      </c>
      <c r="N1569" s="4"/>
    </row>
    <row r="1570" spans="1:14" ht="52" x14ac:dyDescent="0.3">
      <c r="A1570" s="1" t="str">
        <f>HYPERLINK("https://ipmanager.doe.gov/IPManager//ExternalLink.aspx?6ibkph2k9yi6F%2B0Vz7YoTnXVN2REjGcWU3YQk1%2Fp%2BZM%3D","Link")</f>
        <v>Link</v>
      </c>
      <c r="B1570" s="2" t="s">
        <v>5147</v>
      </c>
      <c r="C1570" s="2" t="s">
        <v>5139</v>
      </c>
      <c r="D1570" s="2" t="s">
        <v>770</v>
      </c>
      <c r="E1570" s="2" t="s">
        <v>5148</v>
      </c>
      <c r="F1570" s="2"/>
      <c r="G1570" s="2" t="s">
        <v>9</v>
      </c>
      <c r="H1570" s="7"/>
      <c r="I1570" s="2" t="s">
        <v>9</v>
      </c>
      <c r="K1570" t="e">
        <v>#N/A</v>
      </c>
      <c r="L1570" s="2" t="s">
        <v>8467</v>
      </c>
      <c r="M1570" t="s">
        <v>8005</v>
      </c>
      <c r="N1570" s="4"/>
    </row>
    <row r="1571" spans="1:14" ht="52" x14ac:dyDescent="0.3">
      <c r="A1571" s="1" t="str">
        <f>HYPERLINK("https://ipmanager.doe.gov/IPManager//ExternalLink.aspx?6ibkph2k9yi6F%2B0Vz7YoTnXVN2REjGcWnwtlnvINslQ%3D","Link")</f>
        <v>Link</v>
      </c>
      <c r="B1571" s="2" t="s">
        <v>5149</v>
      </c>
      <c r="C1571" s="2" t="s">
        <v>5139</v>
      </c>
      <c r="D1571" s="2" t="s">
        <v>770</v>
      </c>
      <c r="E1571" s="2" t="s">
        <v>5150</v>
      </c>
      <c r="F1571" s="2"/>
      <c r="G1571" s="2" t="s">
        <v>9</v>
      </c>
      <c r="H1571" s="7"/>
      <c r="I1571" s="2" t="s">
        <v>9</v>
      </c>
      <c r="K1571" t="e">
        <v>#N/A</v>
      </c>
      <c r="L1571" s="2" t="s">
        <v>8467</v>
      </c>
      <c r="M1571" t="s">
        <v>8005</v>
      </c>
      <c r="N1571" s="4"/>
    </row>
    <row r="1572" spans="1:14" ht="39" x14ac:dyDescent="0.3">
      <c r="A1572" s="1" t="str">
        <f>HYPERLINK("https://ipmanager.doe.gov/IPManager//ExternalLink.aspx?6ibkph2k9yi6F%2B0Vz7YoTu0g4zH%2BOsvyLHTlRuAZdJQ%3D","Link")</f>
        <v>Link</v>
      </c>
      <c r="B1572" s="2" t="s">
        <v>5151</v>
      </c>
      <c r="C1572" s="2" t="s">
        <v>5139</v>
      </c>
      <c r="D1572" s="2" t="s">
        <v>770</v>
      </c>
      <c r="E1572" s="2" t="s">
        <v>5152</v>
      </c>
      <c r="F1572" s="2"/>
      <c r="G1572" s="2" t="s">
        <v>9</v>
      </c>
      <c r="H1572" s="7"/>
      <c r="I1572" s="2" t="s">
        <v>9</v>
      </c>
      <c r="K1572" t="e">
        <v>#N/A</v>
      </c>
      <c r="L1572" s="2" t="s">
        <v>8467</v>
      </c>
      <c r="M1572" t="s">
        <v>8005</v>
      </c>
      <c r="N1572" s="4"/>
    </row>
    <row r="1573" spans="1:14" ht="52" x14ac:dyDescent="0.3">
      <c r="A1573" s="1" t="str">
        <f>HYPERLINK("https://ipmanager.doe.gov/IPManager//ExternalLink.aspx?6ibkph2k9yi6F%2B0Vz7YoTjnDGhmGHGI7YDZ4M%2FEp6PU%3D","Link")</f>
        <v>Link</v>
      </c>
      <c r="B1573" s="2" t="s">
        <v>5153</v>
      </c>
      <c r="C1573" s="2" t="s">
        <v>5139</v>
      </c>
      <c r="D1573" s="2" t="s">
        <v>770</v>
      </c>
      <c r="E1573" s="2" t="s">
        <v>5154</v>
      </c>
      <c r="F1573" s="2"/>
      <c r="G1573" s="2" t="s">
        <v>9</v>
      </c>
      <c r="H1573" s="7"/>
      <c r="I1573" s="2" t="s">
        <v>9</v>
      </c>
      <c r="K1573" t="e">
        <v>#N/A</v>
      </c>
      <c r="L1573" s="2" t="s">
        <v>8467</v>
      </c>
      <c r="M1573" t="s">
        <v>8005</v>
      </c>
      <c r="N1573" s="4"/>
    </row>
    <row r="1574" spans="1:14" ht="52" x14ac:dyDescent="0.3">
      <c r="A1574" s="1" t="str">
        <f>HYPERLINK("https://ipmanager.doe.gov/IPManager//ExternalLink.aspx?6ibkph2k9yi6F%2B0Vz7YoTgZwfmYxrNyKi5TlJB7UVS8%3D","Link")</f>
        <v>Link</v>
      </c>
      <c r="B1574" s="2" t="s">
        <v>5159</v>
      </c>
      <c r="C1574" s="2" t="s">
        <v>5139</v>
      </c>
      <c r="D1574" s="2" t="s">
        <v>770</v>
      </c>
      <c r="E1574" s="2" t="s">
        <v>3761</v>
      </c>
      <c r="F1574" s="2"/>
      <c r="G1574" s="2" t="s">
        <v>9</v>
      </c>
      <c r="H1574" s="7"/>
      <c r="I1574" s="2" t="s">
        <v>9</v>
      </c>
      <c r="K1574" t="e">
        <v>#N/A</v>
      </c>
      <c r="L1574" s="2" t="s">
        <v>8467</v>
      </c>
      <c r="M1574" t="s">
        <v>8005</v>
      </c>
      <c r="N1574" s="4"/>
    </row>
    <row r="1575" spans="1:14" ht="65" x14ac:dyDescent="0.3">
      <c r="A1575" s="1" t="str">
        <f>HYPERLINK("https://ipmanager.doe.gov/IPManager//ExternalLink.aspx?6ibkph2k9yi6F%2B0Vz7YoTvPUg%2FVZPl3iOzmdWRksvQI%3D","Link")</f>
        <v>Link</v>
      </c>
      <c r="B1575" s="2" t="s">
        <v>5160</v>
      </c>
      <c r="C1575" s="2" t="s">
        <v>5139</v>
      </c>
      <c r="D1575" s="2" t="s">
        <v>770</v>
      </c>
      <c r="E1575" s="2" t="s">
        <v>5161</v>
      </c>
      <c r="F1575" s="2"/>
      <c r="G1575" s="2" t="s">
        <v>9</v>
      </c>
      <c r="H1575" s="7"/>
      <c r="I1575" s="2" t="s">
        <v>9</v>
      </c>
      <c r="K1575" t="e">
        <v>#N/A</v>
      </c>
      <c r="L1575" s="2" t="s">
        <v>8467</v>
      </c>
      <c r="M1575" t="s">
        <v>8005</v>
      </c>
      <c r="N1575" s="4"/>
    </row>
    <row r="1576" spans="1:14" ht="39" x14ac:dyDescent="0.3">
      <c r="A1576" s="1" t="str">
        <f>HYPERLINK("https://ipmanager.doe.gov/IPManager//ExternalLink.aspx?6ibkph2k9yi6F%2B0Vz7YoTvPUg%2FVZPl3iFtXvTA%2Be%2FRU%3D","Link")</f>
        <v>Link</v>
      </c>
      <c r="B1576" s="2" t="s">
        <v>5163</v>
      </c>
      <c r="C1576" s="2" t="s">
        <v>5139</v>
      </c>
      <c r="D1576" s="2" t="s">
        <v>452</v>
      </c>
      <c r="E1576" s="2" t="s">
        <v>5164</v>
      </c>
      <c r="F1576" s="2"/>
      <c r="G1576" s="2" t="s">
        <v>9</v>
      </c>
      <c r="H1576" s="7"/>
      <c r="I1576" s="2" t="s">
        <v>9</v>
      </c>
      <c r="K1576" t="e">
        <v>#N/A</v>
      </c>
      <c r="L1576" s="2" t="s">
        <v>8467</v>
      </c>
      <c r="M1576" t="s">
        <v>8005</v>
      </c>
      <c r="N1576" s="4"/>
    </row>
    <row r="1577" spans="1:14" ht="26" x14ac:dyDescent="0.3">
      <c r="A1577" s="1" t="str">
        <f>HYPERLINK("https://ipmanager.doe.gov/IPManager//ExternalLink.aspx?6ibkph2k9yi6F%2B0Vz7YoThEBhkR3uHVrXqoa7oDznjU%3D","Link")</f>
        <v>Link</v>
      </c>
      <c r="B1577" s="2" t="s">
        <v>5138</v>
      </c>
      <c r="C1577" s="2" t="s">
        <v>5139</v>
      </c>
      <c r="D1577" s="2" t="s">
        <v>5140</v>
      </c>
      <c r="E1577" s="2" t="s">
        <v>5141</v>
      </c>
      <c r="F1577" s="2" t="s">
        <v>5142</v>
      </c>
      <c r="G1577" s="2" t="s">
        <v>5143</v>
      </c>
      <c r="H1577" s="7"/>
      <c r="I1577" s="2" t="s">
        <v>9</v>
      </c>
      <c r="J1577" t="s">
        <v>5142</v>
      </c>
      <c r="K1577" t="s">
        <v>7743</v>
      </c>
      <c r="L1577" s="2" t="s">
        <v>8467</v>
      </c>
      <c r="M1577" t="s">
        <v>8005</v>
      </c>
      <c r="N1577" s="4"/>
    </row>
    <row r="1578" spans="1:14" ht="52" x14ac:dyDescent="0.3">
      <c r="A1578" s="1" t="str">
        <f>HYPERLINK("https://ipmanager.doe.gov/IPManager//ExternalLink.aspx?6ibkph2k9yi6F%2B0Vz7YoThEBhkR3uHVr6FayW9196jc%3D","Link")</f>
        <v>Link</v>
      </c>
      <c r="B1578" s="2" t="s">
        <v>5144</v>
      </c>
      <c r="C1578" s="2" t="s">
        <v>5139</v>
      </c>
      <c r="D1578" s="2" t="s">
        <v>5140</v>
      </c>
      <c r="E1578" s="2" t="s">
        <v>5145</v>
      </c>
      <c r="F1578" s="2" t="s">
        <v>7656</v>
      </c>
      <c r="G1578" s="2" t="s">
        <v>5146</v>
      </c>
      <c r="H1578" s="7"/>
      <c r="I1578" s="2" t="s">
        <v>9</v>
      </c>
      <c r="K1578" t="e">
        <v>#N/A</v>
      </c>
      <c r="L1578" s="2" t="s">
        <v>8467</v>
      </c>
      <c r="M1578" t="s">
        <v>8005</v>
      </c>
      <c r="N1578" s="4"/>
    </row>
    <row r="1579" spans="1:14" ht="26" x14ac:dyDescent="0.3">
      <c r="A1579" s="1" t="str">
        <f>HYPERLINK("https://ipmanager.doe.gov/IPManager//ExternalLink.aspx?6ibkph2k9yi6F%2B0Vz7YoTvPUg%2FVZPl3i6Cv5PznZ%2B%2BY%3D","Link")</f>
        <v>Link</v>
      </c>
      <c r="B1579" s="2" t="s">
        <v>5165</v>
      </c>
      <c r="C1579" s="2" t="s">
        <v>5166</v>
      </c>
      <c r="D1579" s="2" t="s">
        <v>5167</v>
      </c>
      <c r="E1579" s="2" t="s">
        <v>5168</v>
      </c>
      <c r="F1579" s="2"/>
      <c r="G1579" s="2" t="s">
        <v>9</v>
      </c>
      <c r="H1579" s="7"/>
      <c r="I1579" s="2" t="s">
        <v>9</v>
      </c>
      <c r="K1579" t="e">
        <v>#N/A</v>
      </c>
      <c r="L1579" s="2" t="s">
        <v>8662</v>
      </c>
      <c r="M1579" t="s">
        <v>8202</v>
      </c>
      <c r="N1579" s="4"/>
    </row>
    <row r="1580" spans="1:14" ht="39" x14ac:dyDescent="0.3">
      <c r="A1580" s="1" t="str">
        <f>HYPERLINK("https://ipmanager.doe.gov/IPManager//ExternalLink.aspx?6ibkph2k9yi6F%2B0Vz7YoTvPUg%2FVZPl3isfH5Nzvqybk%3D","Link")</f>
        <v>Link</v>
      </c>
      <c r="B1580" s="2" t="s">
        <v>5169</v>
      </c>
      <c r="C1580" s="2" t="s">
        <v>5170</v>
      </c>
      <c r="D1580" s="2" t="s">
        <v>5171</v>
      </c>
      <c r="E1580" s="2" t="s">
        <v>5172</v>
      </c>
      <c r="F1580" s="2"/>
      <c r="G1580" s="2" t="s">
        <v>9</v>
      </c>
      <c r="H1580" s="7"/>
      <c r="I1580" s="2" t="s">
        <v>9</v>
      </c>
      <c r="K1580" t="e">
        <v>#N/A</v>
      </c>
      <c r="L1580" s="2" t="s">
        <v>8663</v>
      </c>
      <c r="M1580" t="s">
        <v>8203</v>
      </c>
      <c r="N1580" s="4"/>
    </row>
    <row r="1581" spans="1:14" ht="39" x14ac:dyDescent="0.3">
      <c r="A1581" s="1" t="str">
        <f>HYPERLINK("https://ipmanager.doe.gov/IPManager//ExternalLink.aspx?6ibkph2k9yi6F%2B0Vz7YoTjnDGhmGHGI7Ej8dz6X33XM%3D","Link")</f>
        <v>Link</v>
      </c>
      <c r="B1581" s="2" t="s">
        <v>5173</v>
      </c>
      <c r="C1581" s="2" t="s">
        <v>5170</v>
      </c>
      <c r="D1581" s="2" t="s">
        <v>5171</v>
      </c>
      <c r="E1581" s="2" t="s">
        <v>5174</v>
      </c>
      <c r="F1581" s="2"/>
      <c r="G1581" s="2" t="s">
        <v>9</v>
      </c>
      <c r="H1581" s="7"/>
      <c r="I1581" s="2" t="s">
        <v>9</v>
      </c>
      <c r="K1581" t="e">
        <v>#N/A</v>
      </c>
      <c r="L1581" s="2" t="s">
        <v>8663</v>
      </c>
      <c r="M1581" t="s">
        <v>8203</v>
      </c>
      <c r="N1581" s="4"/>
    </row>
    <row r="1582" spans="1:14" ht="39" x14ac:dyDescent="0.3">
      <c r="A1582" s="1" t="str">
        <f>HYPERLINK("https://ipmanager.doe.gov/IPManager//ExternalLink.aspx?6ibkph2k9yi6F%2B0Vz7YoTo7DPLa3%2F%2FGgsRXD7ryxF00%3D","Link")</f>
        <v>Link</v>
      </c>
      <c r="B1582" s="2" t="s">
        <v>5175</v>
      </c>
      <c r="C1582" s="2" t="s">
        <v>5170</v>
      </c>
      <c r="D1582" s="2" t="s">
        <v>5171</v>
      </c>
      <c r="E1582" s="2" t="s">
        <v>5176</v>
      </c>
      <c r="F1582" s="2"/>
      <c r="G1582" s="2" t="s">
        <v>9</v>
      </c>
      <c r="H1582" s="7"/>
      <c r="I1582" s="2" t="s">
        <v>9</v>
      </c>
      <c r="K1582" t="e">
        <v>#N/A</v>
      </c>
      <c r="L1582" s="2" t="s">
        <v>8663</v>
      </c>
      <c r="M1582" t="s">
        <v>8203</v>
      </c>
      <c r="N1582" s="4"/>
    </row>
    <row r="1583" spans="1:14" ht="52" x14ac:dyDescent="0.3">
      <c r="A1583" s="1" t="str">
        <f>HYPERLINK("https://ipmanager.doe.gov/IPManager//ExternalLink.aspx?6ibkph2k9yi6F%2B0Vz7YoTo7DPLa3%2F%2FGgBTmMVxZJLR8%3D","Link")</f>
        <v>Link</v>
      </c>
      <c r="B1583" s="2" t="s">
        <v>5178</v>
      </c>
      <c r="C1583" s="2" t="s">
        <v>5170</v>
      </c>
      <c r="D1583" s="2" t="s">
        <v>5171</v>
      </c>
      <c r="E1583" s="2" t="s">
        <v>5179</v>
      </c>
      <c r="F1583" s="2"/>
      <c r="G1583" s="2" t="s">
        <v>9</v>
      </c>
      <c r="H1583" s="7"/>
      <c r="I1583" s="2" t="s">
        <v>9</v>
      </c>
      <c r="K1583" t="e">
        <v>#N/A</v>
      </c>
      <c r="L1583" s="2" t="s">
        <v>8663</v>
      </c>
      <c r="M1583" t="s">
        <v>8203</v>
      </c>
      <c r="N1583" s="4"/>
    </row>
    <row r="1584" spans="1:14" ht="39" x14ac:dyDescent="0.3">
      <c r="A1584" s="1" t="str">
        <f>HYPERLINK("https://ipmanager.doe.gov/IPManager//ExternalLink.aspx?6ibkph2k9yi6F%2B0Vz7YoTo7DPLa3%2F%2FGgg6QLt0ERuvk%3D","Link")</f>
        <v>Link</v>
      </c>
      <c r="B1584" s="2" t="s">
        <v>5180</v>
      </c>
      <c r="C1584" s="2" t="s">
        <v>5170</v>
      </c>
      <c r="D1584" s="2" t="s">
        <v>5171</v>
      </c>
      <c r="E1584" s="2" t="s">
        <v>5181</v>
      </c>
      <c r="F1584" s="2"/>
      <c r="G1584" s="2" t="s">
        <v>9</v>
      </c>
      <c r="H1584" s="7"/>
      <c r="I1584" s="2" t="s">
        <v>9</v>
      </c>
      <c r="K1584" t="e">
        <v>#N/A</v>
      </c>
      <c r="L1584" s="2" t="s">
        <v>8663</v>
      </c>
      <c r="M1584" t="s">
        <v>8203</v>
      </c>
      <c r="N1584" s="4"/>
    </row>
    <row r="1585" spans="1:14" ht="39" x14ac:dyDescent="0.3">
      <c r="A1585" s="1" t="str">
        <f>HYPERLINK("https://ipmanager.doe.gov/IPManager//ExternalLink.aspx?6ibkph2k9yi6F%2B0Vz7YoTo7DPLa3%2F%2FGgZDk34%2F55qZs%3D","Link")</f>
        <v>Link</v>
      </c>
      <c r="B1585" s="2" t="s">
        <v>5185</v>
      </c>
      <c r="C1585" s="2" t="s">
        <v>5183</v>
      </c>
      <c r="D1585" s="2" t="s">
        <v>3285</v>
      </c>
      <c r="E1585" s="2" t="s">
        <v>5186</v>
      </c>
      <c r="F1585" s="2" t="s">
        <v>5187</v>
      </c>
      <c r="G1585" s="2" t="s">
        <v>5177</v>
      </c>
      <c r="H1585" s="7"/>
      <c r="I1585" s="2" t="s">
        <v>9</v>
      </c>
      <c r="J1585" t="s">
        <v>5187</v>
      </c>
      <c r="K1585" t="s">
        <v>7875</v>
      </c>
      <c r="L1585" s="2" t="s">
        <v>8664</v>
      </c>
      <c r="M1585" t="s">
        <v>8204</v>
      </c>
      <c r="N1585" s="4"/>
    </row>
    <row r="1586" spans="1:14" ht="39" x14ac:dyDescent="0.3">
      <c r="A1586" s="1" t="str">
        <f>HYPERLINK("https://ipmanager.doe.gov/IPManager//ExternalLink.aspx?6ibkph2k9yi6F%2B0Vz7YoTp68px7nSN2g5DT4aUAXV9o%3D","Link")</f>
        <v>Link</v>
      </c>
      <c r="B1586" s="2" t="s">
        <v>5189</v>
      </c>
      <c r="C1586" s="2" t="s">
        <v>5183</v>
      </c>
      <c r="D1586" s="2" t="s">
        <v>3285</v>
      </c>
      <c r="E1586" s="2" t="s">
        <v>5186</v>
      </c>
      <c r="F1586" s="2" t="s">
        <v>5190</v>
      </c>
      <c r="G1586" s="2" t="s">
        <v>2623</v>
      </c>
      <c r="H1586" s="7"/>
      <c r="I1586" s="2" t="s">
        <v>9</v>
      </c>
      <c r="K1586" t="e">
        <v>#N/A</v>
      </c>
      <c r="L1586" s="2" t="s">
        <v>8664</v>
      </c>
      <c r="M1586" t="s">
        <v>8204</v>
      </c>
      <c r="N1586" s="4"/>
    </row>
    <row r="1587" spans="1:14" ht="52" x14ac:dyDescent="0.3">
      <c r="A1587" s="1" t="str">
        <f>HYPERLINK("https://ipmanager.doe.gov/IPManager//ExternalLink.aspx?6ibkph2k9yi6F%2B0Vz7YoTo7DPLa3%2F%2FGgcsw2XExGXY4%3D","Link")</f>
        <v>Link</v>
      </c>
      <c r="B1587" s="2" t="s">
        <v>5182</v>
      </c>
      <c r="C1587" s="2" t="s">
        <v>5183</v>
      </c>
      <c r="D1587" s="2" t="s">
        <v>3285</v>
      </c>
      <c r="E1587" s="2" t="s">
        <v>5184</v>
      </c>
      <c r="F1587" s="2"/>
      <c r="G1587" s="2" t="s">
        <v>9</v>
      </c>
      <c r="H1587" s="7"/>
      <c r="I1587" s="2" t="s">
        <v>9</v>
      </c>
      <c r="K1587" t="e">
        <v>#N/A</v>
      </c>
      <c r="L1587" s="2" t="s">
        <v>8664</v>
      </c>
      <c r="M1587" t="s">
        <v>8204</v>
      </c>
      <c r="N1587" s="4"/>
    </row>
    <row r="1588" spans="1:14" ht="26" x14ac:dyDescent="0.3">
      <c r="A1588" s="1" t="str">
        <f>HYPERLINK("https://ipmanager.doe.gov/IPManager//ExternalLink.aspx?6ibkph2k9yi6F%2B0Vz7YoTq6RR9BlGHHib4g%2BEDxMmy4%3D","Link")</f>
        <v>Link</v>
      </c>
      <c r="B1588" s="2" t="s">
        <v>5191</v>
      </c>
      <c r="C1588" s="2" t="s">
        <v>5192</v>
      </c>
      <c r="D1588" s="2" t="s">
        <v>5193</v>
      </c>
      <c r="E1588" s="2" t="s">
        <v>5194</v>
      </c>
      <c r="F1588" s="2" t="s">
        <v>5195</v>
      </c>
      <c r="G1588" s="2" t="s">
        <v>1795</v>
      </c>
      <c r="H1588" s="7"/>
      <c r="I1588" s="2" t="s">
        <v>9</v>
      </c>
      <c r="K1588" t="e">
        <v>#N/A</v>
      </c>
      <c r="L1588" s="2" t="s">
        <v>8665</v>
      </c>
      <c r="M1588" t="s">
        <v>8205</v>
      </c>
      <c r="N1588" s="4"/>
    </row>
    <row r="1589" spans="1:14" ht="52" x14ac:dyDescent="0.3">
      <c r="A1589" s="1" t="str">
        <f>HYPERLINK("https://ipmanager.doe.gov/IPManager//ExternalLink.aspx?6ibkph2k9yi6F%2B0Vz7YoTo7DPLa3%2F%2FGgVVaZBQSMVeI%3D","Link")</f>
        <v>Link</v>
      </c>
      <c r="B1589" s="2" t="s">
        <v>5201</v>
      </c>
      <c r="C1589" s="2" t="s">
        <v>5192</v>
      </c>
      <c r="D1589" s="2" t="s">
        <v>5193</v>
      </c>
      <c r="E1589" s="2" t="s">
        <v>5202</v>
      </c>
      <c r="F1589" s="2" t="s">
        <v>5203</v>
      </c>
      <c r="G1589" s="2" t="s">
        <v>5204</v>
      </c>
      <c r="H1589" s="7"/>
      <c r="I1589" s="2" t="s">
        <v>9</v>
      </c>
      <c r="K1589" t="e">
        <v>#N/A</v>
      </c>
      <c r="L1589" s="2" t="s">
        <v>8665</v>
      </c>
      <c r="M1589" t="s">
        <v>8205</v>
      </c>
      <c r="N1589" s="4"/>
    </row>
    <row r="1590" spans="1:14" ht="52" x14ac:dyDescent="0.3">
      <c r="A1590" s="1" t="str">
        <f>HYPERLINK("https://ipmanager.doe.gov/IPManager//ExternalLink.aspx?6ibkph2k9yi6F%2B0Vz7YoTo7DPLa3%2F%2FGgjMtic9B1hK8%3D","Link")</f>
        <v>Link</v>
      </c>
      <c r="B1590" s="2" t="s">
        <v>5206</v>
      </c>
      <c r="C1590" s="2" t="s">
        <v>5192</v>
      </c>
      <c r="D1590" s="2" t="s">
        <v>5193</v>
      </c>
      <c r="E1590" s="2" t="s">
        <v>5202</v>
      </c>
      <c r="F1590" s="2" t="s">
        <v>5207</v>
      </c>
      <c r="G1590" s="2" t="s">
        <v>1966</v>
      </c>
      <c r="H1590" s="7"/>
      <c r="I1590" s="2" t="s">
        <v>9</v>
      </c>
      <c r="J1590" t="s">
        <v>5207</v>
      </c>
      <c r="K1590" t="s">
        <v>7720</v>
      </c>
      <c r="L1590" s="2" t="s">
        <v>8665</v>
      </c>
      <c r="M1590" t="s">
        <v>8205</v>
      </c>
      <c r="N1590" s="4"/>
    </row>
    <row r="1591" spans="1:14" ht="39" x14ac:dyDescent="0.3">
      <c r="A1591" s="1" t="str">
        <f>HYPERLINK("https://ipmanager.doe.gov/IPManager//ExternalLink.aspx?6ibkph2k9yi6F%2B0Vz7YoTvPUg%2FVZPl3iV3jy8G1pA6E%3D","Link")</f>
        <v>Link</v>
      </c>
      <c r="B1591" s="2" t="s">
        <v>5213</v>
      </c>
      <c r="C1591" s="2" t="s">
        <v>5192</v>
      </c>
      <c r="D1591" s="2" t="s">
        <v>5193</v>
      </c>
      <c r="E1591" s="2" t="s">
        <v>5197</v>
      </c>
      <c r="F1591" s="2" t="s">
        <v>5214</v>
      </c>
      <c r="G1591" s="2" t="s">
        <v>3125</v>
      </c>
      <c r="H1591" s="7"/>
      <c r="I1591" s="2" t="s">
        <v>9</v>
      </c>
      <c r="J1591" t="s">
        <v>5214</v>
      </c>
      <c r="K1591" t="s">
        <v>7951</v>
      </c>
      <c r="L1591" s="2" t="s">
        <v>8665</v>
      </c>
      <c r="M1591" t="s">
        <v>8205</v>
      </c>
      <c r="N1591" s="4"/>
    </row>
    <row r="1592" spans="1:14" ht="39" x14ac:dyDescent="0.3">
      <c r="A1592" s="1" t="str">
        <f>HYPERLINK("https://ipmanager.doe.gov/IPManager//ExternalLink.aspx?6ibkph2k9yi6F%2B0Vz7YoTvPUg%2FVZPl3iSOZx5%2BpqprA%3D","Link")</f>
        <v>Link</v>
      </c>
      <c r="B1592" s="2" t="s">
        <v>5218</v>
      </c>
      <c r="C1592" s="2" t="s">
        <v>5192</v>
      </c>
      <c r="D1592" s="2" t="s">
        <v>5193</v>
      </c>
      <c r="E1592" s="2" t="s">
        <v>5197</v>
      </c>
      <c r="F1592" s="2" t="s">
        <v>5219</v>
      </c>
      <c r="G1592" s="2" t="s">
        <v>3465</v>
      </c>
      <c r="H1592" s="7"/>
      <c r="I1592" s="2" t="s">
        <v>9</v>
      </c>
      <c r="K1592" t="e">
        <v>#N/A</v>
      </c>
      <c r="L1592" s="2" t="s">
        <v>8665</v>
      </c>
      <c r="M1592" t="s">
        <v>8205</v>
      </c>
      <c r="N1592" s="4"/>
    </row>
    <row r="1593" spans="1:14" ht="39" x14ac:dyDescent="0.3">
      <c r="A1593" s="1" t="str">
        <f>HYPERLINK("https://ipmanager.doe.gov/IPManager//ExternalLink.aspx?6ibkph2k9yi6F%2B0Vz7YoTr7J5I%2BY4foYJVS5sXUb2x0%3D","Link")</f>
        <v>Link</v>
      </c>
      <c r="B1593" s="2" t="s">
        <v>5196</v>
      </c>
      <c r="C1593" s="2" t="s">
        <v>5192</v>
      </c>
      <c r="D1593" s="2" t="s">
        <v>5193</v>
      </c>
      <c r="E1593" s="2" t="s">
        <v>5197</v>
      </c>
      <c r="F1593" s="2" t="s">
        <v>5198</v>
      </c>
      <c r="G1593" s="2" t="s">
        <v>5199</v>
      </c>
      <c r="H1593" s="7" t="s">
        <v>5200</v>
      </c>
      <c r="I1593" s="2" t="s">
        <v>4510</v>
      </c>
      <c r="K1593" t="e">
        <v>#N/A</v>
      </c>
      <c r="L1593" s="2" t="s">
        <v>8665</v>
      </c>
      <c r="M1593" t="s">
        <v>8205</v>
      </c>
    </row>
    <row r="1594" spans="1:14" ht="39" x14ac:dyDescent="0.3">
      <c r="A1594" s="1" t="str">
        <f>HYPERLINK("https://ipmanager.doe.gov/IPManager//ExternalLink.aspx?6ibkph2k9yi6F%2B0Vz7YoTvPUg%2FVZPl3ipXrRT89%2BTKs%3D","Link")</f>
        <v>Link</v>
      </c>
      <c r="B1594" s="2" t="s">
        <v>5208</v>
      </c>
      <c r="C1594" s="2" t="s">
        <v>5192</v>
      </c>
      <c r="D1594" s="2" t="s">
        <v>5193</v>
      </c>
      <c r="E1594" s="2" t="s">
        <v>5197</v>
      </c>
      <c r="F1594" s="2" t="s">
        <v>5209</v>
      </c>
      <c r="G1594" s="2" t="s">
        <v>2395</v>
      </c>
      <c r="H1594" s="8">
        <v>9853147</v>
      </c>
      <c r="I1594" s="2" t="s">
        <v>3749</v>
      </c>
      <c r="K1594" t="e">
        <v>#N/A</v>
      </c>
      <c r="L1594" s="2" t="s">
        <v>8665</v>
      </c>
      <c r="M1594" t="s">
        <v>8205</v>
      </c>
    </row>
    <row r="1595" spans="1:14" ht="39" x14ac:dyDescent="0.3">
      <c r="A1595" s="1" t="str">
        <f>HYPERLINK("https://ipmanager.doe.gov/IPManager//ExternalLink.aspx?6ibkph2k9yi6F%2B0Vz7YoTvPUg%2FVZPl3iLC9mvJhTdE4%3D","Link")</f>
        <v>Link</v>
      </c>
      <c r="B1595" s="2" t="s">
        <v>5210</v>
      </c>
      <c r="C1595" s="2" t="s">
        <v>5192</v>
      </c>
      <c r="D1595" s="2" t="s">
        <v>5193</v>
      </c>
      <c r="E1595" s="2" t="s">
        <v>5197</v>
      </c>
      <c r="F1595" s="2" t="s">
        <v>5211</v>
      </c>
      <c r="G1595" s="2" t="s">
        <v>5212</v>
      </c>
      <c r="H1595" s="8">
        <v>9991376</v>
      </c>
      <c r="I1595" s="2" t="s">
        <v>2623</v>
      </c>
      <c r="K1595" t="e">
        <v>#N/A</v>
      </c>
      <c r="L1595" s="2" t="s">
        <v>8665</v>
      </c>
      <c r="M1595" t="s">
        <v>8205</v>
      </c>
    </row>
    <row r="1596" spans="1:14" ht="52" x14ac:dyDescent="0.3">
      <c r="A1596" s="1" t="str">
        <f>HYPERLINK("https://ipmanager.doe.gov/IPManager//ExternalLink.aspx?6ibkph2k9yi6F%2B0Vz7YoTvPUg%2FVZPl3i%2F0U%2Bv4Jikq4%3D","Link")</f>
        <v>Link</v>
      </c>
      <c r="B1596" s="2" t="s">
        <v>5215</v>
      </c>
      <c r="C1596" s="2" t="s">
        <v>5192</v>
      </c>
      <c r="D1596" s="2" t="s">
        <v>5193</v>
      </c>
      <c r="E1596" s="2" t="s">
        <v>5202</v>
      </c>
      <c r="F1596" s="2" t="s">
        <v>5216</v>
      </c>
      <c r="G1596" s="2" t="s">
        <v>3649</v>
      </c>
      <c r="H1596" s="8">
        <v>9876104</v>
      </c>
      <c r="I1596" s="2" t="s">
        <v>5217</v>
      </c>
      <c r="K1596" t="e">
        <v>#N/A</v>
      </c>
      <c r="L1596" s="2" t="s">
        <v>8665</v>
      </c>
      <c r="M1596" t="s">
        <v>8205</v>
      </c>
    </row>
    <row r="1597" spans="1:14" ht="52" x14ac:dyDescent="0.3">
      <c r="A1597" s="1" t="str">
        <f>HYPERLINK("https://ipmanager.doe.gov/IPManager//ExternalLink.aspx?6ibkph2k9yi6F%2B0Vz7YoTvPUg%2FVZPl3iQksUVkk%2BcEs%3D","Link")</f>
        <v>Link</v>
      </c>
      <c r="B1597" s="2" t="s">
        <v>5220</v>
      </c>
      <c r="C1597" s="2" t="s">
        <v>5192</v>
      </c>
      <c r="D1597" s="2" t="s">
        <v>5193</v>
      </c>
      <c r="E1597" s="2" t="s">
        <v>5221</v>
      </c>
      <c r="F1597" s="2" t="s">
        <v>5222</v>
      </c>
      <c r="G1597" s="2" t="s">
        <v>4756</v>
      </c>
      <c r="H1597" s="7"/>
      <c r="I1597" s="2" t="s">
        <v>9</v>
      </c>
      <c r="J1597" t="s">
        <v>7568</v>
      </c>
      <c r="K1597" t="s">
        <v>7960</v>
      </c>
      <c r="L1597" s="2" t="s">
        <v>8665</v>
      </c>
      <c r="M1597" t="s">
        <v>8205</v>
      </c>
      <c r="N1597" s="4"/>
    </row>
    <row r="1598" spans="1:14" ht="52" x14ac:dyDescent="0.3">
      <c r="A1598" s="1" t="str">
        <f>HYPERLINK("https://ipmanager.doe.gov/IPManager//ExternalLink.aspx?6ibkph2k9yi6F%2B0Vz7YoTvPUg%2FVZPl3ibTrDWX0qXac%3D","Link")</f>
        <v>Link</v>
      </c>
      <c r="B1598" s="2" t="s">
        <v>5223</v>
      </c>
      <c r="C1598" s="2" t="s">
        <v>5192</v>
      </c>
      <c r="D1598" s="2" t="s">
        <v>5193</v>
      </c>
      <c r="E1598" s="2" t="s">
        <v>5221</v>
      </c>
      <c r="F1598" s="2" t="s">
        <v>5205</v>
      </c>
      <c r="G1598" s="2" t="s">
        <v>4193</v>
      </c>
      <c r="H1598" s="7" t="s">
        <v>5224</v>
      </c>
      <c r="I1598" s="2" t="s">
        <v>1965</v>
      </c>
      <c r="K1598" t="e">
        <v>#N/A</v>
      </c>
      <c r="L1598" s="2" t="s">
        <v>8665</v>
      </c>
      <c r="M1598" t="s">
        <v>8205</v>
      </c>
    </row>
    <row r="1599" spans="1:14" ht="26" x14ac:dyDescent="0.3">
      <c r="A1599" s="1" t="str">
        <f>HYPERLINK("https://ipmanager.doe.gov/IPManager//ExternalLink.aspx?6ibkph2k9yi6F%2B0Vz7YoTjnDGhmGHGI7%2BAxS9HFdepM%3D","Link")</f>
        <v>Link</v>
      </c>
      <c r="B1599" s="2" t="s">
        <v>5225</v>
      </c>
      <c r="C1599" s="2" t="s">
        <v>5226</v>
      </c>
      <c r="D1599" s="2" t="s">
        <v>4136</v>
      </c>
      <c r="E1599" s="2" t="s">
        <v>5227</v>
      </c>
      <c r="F1599" s="2"/>
      <c r="G1599" s="2" t="s">
        <v>9</v>
      </c>
      <c r="H1599" s="7"/>
      <c r="I1599" s="2" t="s">
        <v>9</v>
      </c>
      <c r="K1599" t="e">
        <v>#N/A</v>
      </c>
      <c r="L1599" s="2" t="s">
        <v>8666</v>
      </c>
      <c r="M1599" t="s">
        <v>8206</v>
      </c>
      <c r="N1599" s="4"/>
    </row>
    <row r="1600" spans="1:14" ht="39" x14ac:dyDescent="0.3">
      <c r="A1600" s="1" t="str">
        <f>HYPERLINK("https://ipmanager.doe.gov/IPManager//ExternalLink.aspx?6ibkph2k9yi6F%2B0Vz7YoTjnDGhmGHGI7qK2LxF7ctnI%3D","Link")</f>
        <v>Link</v>
      </c>
      <c r="B1600" s="2" t="s">
        <v>5229</v>
      </c>
      <c r="C1600" s="2" t="s">
        <v>5230</v>
      </c>
      <c r="D1600" s="2" t="s">
        <v>5231</v>
      </c>
      <c r="E1600" s="2" t="s">
        <v>5232</v>
      </c>
      <c r="F1600" s="2" t="s">
        <v>5233</v>
      </c>
      <c r="G1600" s="2" t="s">
        <v>3721</v>
      </c>
      <c r="H1600" s="7"/>
      <c r="I1600" s="2" t="s">
        <v>9</v>
      </c>
      <c r="K1600" t="e">
        <v>#N/A</v>
      </c>
      <c r="L1600" s="2" t="s">
        <v>8667</v>
      </c>
      <c r="M1600" t="s">
        <v>8207</v>
      </c>
      <c r="N1600" s="4"/>
    </row>
    <row r="1601" spans="1:14" ht="39" x14ac:dyDescent="0.3">
      <c r="A1601" s="1" t="str">
        <f>HYPERLINK("https://ipmanager.doe.gov/IPManager//ExternalLink.aspx?6ibkph2k9yi6F%2B0Vz7YoTnXVN2REjGcWu1cwSDzG0Ys%3D","Link")</f>
        <v>Link</v>
      </c>
      <c r="B1601" s="2" t="s">
        <v>5234</v>
      </c>
      <c r="C1601" s="2" t="s">
        <v>5235</v>
      </c>
      <c r="D1601" s="2" t="s">
        <v>5236</v>
      </c>
      <c r="E1601" s="2" t="s">
        <v>5237</v>
      </c>
      <c r="F1601" s="2"/>
      <c r="G1601" s="2" t="s">
        <v>9</v>
      </c>
      <c r="H1601" s="7"/>
      <c r="I1601" s="2" t="s">
        <v>9</v>
      </c>
      <c r="K1601" t="e">
        <v>#N/A</v>
      </c>
      <c r="L1601" s="2" t="s">
        <v>8668</v>
      </c>
      <c r="M1601" t="s">
        <v>8208</v>
      </c>
      <c r="N1601" s="4"/>
    </row>
    <row r="1602" spans="1:14" ht="39" x14ac:dyDescent="0.3">
      <c r="A1602" s="1" t="str">
        <f>HYPERLINK("https://ipmanager.doe.gov/IPManager//ExternalLink.aspx?6ibkph2k9yi6F%2B0Vz7YoTgZwfmYxrNyKsP%2BeTxniJjU%3D","Link")</f>
        <v>Link</v>
      </c>
      <c r="B1602" s="2" t="s">
        <v>5238</v>
      </c>
      <c r="C1602" s="2" t="s">
        <v>5235</v>
      </c>
      <c r="D1602" s="2" t="s">
        <v>5236</v>
      </c>
      <c r="E1602" s="2" t="s">
        <v>5239</v>
      </c>
      <c r="F1602" s="2"/>
      <c r="G1602" s="2" t="s">
        <v>9</v>
      </c>
      <c r="H1602" s="7"/>
      <c r="I1602" s="2" t="s">
        <v>9</v>
      </c>
      <c r="K1602" t="e">
        <v>#N/A</v>
      </c>
      <c r="L1602" s="2" t="s">
        <v>8668</v>
      </c>
      <c r="M1602" t="s">
        <v>8208</v>
      </c>
      <c r="N1602" s="4"/>
    </row>
    <row r="1603" spans="1:14" ht="65" x14ac:dyDescent="0.3">
      <c r="A1603" s="1" t="str">
        <f>HYPERLINK("https://ipmanager.doe.gov/IPManager//ExternalLink.aspx?6ibkph2k9yi6F%2B0Vz7YoTnXVN2REjGcWOtQWjrQ43Ck%3D","Link")</f>
        <v>Link</v>
      </c>
      <c r="B1603" s="2" t="s">
        <v>5241</v>
      </c>
      <c r="C1603" s="2" t="s">
        <v>5242</v>
      </c>
      <c r="D1603" s="2" t="s">
        <v>5243</v>
      </c>
      <c r="E1603" s="2" t="s">
        <v>5244</v>
      </c>
      <c r="F1603" s="2" t="s">
        <v>5245</v>
      </c>
      <c r="G1603" s="2" t="s">
        <v>837</v>
      </c>
      <c r="H1603" s="7"/>
      <c r="I1603" s="2" t="s">
        <v>9</v>
      </c>
      <c r="K1603" t="e">
        <v>#N/A</v>
      </c>
      <c r="L1603" s="2" t="s">
        <v>8669</v>
      </c>
      <c r="M1603" t="s">
        <v>8209</v>
      </c>
      <c r="N1603" s="4"/>
    </row>
    <row r="1604" spans="1:14" ht="39" x14ac:dyDescent="0.3">
      <c r="A1604" s="1" t="str">
        <f>HYPERLINK("https://ipmanager.doe.gov/IPManager//ExternalLink.aspx?6ibkph2k9yi6F%2B0Vz7YoTnXVN2REjGcWXFB9cK3AQ6E%3D","Link")</f>
        <v>Link</v>
      </c>
      <c r="B1604" s="2" t="s">
        <v>5247</v>
      </c>
      <c r="C1604" s="2" t="s">
        <v>5242</v>
      </c>
      <c r="D1604" s="2" t="s">
        <v>5243</v>
      </c>
      <c r="E1604" s="2" t="s">
        <v>5248</v>
      </c>
      <c r="F1604" s="2" t="s">
        <v>5249</v>
      </c>
      <c r="G1604" s="2" t="s">
        <v>5246</v>
      </c>
      <c r="H1604" s="7"/>
      <c r="I1604" s="2" t="s">
        <v>9</v>
      </c>
      <c r="J1604" t="s">
        <v>5249</v>
      </c>
      <c r="K1604" t="s">
        <v>7692</v>
      </c>
      <c r="L1604" s="2" t="s">
        <v>8669</v>
      </c>
      <c r="M1604" t="s">
        <v>8209</v>
      </c>
      <c r="N1604" s="4"/>
    </row>
    <row r="1605" spans="1:14" ht="39" x14ac:dyDescent="0.3">
      <c r="A1605" s="1" t="str">
        <f>HYPERLINK("https://ipmanager.doe.gov/IPManager//ExternalLink.aspx?6ibkph2k9yi6F%2B0Vz7YoTvPUg%2FVZPl3igkfKBt8px80%3D","Link")</f>
        <v>Link</v>
      </c>
      <c r="B1605" s="2" t="s">
        <v>5253</v>
      </c>
      <c r="C1605" s="2" t="s">
        <v>5242</v>
      </c>
      <c r="D1605" s="2" t="s">
        <v>5243</v>
      </c>
      <c r="E1605" s="2" t="s">
        <v>5254</v>
      </c>
      <c r="F1605" s="2" t="s">
        <v>5255</v>
      </c>
      <c r="G1605" s="2" t="s">
        <v>5256</v>
      </c>
      <c r="H1605" s="7"/>
      <c r="I1605" s="2" t="s">
        <v>9</v>
      </c>
      <c r="K1605" t="e">
        <v>#N/A</v>
      </c>
      <c r="L1605" s="2" t="s">
        <v>8669</v>
      </c>
      <c r="M1605" t="s">
        <v>8209</v>
      </c>
      <c r="N1605" s="4"/>
    </row>
    <row r="1606" spans="1:14" ht="65" x14ac:dyDescent="0.3">
      <c r="A1606" s="1" t="str">
        <f>HYPERLINK("https://ipmanager.doe.gov/IPManager//ExternalLink.aspx?6ibkph2k9yi6F%2B0Vz7YoTvPUg%2FVZPl3iQs%2FHHaXMWrg%3D","Link")</f>
        <v>Link</v>
      </c>
      <c r="B1606" s="2" t="s">
        <v>5257</v>
      </c>
      <c r="C1606" s="2" t="s">
        <v>5242</v>
      </c>
      <c r="D1606" s="2" t="s">
        <v>5243</v>
      </c>
      <c r="E1606" s="2" t="s">
        <v>5244</v>
      </c>
      <c r="F1606" s="2" t="s">
        <v>5258</v>
      </c>
      <c r="G1606" s="2" t="s">
        <v>5259</v>
      </c>
      <c r="H1606" s="7"/>
      <c r="I1606" s="2" t="s">
        <v>9</v>
      </c>
      <c r="K1606" t="e">
        <v>#N/A</v>
      </c>
      <c r="L1606" s="2" t="s">
        <v>8669</v>
      </c>
      <c r="M1606" t="s">
        <v>8209</v>
      </c>
      <c r="N1606" s="4"/>
    </row>
    <row r="1607" spans="1:14" ht="39" x14ac:dyDescent="0.3">
      <c r="A1607" s="1" t="str">
        <f>HYPERLINK("https://ipmanager.doe.gov/IPManager//ExternalLink.aspx?6ibkph2k9yi6F%2B0Vz7YoTvPUg%2FVZPl3ip%2B6zDV4Y%2BwY%3D","Link")</f>
        <v>Link</v>
      </c>
      <c r="B1607" s="2" t="s">
        <v>5260</v>
      </c>
      <c r="C1607" s="2" t="s">
        <v>5242</v>
      </c>
      <c r="D1607" s="2" t="s">
        <v>5243</v>
      </c>
      <c r="E1607" s="2" t="s">
        <v>5261</v>
      </c>
      <c r="F1607" s="2" t="s">
        <v>5262</v>
      </c>
      <c r="G1607" s="2" t="s">
        <v>5246</v>
      </c>
      <c r="H1607" s="7"/>
      <c r="I1607" s="2" t="s">
        <v>9</v>
      </c>
      <c r="K1607" t="e">
        <v>#N/A</v>
      </c>
      <c r="L1607" s="2" t="s">
        <v>8669</v>
      </c>
      <c r="M1607" t="s">
        <v>8209</v>
      </c>
      <c r="N1607" s="4"/>
    </row>
    <row r="1608" spans="1:14" ht="65" x14ac:dyDescent="0.3">
      <c r="A1608" s="1" t="str">
        <f>HYPERLINK("https://ipmanager.doe.gov/IPManager//ExternalLink.aspx?6ibkph2k9yi6F%2B0Vz7YoTvPUg%2FVZPl3iyxXbGb6NJLo%3D","Link")</f>
        <v>Link</v>
      </c>
      <c r="B1608" s="2" t="s">
        <v>5263</v>
      </c>
      <c r="C1608" s="2" t="s">
        <v>5242</v>
      </c>
      <c r="D1608" s="2" t="s">
        <v>5243</v>
      </c>
      <c r="E1608" s="2" t="s">
        <v>5264</v>
      </c>
      <c r="F1608" s="2" t="s">
        <v>5258</v>
      </c>
      <c r="G1608" s="2" t="s">
        <v>5259</v>
      </c>
      <c r="H1608" s="7"/>
      <c r="I1608" s="2" t="s">
        <v>9</v>
      </c>
      <c r="K1608" t="e">
        <v>#N/A</v>
      </c>
      <c r="L1608" s="2" t="s">
        <v>8669</v>
      </c>
      <c r="M1608" t="s">
        <v>8209</v>
      </c>
      <c r="N1608" s="4"/>
    </row>
    <row r="1609" spans="1:14" ht="65" x14ac:dyDescent="0.3">
      <c r="A1609" s="1" t="str">
        <f>HYPERLINK("https://ipmanager.doe.gov/IPManager//ExternalLink.aspx?6ibkph2k9yi6F%2B0Vz7YoTo7DPLa3%2F%2FGgrlG8ASlygJ0%3D","Link")</f>
        <v>Link</v>
      </c>
      <c r="B1609" s="2" t="s">
        <v>5265</v>
      </c>
      <c r="C1609" s="2" t="s">
        <v>5242</v>
      </c>
      <c r="D1609" s="2" t="s">
        <v>5243</v>
      </c>
      <c r="E1609" s="2" t="s">
        <v>5264</v>
      </c>
      <c r="F1609" s="2" t="s">
        <v>5258</v>
      </c>
      <c r="G1609" s="2" t="s">
        <v>5259</v>
      </c>
      <c r="H1609" s="7"/>
      <c r="I1609" s="2" t="s">
        <v>9</v>
      </c>
      <c r="K1609" t="e">
        <v>#N/A</v>
      </c>
      <c r="L1609" s="2" t="s">
        <v>8669</v>
      </c>
      <c r="M1609" t="s">
        <v>8209</v>
      </c>
      <c r="N1609" s="4"/>
    </row>
    <row r="1610" spans="1:14" ht="65" x14ac:dyDescent="0.3">
      <c r="A1610" s="1" t="str">
        <f>HYPERLINK("https://ipmanager.doe.gov/IPManager//ExternalLink.aspx?6ibkph2k9yi6F%2B0Vz7YoTo7DPLa3%2F%2FGgJL6icGJlbSo%3D","Link")</f>
        <v>Link</v>
      </c>
      <c r="B1610" s="2" t="s">
        <v>5263</v>
      </c>
      <c r="C1610" s="2" t="s">
        <v>5242</v>
      </c>
      <c r="D1610" s="2" t="s">
        <v>5243</v>
      </c>
      <c r="E1610" s="2" t="s">
        <v>5264</v>
      </c>
      <c r="F1610" s="2" t="s">
        <v>5245</v>
      </c>
      <c r="G1610" s="2" t="s">
        <v>837</v>
      </c>
      <c r="H1610" s="7"/>
      <c r="I1610" s="2" t="s">
        <v>9</v>
      </c>
      <c r="K1610" t="e">
        <v>#N/A</v>
      </c>
      <c r="L1610" s="2" t="s">
        <v>8669</v>
      </c>
      <c r="M1610" t="s">
        <v>8209</v>
      </c>
      <c r="N1610" s="4"/>
    </row>
    <row r="1611" spans="1:14" ht="26" x14ac:dyDescent="0.3">
      <c r="A1611" s="1" t="str">
        <f>HYPERLINK("https://ipmanager.doe.gov/IPManager//ExternalLink.aspx?6ibkph2k9yi6F%2B0Vz7YoTnXVN2REjGcW9%2FcGfmGbwNA%3D","Link")</f>
        <v>Link</v>
      </c>
      <c r="B1611" s="2" t="s">
        <v>5269</v>
      </c>
      <c r="C1611" s="2" t="s">
        <v>5242</v>
      </c>
      <c r="D1611" s="2" t="s">
        <v>5243</v>
      </c>
      <c r="E1611" s="2" t="s">
        <v>5267</v>
      </c>
      <c r="F1611" s="2" t="s">
        <v>5258</v>
      </c>
      <c r="G1611" s="2" t="s">
        <v>5259</v>
      </c>
      <c r="H1611" s="7"/>
      <c r="I1611" s="2" t="s">
        <v>9</v>
      </c>
      <c r="K1611" t="e">
        <v>#N/A</v>
      </c>
      <c r="L1611" s="2" t="s">
        <v>8669</v>
      </c>
      <c r="M1611" t="s">
        <v>8209</v>
      </c>
      <c r="N1611" s="4"/>
    </row>
    <row r="1612" spans="1:14" ht="26" x14ac:dyDescent="0.3">
      <c r="A1612" s="1" t="str">
        <f>HYPERLINK("https://ipmanager.doe.gov/IPManager//ExternalLink.aspx?6ibkph2k9yi6F%2B0Vz7YoTo7DPLa3%2F%2FGgLXeZ8MBMJE8%3D","Link")</f>
        <v>Link</v>
      </c>
      <c r="B1612" s="2" t="s">
        <v>5270</v>
      </c>
      <c r="C1612" s="2" t="s">
        <v>5242</v>
      </c>
      <c r="D1612" s="2" t="s">
        <v>5243</v>
      </c>
      <c r="E1612" s="2" t="s">
        <v>5267</v>
      </c>
      <c r="F1612" s="2" t="s">
        <v>5271</v>
      </c>
      <c r="G1612" s="2" t="s">
        <v>5268</v>
      </c>
      <c r="H1612" s="7"/>
      <c r="I1612" s="2" t="s">
        <v>9</v>
      </c>
      <c r="K1612" t="e">
        <v>#N/A</v>
      </c>
      <c r="L1612" s="2" t="s">
        <v>8669</v>
      </c>
      <c r="M1612" t="s">
        <v>8209</v>
      </c>
      <c r="N1612" s="4"/>
    </row>
    <row r="1613" spans="1:14" ht="39" x14ac:dyDescent="0.3">
      <c r="A1613" s="1" t="str">
        <f>HYPERLINK("https://ipmanager.doe.gov/IPManager//ExternalLink.aspx?6ibkph2k9yi6F%2B0Vz7YoTo7DPLa3%2F%2FGg%2BV%2BoJ9JN8Zw%3D","Link")</f>
        <v>Link</v>
      </c>
      <c r="B1613" s="2" t="s">
        <v>5260</v>
      </c>
      <c r="C1613" s="2" t="s">
        <v>5242</v>
      </c>
      <c r="D1613" s="2" t="s">
        <v>5243</v>
      </c>
      <c r="E1613" s="2" t="s">
        <v>5248</v>
      </c>
      <c r="F1613" s="2" t="s">
        <v>5249</v>
      </c>
      <c r="G1613" s="2" t="s">
        <v>5246</v>
      </c>
      <c r="H1613" s="7"/>
      <c r="I1613" s="2" t="s">
        <v>9</v>
      </c>
      <c r="J1613" t="s">
        <v>5249</v>
      </c>
      <c r="K1613" t="s">
        <v>7692</v>
      </c>
      <c r="L1613" s="2" t="s">
        <v>8669</v>
      </c>
      <c r="M1613" t="s">
        <v>8209</v>
      </c>
      <c r="N1613" s="4"/>
    </row>
    <row r="1614" spans="1:14" ht="39" x14ac:dyDescent="0.3">
      <c r="A1614" s="1" t="str">
        <f>HYPERLINK("https://ipmanager.doe.gov/IPManager//ExternalLink.aspx?6ibkph2k9yi6F%2B0Vz7YoTvPUg%2FVZPl3i2z525AJEZ5g%3D","Link")</f>
        <v>Link</v>
      </c>
      <c r="B1614" s="2" t="s">
        <v>5250</v>
      </c>
      <c r="C1614" s="2" t="s">
        <v>5242</v>
      </c>
      <c r="D1614" s="2" t="s">
        <v>5243</v>
      </c>
      <c r="E1614" s="2" t="s">
        <v>5248</v>
      </c>
      <c r="F1614" s="2" t="s">
        <v>5251</v>
      </c>
      <c r="G1614" s="2" t="s">
        <v>5246</v>
      </c>
      <c r="H1614" s="7" t="s">
        <v>5252</v>
      </c>
      <c r="I1614" s="2" t="s">
        <v>3892</v>
      </c>
      <c r="K1614" t="e">
        <v>#N/A</v>
      </c>
      <c r="L1614" s="2" t="s">
        <v>8669</v>
      </c>
      <c r="M1614" t="s">
        <v>8209</v>
      </c>
    </row>
    <row r="1615" spans="1:14" ht="26" x14ac:dyDescent="0.3">
      <c r="A1615" s="1" t="str">
        <f>HYPERLINK("https://ipmanager.doe.gov/IPManager//ExternalLink.aspx?6ibkph2k9yi6F%2B0Vz7YoTo7DPLa3%2F%2FGgXJYC2KkgyYw%3D","Link")</f>
        <v>Link</v>
      </c>
      <c r="B1615" s="2" t="s">
        <v>5266</v>
      </c>
      <c r="C1615" s="2" t="s">
        <v>5242</v>
      </c>
      <c r="D1615" s="2" t="s">
        <v>5243</v>
      </c>
      <c r="E1615" s="2" t="s">
        <v>5267</v>
      </c>
      <c r="F1615" s="2"/>
      <c r="G1615" s="2" t="s">
        <v>9</v>
      </c>
      <c r="H1615" s="7"/>
      <c r="I1615" s="2" t="s">
        <v>9</v>
      </c>
      <c r="K1615" t="e">
        <v>#N/A</v>
      </c>
      <c r="L1615" s="2" t="s">
        <v>8669</v>
      </c>
      <c r="M1615" t="s">
        <v>8209</v>
      </c>
      <c r="N1615" s="4"/>
    </row>
    <row r="1616" spans="1:14" ht="39" x14ac:dyDescent="0.3">
      <c r="A1616" s="1" t="str">
        <f>HYPERLINK("https://ipmanager.doe.gov/IPManager//ExternalLink.aspx?6ibkph2k9yi6F%2B0Vz7YoTq6RR9BlGHHiyBikogFFYnI%3D","Link")</f>
        <v>Link</v>
      </c>
      <c r="B1616" s="2" t="s">
        <v>5278</v>
      </c>
      <c r="C1616" s="2" t="s">
        <v>5273</v>
      </c>
      <c r="D1616" s="2" t="s">
        <v>1787</v>
      </c>
      <c r="E1616" s="2" t="s">
        <v>5279</v>
      </c>
      <c r="F1616" s="2" t="s">
        <v>7632</v>
      </c>
      <c r="G1616" s="2" t="s">
        <v>5280</v>
      </c>
      <c r="H1616" s="7"/>
      <c r="I1616" s="2" t="s">
        <v>9</v>
      </c>
      <c r="K1616" t="e">
        <v>#N/A</v>
      </c>
      <c r="L1616" s="2" t="s">
        <v>8670</v>
      </c>
      <c r="M1616" t="s">
        <v>8210</v>
      </c>
      <c r="N1616" s="4"/>
    </row>
    <row r="1617" spans="1:14" ht="26" x14ac:dyDescent="0.3">
      <c r="A1617" s="1" t="str">
        <f>HYPERLINK("https://ipmanager.doe.gov/IPManager//ExternalLink.aspx?6ibkph2k9yi6F%2B0Vz7YoTo7DPLa3%2F%2FGgv3%2BYkN1BNTw%3D","Link")</f>
        <v>Link</v>
      </c>
      <c r="B1617" s="2" t="s">
        <v>5272</v>
      </c>
      <c r="C1617" s="2" t="s">
        <v>5273</v>
      </c>
      <c r="D1617" s="2" t="s">
        <v>1787</v>
      </c>
      <c r="E1617" s="2" t="s">
        <v>5274</v>
      </c>
      <c r="F1617" s="2" t="s">
        <v>7651</v>
      </c>
      <c r="G1617" s="2" t="s">
        <v>5275</v>
      </c>
      <c r="H1617" s="8">
        <v>9899482</v>
      </c>
      <c r="I1617" s="2" t="s">
        <v>4674</v>
      </c>
      <c r="K1617" t="e">
        <v>#N/A</v>
      </c>
      <c r="L1617" s="2" t="s">
        <v>8670</v>
      </c>
      <c r="M1617" t="s">
        <v>8210</v>
      </c>
    </row>
    <row r="1618" spans="1:14" ht="39" x14ac:dyDescent="0.3">
      <c r="A1618" s="1" t="str">
        <f>HYPERLINK("https://ipmanager.doe.gov/IPManager//ExternalLink.aspx?6ibkph2k9yi6F%2B0Vz7YoTo7DPLa3%2F%2FGgFjZMPH06%2BDM%3D","Link")</f>
        <v>Link</v>
      </c>
      <c r="B1618" s="2" t="s">
        <v>5276</v>
      </c>
      <c r="C1618" s="2" t="s">
        <v>5273</v>
      </c>
      <c r="D1618" s="2" t="s">
        <v>1787</v>
      </c>
      <c r="E1618" s="2" t="s">
        <v>5277</v>
      </c>
      <c r="F1618" s="2"/>
      <c r="G1618" s="2" t="s">
        <v>9</v>
      </c>
      <c r="H1618" s="7"/>
      <c r="I1618" s="2" t="s">
        <v>9</v>
      </c>
      <c r="K1618" t="e">
        <v>#N/A</v>
      </c>
      <c r="L1618" s="2" t="s">
        <v>8670</v>
      </c>
      <c r="M1618" t="s">
        <v>8210</v>
      </c>
      <c r="N1618" s="4"/>
    </row>
    <row r="1619" spans="1:14" ht="26" x14ac:dyDescent="0.3">
      <c r="A1619" s="1" t="str">
        <f>HYPERLINK("https://ipmanager.doe.gov/IPManager//ExternalLink.aspx?6ibkph2k9yi6F%2B0Vz7YoTp68px7nSN2gEhcgEuhCCiQ%3D","Link")</f>
        <v>Link</v>
      </c>
      <c r="B1619" s="2" t="s">
        <v>5281</v>
      </c>
      <c r="C1619" s="2" t="s">
        <v>5273</v>
      </c>
      <c r="D1619" s="2" t="s">
        <v>1787</v>
      </c>
      <c r="E1619" s="2" t="s">
        <v>5282</v>
      </c>
      <c r="F1619" s="2" t="s">
        <v>7652</v>
      </c>
      <c r="G1619" s="2" t="s">
        <v>4087</v>
      </c>
      <c r="H1619" s="8">
        <v>9865725</v>
      </c>
      <c r="I1619" s="2" t="s">
        <v>3391</v>
      </c>
      <c r="K1619" t="e">
        <v>#N/A</v>
      </c>
      <c r="L1619" s="2" t="s">
        <v>8670</v>
      </c>
      <c r="M1619" t="s">
        <v>8210</v>
      </c>
    </row>
    <row r="1620" spans="1:14" ht="52" x14ac:dyDescent="0.3">
      <c r="A1620" s="1" t="str">
        <f>HYPERLINK("https://ipmanager.doe.gov/IPManager//ExternalLink.aspx?6ibkph2k9yi6F%2B0Vz7YoTp68px7nSN2g3j2VO3JUDro%3D","Link")</f>
        <v>Link</v>
      </c>
      <c r="B1620" s="2" t="s">
        <v>5283</v>
      </c>
      <c r="C1620" s="2" t="s">
        <v>5273</v>
      </c>
      <c r="D1620" s="2" t="s">
        <v>1787</v>
      </c>
      <c r="E1620" s="2" t="s">
        <v>5284</v>
      </c>
      <c r="F1620" s="2"/>
      <c r="G1620" s="2" t="s">
        <v>9</v>
      </c>
      <c r="H1620" s="7"/>
      <c r="I1620" s="2" t="s">
        <v>9</v>
      </c>
      <c r="K1620" t="e">
        <v>#N/A</v>
      </c>
      <c r="L1620" s="2" t="s">
        <v>8670</v>
      </c>
      <c r="M1620" t="s">
        <v>8210</v>
      </c>
      <c r="N1620" s="4"/>
    </row>
    <row r="1621" spans="1:14" ht="78" x14ac:dyDescent="0.3">
      <c r="A1621" s="1" t="str">
        <f>HYPERLINK("https://ipmanager.doe.gov/IPManager//ExternalLink.aspx?6ibkph2k9yi6F%2B0Vz7YoTo7DPLa3%2F%2FGgNkyc8G5W%2BQc%3D","Link")</f>
        <v>Link</v>
      </c>
      <c r="B1621" s="2" t="s">
        <v>5285</v>
      </c>
      <c r="C1621" s="2" t="s">
        <v>5286</v>
      </c>
      <c r="D1621" s="2" t="s">
        <v>135</v>
      </c>
      <c r="E1621" s="2" t="s">
        <v>5287</v>
      </c>
      <c r="F1621" s="2"/>
      <c r="G1621" s="2" t="s">
        <v>9</v>
      </c>
      <c r="H1621" s="7"/>
      <c r="I1621" s="2" t="s">
        <v>9</v>
      </c>
      <c r="K1621" t="e">
        <v>#N/A</v>
      </c>
      <c r="L1621" s="2" t="s">
        <v>8671</v>
      </c>
      <c r="M1621" t="s">
        <v>8211</v>
      </c>
      <c r="N1621" s="4"/>
    </row>
    <row r="1622" spans="1:14" ht="52" x14ac:dyDescent="0.3">
      <c r="A1622" s="1" t="str">
        <f>HYPERLINK("https://ipmanager.doe.gov/IPManager//ExternalLink.aspx?6ibkph2k9yi6F%2B0Vz7YoTjnDGhmGHGI7TpcZ6axY2qg%3D","Link")</f>
        <v>Link</v>
      </c>
      <c r="B1622" s="2" t="s">
        <v>5288</v>
      </c>
      <c r="C1622" s="2" t="s">
        <v>5286</v>
      </c>
      <c r="D1622" s="2" t="s">
        <v>5064</v>
      </c>
      <c r="E1622" s="2" t="s">
        <v>5289</v>
      </c>
      <c r="F1622" s="2" t="s">
        <v>5290</v>
      </c>
      <c r="G1622" s="2" t="s">
        <v>3409</v>
      </c>
      <c r="H1622" s="7"/>
      <c r="I1622" s="2" t="s">
        <v>9</v>
      </c>
      <c r="K1622" t="e">
        <v>#N/A</v>
      </c>
      <c r="L1622" s="2" t="s">
        <v>8671</v>
      </c>
      <c r="M1622" t="s">
        <v>8211</v>
      </c>
      <c r="N1622" s="4"/>
    </row>
    <row r="1623" spans="1:14" ht="39" x14ac:dyDescent="0.3">
      <c r="A1623" s="1" t="str">
        <f>HYPERLINK("https://ipmanager.doe.gov/IPManager//ExternalLink.aspx?6ibkph2k9yi6F%2B0Vz7YoTq6RR9BlGHHiSwCSYT3FxiM%3D","Link")</f>
        <v>Link</v>
      </c>
      <c r="B1623" s="2" t="s">
        <v>5291</v>
      </c>
      <c r="C1623" s="2" t="s">
        <v>5292</v>
      </c>
      <c r="D1623" s="2" t="s">
        <v>770</v>
      </c>
      <c r="E1623" s="2" t="s">
        <v>5293</v>
      </c>
      <c r="F1623" s="2" t="s">
        <v>5294</v>
      </c>
      <c r="G1623" s="2" t="s">
        <v>5295</v>
      </c>
      <c r="H1623" s="7"/>
      <c r="I1623" s="2" t="s">
        <v>9</v>
      </c>
      <c r="K1623" t="e">
        <v>#N/A</v>
      </c>
      <c r="L1623" s="2" t="s">
        <v>8672</v>
      </c>
      <c r="M1623" t="s">
        <v>8212</v>
      </c>
      <c r="N1623" s="4"/>
    </row>
    <row r="1624" spans="1:14" ht="39" x14ac:dyDescent="0.3">
      <c r="A1624" s="1" t="str">
        <f>HYPERLINK("https://ipmanager.doe.gov/IPManager//ExternalLink.aspx?6ibkph2k9yi6F%2B0Vz7YoTo7DPLa3%2F%2FGgQdDZCj%2Frswg%3D","Link")</f>
        <v>Link</v>
      </c>
      <c r="B1624" s="2" t="s">
        <v>5297</v>
      </c>
      <c r="C1624" s="2" t="s">
        <v>5292</v>
      </c>
      <c r="D1624" s="2" t="s">
        <v>770</v>
      </c>
      <c r="E1624" s="2" t="s">
        <v>5293</v>
      </c>
      <c r="F1624" s="2" t="s">
        <v>5296</v>
      </c>
      <c r="G1624" s="2" t="s">
        <v>5298</v>
      </c>
      <c r="H1624" s="7"/>
      <c r="I1624" s="2" t="s">
        <v>9</v>
      </c>
      <c r="K1624" t="e">
        <v>#N/A</v>
      </c>
      <c r="L1624" s="2" t="s">
        <v>8672</v>
      </c>
      <c r="M1624" t="s">
        <v>8212</v>
      </c>
      <c r="N1624" s="4"/>
    </row>
    <row r="1625" spans="1:14" ht="39" x14ac:dyDescent="0.3">
      <c r="A1625" s="1" t="str">
        <f>HYPERLINK("https://ipmanager.doe.gov/IPManager//ExternalLink.aspx?6ibkph2k9yi6F%2B0Vz7YoTvE8yjoHgvp6UkEzk14pkQU%3D","Link")</f>
        <v>Link</v>
      </c>
      <c r="B1625" s="2" t="s">
        <v>5299</v>
      </c>
      <c r="C1625" s="2" t="s">
        <v>5292</v>
      </c>
      <c r="D1625" s="2" t="s">
        <v>770</v>
      </c>
      <c r="E1625" s="2" t="s">
        <v>5300</v>
      </c>
      <c r="F1625" s="2"/>
      <c r="G1625" s="2" t="s">
        <v>9</v>
      </c>
      <c r="H1625" s="7"/>
      <c r="I1625" s="2" t="s">
        <v>9</v>
      </c>
      <c r="K1625" t="e">
        <v>#N/A</v>
      </c>
      <c r="L1625" s="2" t="s">
        <v>8672</v>
      </c>
      <c r="M1625" t="s">
        <v>8212</v>
      </c>
      <c r="N1625" s="4"/>
    </row>
    <row r="1626" spans="1:14" ht="26" x14ac:dyDescent="0.3">
      <c r="A1626" s="1" t="str">
        <f>HYPERLINK("https://ipmanager.doe.gov/IPManager//ExternalLink.aspx?6ibkph2k9yi6F%2B0Vz7YoTjnDGhmGHGI7mVqfuXhislI%3D","Link")</f>
        <v>Link</v>
      </c>
      <c r="B1626" s="2" t="s">
        <v>5301</v>
      </c>
      <c r="C1626" s="2" t="s">
        <v>5292</v>
      </c>
      <c r="D1626" s="2" t="s">
        <v>5302</v>
      </c>
      <c r="E1626" s="2"/>
      <c r="F1626" s="2"/>
      <c r="G1626" s="2" t="s">
        <v>9</v>
      </c>
      <c r="H1626" s="7"/>
      <c r="I1626" s="2" t="s">
        <v>9</v>
      </c>
      <c r="K1626" t="e">
        <v>#N/A</v>
      </c>
      <c r="L1626" s="2" t="s">
        <v>8672</v>
      </c>
      <c r="M1626" t="s">
        <v>8212</v>
      </c>
      <c r="N1626" s="4"/>
    </row>
    <row r="1627" spans="1:14" ht="52" x14ac:dyDescent="0.3">
      <c r="A1627" s="1" t="str">
        <f>HYPERLINK("https://ipmanager.doe.gov/IPManager//ExternalLink.aspx?6ibkph2k9yi6F%2B0Vz7YoTo7DPLa3%2F%2FGgN%2FoATyiGpeI%3D","Link")</f>
        <v>Link</v>
      </c>
      <c r="B1627" s="2" t="s">
        <v>5303</v>
      </c>
      <c r="C1627" s="2" t="s">
        <v>5304</v>
      </c>
      <c r="D1627" s="2" t="s">
        <v>135</v>
      </c>
      <c r="E1627" s="2" t="s">
        <v>5305</v>
      </c>
      <c r="F1627" s="2" t="s">
        <v>5306</v>
      </c>
      <c r="G1627" s="2" t="s">
        <v>5307</v>
      </c>
      <c r="H1627" s="2"/>
      <c r="I1627" s="2" t="s">
        <v>9</v>
      </c>
      <c r="J1627" t="s">
        <v>4933</v>
      </c>
      <c r="K1627" t="s">
        <v>7955</v>
      </c>
      <c r="L1627" s="2" t="s">
        <v>8673</v>
      </c>
      <c r="M1627" t="s">
        <v>8213</v>
      </c>
      <c r="N1627" s="4"/>
    </row>
    <row r="1628" spans="1:14" ht="65" x14ac:dyDescent="0.3">
      <c r="A1628" s="1" t="str">
        <f>HYPERLINK("https://ipmanager.doe.gov/IPManager//ExternalLink.aspx?6ibkph2k9yi6F%2B0Vz7YoTo7DPLa3%2F%2FGg8%2FGoOTfC4F8%3D","Link")</f>
        <v>Link</v>
      </c>
      <c r="B1628" s="2" t="s">
        <v>5308</v>
      </c>
      <c r="C1628" s="2" t="s">
        <v>5304</v>
      </c>
      <c r="D1628" s="2" t="s">
        <v>135</v>
      </c>
      <c r="E1628" s="2" t="s">
        <v>5309</v>
      </c>
      <c r="F1628" s="2"/>
      <c r="G1628" s="2" t="s">
        <v>9</v>
      </c>
      <c r="H1628" s="7"/>
      <c r="I1628" s="2" t="s">
        <v>9</v>
      </c>
      <c r="K1628" t="e">
        <v>#N/A</v>
      </c>
      <c r="L1628" s="2" t="s">
        <v>8673</v>
      </c>
      <c r="M1628" t="s">
        <v>8213</v>
      </c>
      <c r="N1628" s="4"/>
    </row>
    <row r="1629" spans="1:14" ht="65" x14ac:dyDescent="0.3">
      <c r="A1629" s="1" t="str">
        <f>HYPERLINK("https://ipmanager.doe.gov/IPManager//ExternalLink.aspx?6ibkph2k9yi6F%2B0Vz7YoTgZwfmYxrNyKZKniO%2F98itE%3D","Link")</f>
        <v>Link</v>
      </c>
      <c r="B1629" s="2" t="s">
        <v>5310</v>
      </c>
      <c r="C1629" s="2" t="s">
        <v>5304</v>
      </c>
      <c r="D1629" s="2" t="s">
        <v>135</v>
      </c>
      <c r="E1629" s="2" t="s">
        <v>5311</v>
      </c>
      <c r="F1629" s="2"/>
      <c r="G1629" s="2" t="s">
        <v>9</v>
      </c>
      <c r="H1629" s="7"/>
      <c r="I1629" s="2" t="s">
        <v>9</v>
      </c>
      <c r="K1629" t="e">
        <v>#N/A</v>
      </c>
      <c r="L1629" s="2" t="s">
        <v>8673</v>
      </c>
      <c r="M1629" t="s">
        <v>8213</v>
      </c>
      <c r="N1629" s="4"/>
    </row>
    <row r="1630" spans="1:14" ht="65" x14ac:dyDescent="0.3">
      <c r="A1630" s="1" t="str">
        <f>HYPERLINK("https://ipmanager.doe.gov/IPManager//ExternalLink.aspx?6ibkph2k9yi6F%2B0Vz7YoTgZwfmYxrNyKO%2FgB0KF46ZU%3D","Link")</f>
        <v>Link</v>
      </c>
      <c r="B1630" s="2" t="s">
        <v>5312</v>
      </c>
      <c r="C1630" s="2" t="s">
        <v>5304</v>
      </c>
      <c r="D1630" s="2" t="s">
        <v>135</v>
      </c>
      <c r="E1630" s="2" t="s">
        <v>5313</v>
      </c>
      <c r="F1630" s="2" t="s">
        <v>5314</v>
      </c>
      <c r="G1630" s="2" t="s">
        <v>5315</v>
      </c>
      <c r="H1630" s="7" t="s">
        <v>5316</v>
      </c>
      <c r="I1630" s="2" t="s">
        <v>5317</v>
      </c>
      <c r="K1630" t="e">
        <v>#N/A</v>
      </c>
      <c r="L1630" s="2" t="s">
        <v>8673</v>
      </c>
      <c r="M1630" t="s">
        <v>8213</v>
      </c>
    </row>
    <row r="1631" spans="1:14" ht="52" x14ac:dyDescent="0.3">
      <c r="A1631" s="1" t="str">
        <f>HYPERLINK("https://ipmanager.doe.gov/IPManager//ExternalLink.aspx?6ibkph2k9yi6F%2B0Vz7YoTp68px7nSN2guF0E3BZbbkI%3D","Link")</f>
        <v>Link</v>
      </c>
      <c r="B1631" s="2" t="s">
        <v>5318</v>
      </c>
      <c r="C1631" s="2" t="s">
        <v>5319</v>
      </c>
      <c r="D1631" s="2" t="s">
        <v>1433</v>
      </c>
      <c r="E1631" s="2" t="s">
        <v>5320</v>
      </c>
      <c r="F1631" s="2" t="s">
        <v>5321</v>
      </c>
      <c r="G1631" s="2" t="s">
        <v>5322</v>
      </c>
      <c r="H1631" s="7" t="s">
        <v>5323</v>
      </c>
      <c r="I1631" s="2" t="s">
        <v>597</v>
      </c>
      <c r="K1631" t="e">
        <v>#N/A</v>
      </c>
      <c r="L1631" s="2" t="s">
        <v>8674</v>
      </c>
      <c r="M1631" t="s">
        <v>8214</v>
      </c>
    </row>
    <row r="1632" spans="1:14" ht="52" x14ac:dyDescent="0.3">
      <c r="A1632" s="1" t="str">
        <f>HYPERLINK("https://ipmanager.doe.gov/IPManager//ExternalLink.aspx?6ibkph2k9yi6F%2B0Vz7YoTq6RR9BlGHHiWbnWqk97R6Q%3D","Link")</f>
        <v>Link</v>
      </c>
      <c r="B1632" s="2" t="s">
        <v>5324</v>
      </c>
      <c r="C1632" s="2" t="s">
        <v>5319</v>
      </c>
      <c r="D1632" s="2" t="s">
        <v>1433</v>
      </c>
      <c r="E1632" s="2" t="s">
        <v>5325</v>
      </c>
      <c r="F1632" s="2"/>
      <c r="G1632" s="2" t="s">
        <v>9</v>
      </c>
      <c r="H1632" s="7"/>
      <c r="I1632" s="2" t="s">
        <v>9</v>
      </c>
      <c r="K1632" t="e">
        <v>#N/A</v>
      </c>
      <c r="L1632" s="2" t="s">
        <v>8674</v>
      </c>
      <c r="M1632" t="s">
        <v>8214</v>
      </c>
      <c r="N1632" s="4"/>
    </row>
    <row r="1633" spans="1:14" ht="52" x14ac:dyDescent="0.3">
      <c r="A1633" s="1" t="str">
        <f>HYPERLINK("https://ipmanager.doe.gov/IPManager//ExternalLink.aspx?6ibkph2k9yi6F%2B0Vz7YoTr7J5I%2BY4foYbTTKbFg4pHc%3D","Link")</f>
        <v>Link</v>
      </c>
      <c r="B1633" s="2" t="s">
        <v>5326</v>
      </c>
      <c r="C1633" s="2" t="s">
        <v>5327</v>
      </c>
      <c r="D1633" s="2" t="s">
        <v>12</v>
      </c>
      <c r="E1633" s="2" t="s">
        <v>5328</v>
      </c>
      <c r="F1633" s="2"/>
      <c r="G1633" s="2" t="s">
        <v>9</v>
      </c>
      <c r="H1633" s="7"/>
      <c r="I1633" s="2" t="s">
        <v>9</v>
      </c>
      <c r="K1633" t="e">
        <v>#N/A</v>
      </c>
      <c r="L1633" s="2" t="s">
        <v>8675</v>
      </c>
      <c r="M1633" t="s">
        <v>8215</v>
      </c>
      <c r="N1633" s="4"/>
    </row>
    <row r="1634" spans="1:14" ht="52" x14ac:dyDescent="0.3">
      <c r="A1634" s="1" t="str">
        <f>HYPERLINK("https://ipmanager.doe.gov/IPManager//ExternalLink.aspx?6ibkph2k9yi6F%2B0Vz7YoTgZwfmYxrNyKcDstH%2F4ggiY%3D","Link")</f>
        <v>Link</v>
      </c>
      <c r="B1634" s="2" t="s">
        <v>5329</v>
      </c>
      <c r="C1634" s="2" t="s">
        <v>5330</v>
      </c>
      <c r="D1634" s="2" t="s">
        <v>5331</v>
      </c>
      <c r="E1634" s="2" t="s">
        <v>5332</v>
      </c>
      <c r="F1634" s="2" t="s">
        <v>5333</v>
      </c>
      <c r="G1634" s="2" t="s">
        <v>2784</v>
      </c>
      <c r="H1634" s="7"/>
      <c r="I1634" s="2" t="s">
        <v>9</v>
      </c>
      <c r="K1634" t="e">
        <v>#N/A</v>
      </c>
      <c r="L1634" s="2" t="s">
        <v>8676</v>
      </c>
      <c r="M1634" t="s">
        <v>8216</v>
      </c>
      <c r="N1634" s="4"/>
    </row>
    <row r="1635" spans="1:14" ht="52" x14ac:dyDescent="0.3">
      <c r="A1635" s="1" t="str">
        <f>HYPERLINK("https://ipmanager.doe.gov/IPManager//ExternalLink.aspx?6ibkph2k9yi6F%2B0Vz7YoTvPUg%2FVZPl3iKDoDXRwNieA%3D","Link")</f>
        <v>Link</v>
      </c>
      <c r="B1635" s="2" t="s">
        <v>5334</v>
      </c>
      <c r="C1635" s="2" t="s">
        <v>5335</v>
      </c>
      <c r="D1635" s="2" t="s">
        <v>135</v>
      </c>
      <c r="E1635" s="2" t="s">
        <v>5336</v>
      </c>
      <c r="F1635" s="2" t="s">
        <v>5337</v>
      </c>
      <c r="G1635" s="2" t="s">
        <v>3082</v>
      </c>
      <c r="H1635" s="2"/>
      <c r="I1635" s="2" t="s">
        <v>9</v>
      </c>
      <c r="J1635" t="s">
        <v>6215</v>
      </c>
      <c r="K1635" t="s">
        <v>7961</v>
      </c>
      <c r="L1635" s="2" t="s">
        <v>8460</v>
      </c>
      <c r="M1635" t="s">
        <v>7998</v>
      </c>
      <c r="N1635" s="4"/>
    </row>
    <row r="1636" spans="1:14" ht="52" x14ac:dyDescent="0.3">
      <c r="A1636" s="1" t="str">
        <f>HYPERLINK("https://ipmanager.doe.gov/IPManager//ExternalLink.aspx?6ibkph2k9yi6F%2B0Vz7YoTjnDGhmGHGI7siksYdOjSIk%3D","Link")</f>
        <v>Link</v>
      </c>
      <c r="B1636" s="2" t="s">
        <v>5341</v>
      </c>
      <c r="C1636" s="2" t="s">
        <v>5335</v>
      </c>
      <c r="D1636" s="2" t="s">
        <v>135</v>
      </c>
      <c r="E1636" s="2" t="s">
        <v>5336</v>
      </c>
      <c r="F1636" s="2" t="s">
        <v>5342</v>
      </c>
      <c r="G1636" s="2" t="s">
        <v>507</v>
      </c>
      <c r="H1636" s="2"/>
      <c r="I1636" s="2" t="s">
        <v>9</v>
      </c>
      <c r="J1636" t="s">
        <v>6222</v>
      </c>
      <c r="K1636" t="s">
        <v>7962</v>
      </c>
      <c r="L1636" s="2" t="s">
        <v>8460</v>
      </c>
      <c r="M1636" t="s">
        <v>7998</v>
      </c>
      <c r="N1636" s="4"/>
    </row>
    <row r="1637" spans="1:14" ht="65" x14ac:dyDescent="0.3">
      <c r="A1637" s="1" t="str">
        <f>HYPERLINK("https://ipmanager.doe.gov/IPManager//ExternalLink.aspx?6ibkph2k9yi6F%2B0Vz7YoTjnDGhmGHGI7HklDMrsjGTg%3D","Link")</f>
        <v>Link</v>
      </c>
      <c r="B1637" s="2" t="s">
        <v>5338</v>
      </c>
      <c r="C1637" s="2" t="s">
        <v>5335</v>
      </c>
      <c r="D1637" s="2" t="s">
        <v>135</v>
      </c>
      <c r="E1637" s="2" t="s">
        <v>5339</v>
      </c>
      <c r="F1637" s="2" t="s">
        <v>5340</v>
      </c>
      <c r="G1637" s="2" t="s">
        <v>507</v>
      </c>
      <c r="H1637" s="7"/>
      <c r="I1637" s="2" t="s">
        <v>9</v>
      </c>
      <c r="J1637" t="s">
        <v>7569</v>
      </c>
      <c r="K1637" t="s">
        <v>7963</v>
      </c>
      <c r="L1637" s="2" t="s">
        <v>8460</v>
      </c>
      <c r="M1637" t="s">
        <v>7998</v>
      </c>
      <c r="N1637" s="4"/>
    </row>
    <row r="1638" spans="1:14" ht="26" x14ac:dyDescent="0.3">
      <c r="A1638" s="1" t="str">
        <f>HYPERLINK("https://ipmanager.doe.gov/IPManager//ExternalLink.aspx?6ibkph2k9yi6F%2B0Vz7YoTr7J5I%2BY4foYF%2FYU85f%2FAPY%3D","Link")</f>
        <v>Link</v>
      </c>
      <c r="B1638" s="2" t="s">
        <v>5343</v>
      </c>
      <c r="C1638" s="2" t="s">
        <v>5344</v>
      </c>
      <c r="D1638" s="2" t="s">
        <v>3094</v>
      </c>
      <c r="E1638" s="2" t="s">
        <v>5345</v>
      </c>
      <c r="F1638" s="2"/>
      <c r="G1638" s="2" t="s">
        <v>9</v>
      </c>
      <c r="H1638" s="7"/>
      <c r="I1638" s="2" t="s">
        <v>9</v>
      </c>
      <c r="K1638" t="e">
        <v>#N/A</v>
      </c>
      <c r="L1638" s="2" t="s">
        <v>8677</v>
      </c>
      <c r="M1638" t="s">
        <v>8217</v>
      </c>
      <c r="N1638" s="4"/>
    </row>
    <row r="1639" spans="1:14" ht="39" x14ac:dyDescent="0.3">
      <c r="A1639" s="1" t="str">
        <f>HYPERLINK("https://ipmanager.doe.gov/IPManager//ExternalLink.aspx?6ibkph2k9yi6F%2B0Vz7YoTr7J5I%2BY4foYZcjqb%2BkO4Uw%3D","Link")</f>
        <v>Link</v>
      </c>
      <c r="B1639" s="2" t="s">
        <v>5346</v>
      </c>
      <c r="C1639" s="2" t="s">
        <v>5344</v>
      </c>
      <c r="D1639" s="2" t="s">
        <v>3094</v>
      </c>
      <c r="E1639" s="2" t="s">
        <v>5347</v>
      </c>
      <c r="F1639" s="2"/>
      <c r="G1639" s="2" t="s">
        <v>9</v>
      </c>
      <c r="H1639" s="7"/>
      <c r="I1639" s="2" t="s">
        <v>9</v>
      </c>
      <c r="K1639" t="e">
        <v>#N/A</v>
      </c>
      <c r="L1639" s="2" t="s">
        <v>8677</v>
      </c>
      <c r="M1639" t="s">
        <v>8217</v>
      </c>
      <c r="N1639" s="4"/>
    </row>
    <row r="1640" spans="1:14" ht="26" x14ac:dyDescent="0.3">
      <c r="A1640" s="1" t="str">
        <f>HYPERLINK("https://ipmanager.doe.gov/IPManager//ExternalLink.aspx?6ibkph2k9yi6F%2B0Vz7YoTgZwfmYxrNyK08l8zO1JMIM%3D","Link")</f>
        <v>Link</v>
      </c>
      <c r="B1640" s="2" t="s">
        <v>5360</v>
      </c>
      <c r="C1640" s="2" t="s">
        <v>5349</v>
      </c>
      <c r="D1640" s="2" t="s">
        <v>5350</v>
      </c>
      <c r="E1640" s="2" t="s">
        <v>5361</v>
      </c>
      <c r="F1640" s="2" t="s">
        <v>5362</v>
      </c>
      <c r="G1640" s="2" t="s">
        <v>5363</v>
      </c>
      <c r="H1640" s="2"/>
      <c r="I1640" s="2" t="s">
        <v>9</v>
      </c>
      <c r="K1640" t="e">
        <v>#N/A</v>
      </c>
      <c r="L1640" s="2" t="s">
        <v>8678</v>
      </c>
      <c r="M1640" t="s">
        <v>8218</v>
      </c>
      <c r="N1640" s="4"/>
    </row>
    <row r="1641" spans="1:14" ht="26" x14ac:dyDescent="0.3">
      <c r="A1641" s="1" t="str">
        <f>HYPERLINK("https://ipmanager.doe.gov/IPManager//ExternalLink.aspx?6ibkph2k9yi6F%2B0Vz7YoTjnDGhmGHGI7OeN0eET1PnQ%3D","Link")</f>
        <v>Link</v>
      </c>
      <c r="B1641" s="2" t="s">
        <v>5348</v>
      </c>
      <c r="C1641" s="2" t="s">
        <v>5349</v>
      </c>
      <c r="D1641" s="2" t="s">
        <v>5350</v>
      </c>
      <c r="E1641" s="2" t="s">
        <v>5351</v>
      </c>
      <c r="F1641" s="2" t="s">
        <v>7654</v>
      </c>
      <c r="G1641" s="2" t="s">
        <v>1498</v>
      </c>
      <c r="H1641" s="8">
        <v>9415996</v>
      </c>
      <c r="I1641" s="2" t="s">
        <v>2130</v>
      </c>
      <c r="K1641" t="e">
        <v>#N/A</v>
      </c>
      <c r="L1641" s="2" t="s">
        <v>8678</v>
      </c>
      <c r="M1641" t="s">
        <v>8218</v>
      </c>
    </row>
    <row r="1642" spans="1:14" ht="26" x14ac:dyDescent="0.3">
      <c r="A1642" s="1" t="str">
        <f>HYPERLINK("https://ipmanager.doe.gov/IPManager//ExternalLink.aspx?6ibkph2k9yi6F%2B0Vz7YoTk2BI6w%2FjZ2fMuTdgb7d0Ns%3D","Link")</f>
        <v>Link</v>
      </c>
      <c r="B1642" s="2" t="s">
        <v>5352</v>
      </c>
      <c r="C1642" s="2" t="s">
        <v>5349</v>
      </c>
      <c r="D1642" s="2" t="s">
        <v>5350</v>
      </c>
      <c r="E1642" s="2" t="s">
        <v>5353</v>
      </c>
      <c r="F1642" s="2" t="s">
        <v>5354</v>
      </c>
      <c r="G1642" s="2" t="s">
        <v>1276</v>
      </c>
      <c r="H1642" s="7" t="s">
        <v>5355</v>
      </c>
      <c r="I1642" s="2" t="s">
        <v>2197</v>
      </c>
      <c r="K1642" t="e">
        <v>#N/A</v>
      </c>
      <c r="L1642" s="2" t="s">
        <v>8678</v>
      </c>
      <c r="M1642" t="s">
        <v>8218</v>
      </c>
    </row>
    <row r="1643" spans="1:14" ht="39" x14ac:dyDescent="0.3">
      <c r="A1643" s="1" t="str">
        <f>HYPERLINK("https://ipmanager.doe.gov/IPManager//ExternalLink.aspx?6ibkph2k9yi6F%2B0Vz7YoTgZwfmYxrNyKrb97a5YSSt0%3D","Link")</f>
        <v>Link</v>
      </c>
      <c r="B1643" s="2" t="s">
        <v>5356</v>
      </c>
      <c r="C1643" s="2" t="s">
        <v>5349</v>
      </c>
      <c r="D1643" s="2" t="s">
        <v>5350</v>
      </c>
      <c r="E1643" s="2" t="s">
        <v>5357</v>
      </c>
      <c r="F1643" s="2"/>
      <c r="G1643" s="2" t="s">
        <v>9</v>
      </c>
      <c r="H1643" s="7"/>
      <c r="I1643" s="2" t="s">
        <v>9</v>
      </c>
      <c r="K1643" t="e">
        <v>#N/A</v>
      </c>
      <c r="L1643" s="2" t="s">
        <v>8678</v>
      </c>
      <c r="M1643" t="s">
        <v>8218</v>
      </c>
      <c r="N1643" s="4"/>
    </row>
    <row r="1644" spans="1:14" x14ac:dyDescent="0.3">
      <c r="A1644" s="1" t="str">
        <f>HYPERLINK("https://ipmanager.doe.gov/IPManager//ExternalLink.aspx?6ibkph2k9yi6F%2B0Vz7YoTjnDGhmGHGI7VOLhKcK1d5k%3D","Link")</f>
        <v>Link</v>
      </c>
      <c r="B1644" s="2" t="s">
        <v>5358</v>
      </c>
      <c r="C1644" s="2" t="s">
        <v>5349</v>
      </c>
      <c r="D1644" s="2" t="s">
        <v>5350</v>
      </c>
      <c r="E1644" s="2" t="s">
        <v>5359</v>
      </c>
      <c r="F1644" s="2"/>
      <c r="G1644" s="2" t="s">
        <v>9</v>
      </c>
      <c r="H1644" s="7"/>
      <c r="I1644" s="2" t="s">
        <v>9</v>
      </c>
      <c r="K1644" t="e">
        <v>#N/A</v>
      </c>
      <c r="L1644" s="2" t="s">
        <v>8678</v>
      </c>
      <c r="M1644" t="s">
        <v>8218</v>
      </c>
      <c r="N1644" s="4"/>
    </row>
    <row r="1645" spans="1:14" ht="39" x14ac:dyDescent="0.3">
      <c r="A1645" s="1" t="str">
        <f>HYPERLINK("https://ipmanager.doe.gov/IPManager//ExternalLink.aspx?6ibkph2k9yi6F%2B0Vz7YoTgZwfmYxrNyKcmXRnVpaW5k%3D","Link")</f>
        <v>Link</v>
      </c>
      <c r="B1645" s="2" t="s">
        <v>5364</v>
      </c>
      <c r="C1645" s="2" t="s">
        <v>5365</v>
      </c>
      <c r="D1645" s="2" t="s">
        <v>5366</v>
      </c>
      <c r="E1645" s="2" t="s">
        <v>5367</v>
      </c>
      <c r="F1645" s="2"/>
      <c r="G1645" s="2" t="s">
        <v>9</v>
      </c>
      <c r="H1645" s="7"/>
      <c r="I1645" s="2" t="s">
        <v>9</v>
      </c>
      <c r="K1645" t="e">
        <v>#N/A</v>
      </c>
      <c r="L1645" s="2" t="s">
        <v>8679</v>
      </c>
      <c r="M1645" t="s">
        <v>8219</v>
      </c>
      <c r="N1645" s="4"/>
    </row>
    <row r="1646" spans="1:14" ht="78" x14ac:dyDescent="0.3">
      <c r="A1646" s="1" t="str">
        <f>HYPERLINK("https://ipmanager.doe.gov/IPManager//ExternalLink.aspx?6ibkph2k9yi6F%2B0Vz7YoTjnDGhmGHGI7Q5gaCE3OCvs%3D","Link")</f>
        <v>Link</v>
      </c>
      <c r="B1646" s="2" t="s">
        <v>5368</v>
      </c>
      <c r="C1646" s="2" t="s">
        <v>5365</v>
      </c>
      <c r="D1646" s="2" t="s">
        <v>5366</v>
      </c>
      <c r="E1646" s="2" t="s">
        <v>5369</v>
      </c>
      <c r="F1646" s="2"/>
      <c r="G1646" s="2" t="s">
        <v>9</v>
      </c>
      <c r="H1646" s="7"/>
      <c r="I1646" s="2" t="s">
        <v>9</v>
      </c>
      <c r="K1646" t="e">
        <v>#N/A</v>
      </c>
      <c r="L1646" s="2" t="s">
        <v>8679</v>
      </c>
      <c r="M1646" t="s">
        <v>8219</v>
      </c>
      <c r="N1646" s="4"/>
    </row>
    <row r="1647" spans="1:14" ht="78" x14ac:dyDescent="0.3">
      <c r="A1647" s="1" t="str">
        <f>HYPERLINK("https://ipmanager.doe.gov/IPManager//ExternalLink.aspx?6ibkph2k9yi6F%2B0Vz7YoTgZwfmYxrNyKilylwKwNJhg%3D","Link")</f>
        <v>Link</v>
      </c>
      <c r="B1647" s="2" t="s">
        <v>5370</v>
      </c>
      <c r="C1647" s="2" t="s">
        <v>5365</v>
      </c>
      <c r="D1647" s="2" t="s">
        <v>5366</v>
      </c>
      <c r="E1647" s="2" t="s">
        <v>5369</v>
      </c>
      <c r="F1647" s="2" t="s">
        <v>5371</v>
      </c>
      <c r="G1647" s="2" t="s">
        <v>4246</v>
      </c>
      <c r="H1647" s="2"/>
      <c r="I1647" s="2" t="s">
        <v>9</v>
      </c>
      <c r="J1647" t="s">
        <v>5371</v>
      </c>
      <c r="K1647" t="s">
        <v>7759</v>
      </c>
      <c r="L1647" s="2" t="s">
        <v>8679</v>
      </c>
      <c r="M1647" t="s">
        <v>8219</v>
      </c>
      <c r="N1647" s="4"/>
    </row>
    <row r="1648" spans="1:14" ht="26" x14ac:dyDescent="0.3">
      <c r="A1648" s="1" t="str">
        <f>HYPERLINK("https://ipmanager.doe.gov/IPManager//ExternalLink.aspx?6ibkph2k9yi6F%2B0Vz7YoTgZwfmYxrNyKHzcY%2FH05Cn0%3D","Link")</f>
        <v>Link</v>
      </c>
      <c r="B1648" s="2" t="s">
        <v>5372</v>
      </c>
      <c r="C1648" s="2" t="s">
        <v>5373</v>
      </c>
      <c r="D1648" s="2" t="s">
        <v>3062</v>
      </c>
      <c r="E1648" s="2" t="s">
        <v>5374</v>
      </c>
      <c r="F1648" s="2" t="s">
        <v>5375</v>
      </c>
      <c r="G1648" s="2" t="s">
        <v>4003</v>
      </c>
      <c r="H1648" s="7"/>
      <c r="I1648" s="2" t="s">
        <v>9</v>
      </c>
      <c r="K1648" t="e">
        <v>#N/A</v>
      </c>
      <c r="L1648" s="2" t="s">
        <v>8680</v>
      </c>
      <c r="M1648" t="s">
        <v>8220</v>
      </c>
      <c r="N1648" s="4"/>
    </row>
    <row r="1649" spans="1:14" ht="26" x14ac:dyDescent="0.3">
      <c r="A1649" s="1" t="str">
        <f>HYPERLINK("https://ipmanager.doe.gov/IPManager//ExternalLink.aspx?6ibkph2k9yi6F%2B0Vz7YoTo7DPLa3%2F%2FGgt1ZA2d2M%2BSw%3D","Link")</f>
        <v>Link</v>
      </c>
      <c r="B1649" s="2" t="s">
        <v>5376</v>
      </c>
      <c r="C1649" s="2" t="s">
        <v>5373</v>
      </c>
      <c r="D1649" s="2" t="s">
        <v>3062</v>
      </c>
      <c r="E1649" s="2" t="s">
        <v>5377</v>
      </c>
      <c r="F1649" s="2" t="s">
        <v>5378</v>
      </c>
      <c r="G1649" s="2" t="s">
        <v>2197</v>
      </c>
      <c r="H1649" s="7"/>
      <c r="I1649" s="2" t="s">
        <v>9</v>
      </c>
      <c r="K1649" t="e">
        <v>#N/A</v>
      </c>
      <c r="L1649" s="2" t="s">
        <v>8680</v>
      </c>
      <c r="M1649" t="s">
        <v>8220</v>
      </c>
      <c r="N1649" s="4"/>
    </row>
    <row r="1650" spans="1:14" ht="39" x14ac:dyDescent="0.3">
      <c r="A1650" s="1" t="str">
        <f>HYPERLINK("https://ipmanager.doe.gov/IPManager//ExternalLink.aspx?6ibkph2k9yi6F%2B0Vz7YoTgZwfmYxrNyKI3u8I2ahZ4k%3D","Link")</f>
        <v>Link</v>
      </c>
      <c r="B1650" s="2" t="s">
        <v>5379</v>
      </c>
      <c r="C1650" s="2" t="s">
        <v>5373</v>
      </c>
      <c r="D1650" s="2" t="s">
        <v>3062</v>
      </c>
      <c r="E1650" s="2" t="s">
        <v>5380</v>
      </c>
      <c r="F1650" s="2" t="s">
        <v>5381</v>
      </c>
      <c r="G1650" s="2" t="s">
        <v>4394</v>
      </c>
      <c r="H1650" s="7"/>
      <c r="I1650" s="2" t="s">
        <v>9</v>
      </c>
      <c r="K1650" t="e">
        <v>#N/A</v>
      </c>
      <c r="L1650" s="2" t="s">
        <v>8680</v>
      </c>
      <c r="M1650" t="s">
        <v>8220</v>
      </c>
      <c r="N1650" s="4"/>
    </row>
    <row r="1651" spans="1:14" ht="52" x14ac:dyDescent="0.3">
      <c r="A1651" s="1" t="str">
        <f>HYPERLINK("https://ipmanager.doe.gov/IPManager//ExternalLink.aspx?6ibkph2k9yi6F%2B0Vz7YoTgZwfmYxrNyKHBwzYiCPB7A%3D","Link")</f>
        <v>Link</v>
      </c>
      <c r="B1651" s="2" t="s">
        <v>5382</v>
      </c>
      <c r="C1651" s="2" t="s">
        <v>5383</v>
      </c>
      <c r="D1651" s="2" t="s">
        <v>5384</v>
      </c>
      <c r="E1651" s="2" t="s">
        <v>5385</v>
      </c>
      <c r="F1651" s="2"/>
      <c r="G1651" s="2" t="s">
        <v>9</v>
      </c>
      <c r="H1651" s="7"/>
      <c r="I1651" s="2" t="s">
        <v>9</v>
      </c>
      <c r="K1651" t="e">
        <v>#N/A</v>
      </c>
      <c r="L1651" s="2" t="e">
        <v>#N/A</v>
      </c>
      <c r="M1651" t="e">
        <v>#N/A</v>
      </c>
      <c r="N1651" s="4"/>
    </row>
    <row r="1652" spans="1:14" ht="52" x14ac:dyDescent="0.3">
      <c r="A1652" s="1" t="str">
        <f>HYPERLINK("https://ipmanager.doe.gov/IPManager//ExternalLink.aspx?6ibkph2k9yi6F%2B0Vz7YoTjnDGhmGHGI7sgaavnWJ0K4%3D","Link")</f>
        <v>Link</v>
      </c>
      <c r="B1652" s="2" t="s">
        <v>5390</v>
      </c>
      <c r="C1652" s="2" t="s">
        <v>5383</v>
      </c>
      <c r="D1652" s="2" t="s">
        <v>5384</v>
      </c>
      <c r="E1652" s="2" t="s">
        <v>5391</v>
      </c>
      <c r="F1652" s="2" t="s">
        <v>5392</v>
      </c>
      <c r="G1652" s="2" t="s">
        <v>5393</v>
      </c>
      <c r="H1652" s="7" t="s">
        <v>5394</v>
      </c>
      <c r="I1652" s="2" t="s">
        <v>5395</v>
      </c>
      <c r="K1652" t="e">
        <v>#N/A</v>
      </c>
      <c r="L1652" s="2" t="e">
        <v>#N/A</v>
      </c>
      <c r="M1652" t="e">
        <v>#N/A</v>
      </c>
    </row>
    <row r="1653" spans="1:14" ht="39" x14ac:dyDescent="0.3">
      <c r="A1653" s="1" t="str">
        <f>HYPERLINK("https://ipmanager.doe.gov/IPManager//ExternalLink.aspx?6ibkph2k9yi6F%2B0Vz7YoTq6RR9BlGHHiLeRFAkS2OFU%3D","Link")</f>
        <v>Link</v>
      </c>
      <c r="B1653" s="2" t="s">
        <v>5399</v>
      </c>
      <c r="C1653" s="2" t="s">
        <v>5383</v>
      </c>
      <c r="D1653" s="2" t="s">
        <v>5384</v>
      </c>
      <c r="E1653" s="2" t="s">
        <v>5400</v>
      </c>
      <c r="F1653" s="2" t="s">
        <v>5401</v>
      </c>
      <c r="G1653" s="2" t="s">
        <v>4000</v>
      </c>
      <c r="H1653" s="7" t="s">
        <v>5402</v>
      </c>
      <c r="I1653" s="2" t="s">
        <v>2712</v>
      </c>
      <c r="K1653" t="e">
        <v>#N/A</v>
      </c>
      <c r="L1653" s="2" t="e">
        <v>#N/A</v>
      </c>
      <c r="M1653" t="e">
        <v>#N/A</v>
      </c>
    </row>
    <row r="1654" spans="1:14" ht="26" x14ac:dyDescent="0.3">
      <c r="A1654" s="1" t="str">
        <f>HYPERLINK("https://ipmanager.doe.gov/IPManager//ExternalLink.aspx?6ibkph2k9yi6F%2B0Vz7YoTo7DPLa3%2F%2FGg81wbo%2Bhxv2c%3D","Link")</f>
        <v>Link</v>
      </c>
      <c r="B1654" s="2" t="s">
        <v>5386</v>
      </c>
      <c r="C1654" s="2" t="s">
        <v>5383</v>
      </c>
      <c r="D1654" s="2" t="s">
        <v>5387</v>
      </c>
      <c r="E1654" s="2" t="s">
        <v>5388</v>
      </c>
      <c r="F1654" s="2" t="s">
        <v>5389</v>
      </c>
      <c r="G1654" s="2" t="s">
        <v>4975</v>
      </c>
      <c r="H1654" s="7"/>
      <c r="I1654" s="2" t="s">
        <v>9</v>
      </c>
      <c r="K1654" t="e">
        <v>#N/A</v>
      </c>
      <c r="L1654" s="2" t="e">
        <v>#N/A</v>
      </c>
      <c r="M1654" t="e">
        <v>#N/A</v>
      </c>
      <c r="N1654" s="4"/>
    </row>
    <row r="1655" spans="1:14" ht="52" x14ac:dyDescent="0.3">
      <c r="A1655" s="1" t="str">
        <f>HYPERLINK("https://ipmanager.doe.gov/IPManager//ExternalLink.aspx?6ibkph2k9yi6F%2B0Vz7YoTo7DPLa3%2F%2FGg3uIzJLdukZk%3D","Link")</f>
        <v>Link</v>
      </c>
      <c r="B1655" s="2" t="s">
        <v>5396</v>
      </c>
      <c r="C1655" s="2" t="s">
        <v>5383</v>
      </c>
      <c r="D1655" s="2" t="s">
        <v>5387</v>
      </c>
      <c r="E1655" s="2" t="s">
        <v>5397</v>
      </c>
      <c r="F1655" s="2" t="s">
        <v>5398</v>
      </c>
      <c r="G1655" s="2" t="s">
        <v>9</v>
      </c>
      <c r="H1655" s="7"/>
      <c r="I1655" s="2" t="s">
        <v>9</v>
      </c>
      <c r="K1655" t="e">
        <v>#N/A</v>
      </c>
      <c r="L1655" s="2" t="e">
        <v>#N/A</v>
      </c>
      <c r="M1655" t="e">
        <v>#N/A</v>
      </c>
      <c r="N1655" s="4"/>
    </row>
    <row r="1656" spans="1:14" ht="78" x14ac:dyDescent="0.3">
      <c r="A1656" s="1" t="str">
        <f>HYPERLINK("https://ipmanager.doe.gov/IPManager//ExternalLink.aspx?6ibkph2k9yi6F%2B0Vz7YoTsTAnuFk5EoAzxZk6e6xoHo%3D","Link")</f>
        <v>Link</v>
      </c>
      <c r="B1656" s="2" t="s">
        <v>4781</v>
      </c>
      <c r="C1656" s="2" t="s">
        <v>5403</v>
      </c>
      <c r="D1656" s="2" t="s">
        <v>5404</v>
      </c>
      <c r="E1656" s="2" t="s">
        <v>5405</v>
      </c>
      <c r="F1656" s="2" t="s">
        <v>5406</v>
      </c>
      <c r="G1656" s="2" t="s">
        <v>5407</v>
      </c>
      <c r="H1656" s="7"/>
      <c r="I1656" s="2" t="s">
        <v>9</v>
      </c>
      <c r="K1656" t="e">
        <v>#N/A</v>
      </c>
      <c r="L1656" s="2" t="s">
        <v>8681</v>
      </c>
      <c r="M1656" t="s">
        <v>8221</v>
      </c>
      <c r="N1656" s="4"/>
    </row>
    <row r="1657" spans="1:14" ht="52" x14ac:dyDescent="0.3">
      <c r="A1657" s="1" t="str">
        <f>HYPERLINK("https://ipmanager.doe.gov/IPManager//ExternalLink.aspx?6ibkph2k9yi6F%2B0Vz7YoTgZwfmYxrNyKnFLsaL5WgrY%3D","Link")</f>
        <v>Link</v>
      </c>
      <c r="B1657" s="2" t="s">
        <v>5415</v>
      </c>
      <c r="C1657" s="2" t="s">
        <v>5409</v>
      </c>
      <c r="D1657" s="2" t="s">
        <v>1793</v>
      </c>
      <c r="E1657" s="2" t="s">
        <v>5416</v>
      </c>
      <c r="F1657" s="2" t="s">
        <v>5417</v>
      </c>
      <c r="G1657" s="2" t="s">
        <v>3187</v>
      </c>
      <c r="H1657" s="7"/>
      <c r="I1657" s="2" t="s">
        <v>9</v>
      </c>
      <c r="K1657" t="e">
        <v>#N/A</v>
      </c>
      <c r="L1657" s="2" t="s">
        <v>8682</v>
      </c>
      <c r="M1657" t="s">
        <v>8222</v>
      </c>
      <c r="N1657" s="4"/>
    </row>
    <row r="1658" spans="1:14" ht="65" x14ac:dyDescent="0.3">
      <c r="A1658" s="1" t="str">
        <f>HYPERLINK("https://ipmanager.doe.gov/IPManager//ExternalLink.aspx?6ibkph2k9yi6F%2B0Vz7YoTq6RR9BlGHHi3D%2Bf5WyXaVk%3D","Link")</f>
        <v>Link</v>
      </c>
      <c r="B1658" s="2" t="s">
        <v>5418</v>
      </c>
      <c r="C1658" s="2" t="s">
        <v>5409</v>
      </c>
      <c r="D1658" s="2" t="s">
        <v>1793</v>
      </c>
      <c r="E1658" s="2" t="s">
        <v>5419</v>
      </c>
      <c r="F1658" s="2" t="s">
        <v>5420</v>
      </c>
      <c r="G1658" s="2" t="s">
        <v>5421</v>
      </c>
      <c r="H1658" s="7"/>
      <c r="I1658" s="2" t="s">
        <v>9</v>
      </c>
      <c r="K1658" t="e">
        <v>#N/A</v>
      </c>
      <c r="L1658" s="2" t="s">
        <v>8682</v>
      </c>
      <c r="M1658" t="s">
        <v>8222</v>
      </c>
      <c r="N1658" s="4"/>
    </row>
    <row r="1659" spans="1:14" ht="39" x14ac:dyDescent="0.3">
      <c r="A1659" s="1" t="str">
        <f>HYPERLINK("https://ipmanager.doe.gov/IPManager//ExternalLink.aspx?6ibkph2k9yi6F%2B0Vz7YoTjnDGhmGHGI7IxZK9Qrjn7w%3D","Link")</f>
        <v>Link</v>
      </c>
      <c r="B1659" s="2" t="s">
        <v>5408</v>
      </c>
      <c r="C1659" s="2" t="s">
        <v>5409</v>
      </c>
      <c r="D1659" s="2" t="s">
        <v>1793</v>
      </c>
      <c r="E1659" s="2" t="s">
        <v>5410</v>
      </c>
      <c r="F1659" s="2"/>
      <c r="G1659" s="2" t="s">
        <v>9</v>
      </c>
      <c r="H1659" s="7"/>
      <c r="I1659" s="2" t="s">
        <v>9</v>
      </c>
      <c r="K1659" t="e">
        <v>#N/A</v>
      </c>
      <c r="L1659" s="2" t="s">
        <v>8682</v>
      </c>
      <c r="M1659" t="s">
        <v>8222</v>
      </c>
      <c r="N1659" s="4"/>
    </row>
    <row r="1660" spans="1:14" ht="78" x14ac:dyDescent="0.3">
      <c r="A1660" s="1" t="str">
        <f>HYPERLINK("https://ipmanager.doe.gov/IPManager//ExternalLink.aspx?6ibkph2k9yi6F%2B0Vz7YoTq6RR9BlGHHioUiUSWfNWvs%3D","Link")</f>
        <v>Link</v>
      </c>
      <c r="B1660" s="2" t="s">
        <v>5411</v>
      </c>
      <c r="C1660" s="2" t="s">
        <v>5409</v>
      </c>
      <c r="D1660" s="2" t="s">
        <v>1793</v>
      </c>
      <c r="E1660" s="2" t="s">
        <v>5412</v>
      </c>
      <c r="F1660" s="2"/>
      <c r="G1660" s="2" t="s">
        <v>9</v>
      </c>
      <c r="H1660" s="7"/>
      <c r="I1660" s="2" t="s">
        <v>9</v>
      </c>
      <c r="K1660" t="e">
        <v>#N/A</v>
      </c>
      <c r="L1660" s="2" t="s">
        <v>8682</v>
      </c>
      <c r="M1660" t="s">
        <v>8222</v>
      </c>
      <c r="N1660" s="4"/>
    </row>
    <row r="1661" spans="1:14" ht="65" x14ac:dyDescent="0.3">
      <c r="A1661" s="1" t="str">
        <f>HYPERLINK("https://ipmanager.doe.gov/IPManager//ExternalLink.aspx?6ibkph2k9yi6F%2B0Vz7YoTgZwfmYxrNyK7pa9ltU1EG4%3D","Link")</f>
        <v>Link</v>
      </c>
      <c r="B1661" s="2" t="s">
        <v>5413</v>
      </c>
      <c r="C1661" s="2" t="s">
        <v>5409</v>
      </c>
      <c r="D1661" s="2" t="s">
        <v>1793</v>
      </c>
      <c r="E1661" s="2" t="s">
        <v>5414</v>
      </c>
      <c r="F1661" s="2"/>
      <c r="G1661" s="2" t="s">
        <v>9</v>
      </c>
      <c r="H1661" s="7"/>
      <c r="I1661" s="2" t="s">
        <v>9</v>
      </c>
      <c r="K1661" t="e">
        <v>#N/A</v>
      </c>
      <c r="L1661" s="2" t="s">
        <v>8682</v>
      </c>
      <c r="M1661" t="s">
        <v>8222</v>
      </c>
      <c r="N1661" s="4"/>
    </row>
    <row r="1662" spans="1:14" ht="65" x14ac:dyDescent="0.3">
      <c r="A1662" s="1" t="str">
        <f>HYPERLINK("https://ipmanager.doe.gov/IPManager//ExternalLink.aspx?6ibkph2k9yi6F%2B0Vz7YoTq6RR9BlGHHiFqBZj0mgq9s%3D","Link")</f>
        <v>Link</v>
      </c>
      <c r="B1662" s="2" t="s">
        <v>5422</v>
      </c>
      <c r="C1662" s="2" t="s">
        <v>5423</v>
      </c>
      <c r="D1662" s="2" t="s">
        <v>308</v>
      </c>
      <c r="E1662" s="2" t="s">
        <v>5424</v>
      </c>
      <c r="F1662" s="2" t="s">
        <v>5425</v>
      </c>
      <c r="G1662" s="2" t="s">
        <v>4774</v>
      </c>
      <c r="H1662" s="7"/>
      <c r="I1662" s="2" t="s">
        <v>9</v>
      </c>
      <c r="K1662" t="e">
        <v>#N/A</v>
      </c>
      <c r="L1662" s="2" t="s">
        <v>8683</v>
      </c>
      <c r="M1662" t="s">
        <v>8223</v>
      </c>
      <c r="N1662" s="4"/>
    </row>
    <row r="1663" spans="1:14" ht="39" x14ac:dyDescent="0.3">
      <c r="A1663" s="1" t="str">
        <f>HYPERLINK("https://ipmanager.doe.gov/IPManager//ExternalLink.aspx?6ibkph2k9yi6F%2B0Vz7YoTq6RR9BlGHHiZ0TzuxMtcMw%3D","Link")</f>
        <v>Link</v>
      </c>
      <c r="B1663" s="2" t="s">
        <v>5430</v>
      </c>
      <c r="C1663" s="2" t="s">
        <v>5428</v>
      </c>
      <c r="D1663" s="2" t="s">
        <v>770</v>
      </c>
      <c r="E1663" s="2" t="s">
        <v>5431</v>
      </c>
      <c r="F1663" s="2" t="s">
        <v>5432</v>
      </c>
      <c r="G1663" s="2" t="s">
        <v>5433</v>
      </c>
      <c r="H1663" s="7"/>
      <c r="I1663" s="2" t="s">
        <v>9</v>
      </c>
      <c r="K1663" t="e">
        <v>#N/A</v>
      </c>
      <c r="L1663" s="2" t="s">
        <v>8531</v>
      </c>
      <c r="M1663" t="s">
        <v>8070</v>
      </c>
      <c r="N1663" s="4"/>
    </row>
    <row r="1664" spans="1:14" ht="39" x14ac:dyDescent="0.3">
      <c r="A1664" s="1" t="str">
        <f>HYPERLINK("https://ipmanager.doe.gov/IPManager//ExternalLink.aspx?6ibkph2k9yi6F%2B0Vz7YoTgZwfmYxrNyKy3ZIzdKE82w%3D","Link")</f>
        <v>Link</v>
      </c>
      <c r="B1664" s="2" t="s">
        <v>5435</v>
      </c>
      <c r="C1664" s="2" t="s">
        <v>5428</v>
      </c>
      <c r="D1664" s="2" t="s">
        <v>770</v>
      </c>
      <c r="E1664" s="2" t="s">
        <v>5436</v>
      </c>
      <c r="F1664" s="2" t="s">
        <v>5437</v>
      </c>
      <c r="G1664" s="2" t="s">
        <v>5438</v>
      </c>
      <c r="H1664" s="7"/>
      <c r="I1664" s="2" t="s">
        <v>9</v>
      </c>
      <c r="K1664" t="e">
        <v>#N/A</v>
      </c>
      <c r="L1664" s="2" t="s">
        <v>8531</v>
      </c>
      <c r="M1664" t="s">
        <v>8070</v>
      </c>
      <c r="N1664" s="4"/>
    </row>
    <row r="1665" spans="1:14" ht="78" x14ac:dyDescent="0.3">
      <c r="A1665" s="1" t="str">
        <f>HYPERLINK("https://ipmanager.doe.gov/IPManager//ExternalLink.aspx?6ibkph2k9yi6F%2B0Vz7YoTgZwfmYxrNyKcNO9ZW7Ct14%3D","Link")</f>
        <v>Link</v>
      </c>
      <c r="B1665" s="2" t="s">
        <v>5427</v>
      </c>
      <c r="C1665" s="2" t="s">
        <v>5428</v>
      </c>
      <c r="D1665" s="2" t="s">
        <v>770</v>
      </c>
      <c r="E1665" s="2" t="s">
        <v>5429</v>
      </c>
      <c r="F1665" s="2"/>
      <c r="G1665" s="2" t="s">
        <v>9</v>
      </c>
      <c r="H1665" s="7"/>
      <c r="I1665" s="2" t="s">
        <v>9</v>
      </c>
      <c r="K1665" t="e">
        <v>#N/A</v>
      </c>
      <c r="L1665" s="2" t="s">
        <v>8531</v>
      </c>
      <c r="M1665" t="s">
        <v>8070</v>
      </c>
      <c r="N1665" s="4"/>
    </row>
    <row r="1666" spans="1:14" ht="39" x14ac:dyDescent="0.3">
      <c r="A1666" s="1" t="str">
        <f>HYPERLINK("https://ipmanager.doe.gov/IPManager//ExternalLink.aspx?6ibkph2k9yi6F%2B0Vz7YoTo7DPLa3%2F%2FGglnqE%2B1uCPeE%3D","Link")</f>
        <v>Link</v>
      </c>
      <c r="B1666" s="2" t="s">
        <v>5439</v>
      </c>
      <c r="C1666" s="2" t="s">
        <v>5440</v>
      </c>
      <c r="D1666" s="2" t="s">
        <v>770</v>
      </c>
      <c r="E1666" s="2" t="s">
        <v>5441</v>
      </c>
      <c r="F1666" s="2" t="s">
        <v>5442</v>
      </c>
      <c r="G1666" s="2" t="s">
        <v>5443</v>
      </c>
      <c r="H1666" s="7"/>
      <c r="I1666" s="2" t="s">
        <v>9</v>
      </c>
      <c r="K1666" t="e">
        <v>#N/A</v>
      </c>
      <c r="L1666" s="2" t="s">
        <v>8684</v>
      </c>
      <c r="M1666" t="s">
        <v>8224</v>
      </c>
      <c r="N1666" s="4"/>
    </row>
    <row r="1667" spans="1:14" ht="39" x14ac:dyDescent="0.3">
      <c r="A1667" s="1" t="str">
        <f>HYPERLINK("https://ipmanager.doe.gov/IPManager//ExternalLink.aspx?6ibkph2k9yi6F%2B0Vz7YoTgZwfmYxrNyKU70KKaz0jAY%3D","Link")</f>
        <v>Link</v>
      </c>
      <c r="B1667" s="2" t="s">
        <v>5444</v>
      </c>
      <c r="C1667" s="2" t="s">
        <v>5440</v>
      </c>
      <c r="D1667" s="2" t="s">
        <v>770</v>
      </c>
      <c r="E1667" s="2" t="s">
        <v>5445</v>
      </c>
      <c r="F1667" s="2"/>
      <c r="G1667" s="2" t="s">
        <v>9</v>
      </c>
      <c r="H1667" s="7"/>
      <c r="I1667" s="2" t="s">
        <v>9</v>
      </c>
      <c r="K1667" t="e">
        <v>#N/A</v>
      </c>
      <c r="L1667" s="2" t="s">
        <v>8684</v>
      </c>
      <c r="M1667" t="s">
        <v>8224</v>
      </c>
      <c r="N1667" s="4"/>
    </row>
    <row r="1668" spans="1:14" ht="52" x14ac:dyDescent="0.3">
      <c r="A1668" s="1" t="str">
        <f>HYPERLINK("https://ipmanager.doe.gov/IPManager//ExternalLink.aspx?6ibkph2k9yi6F%2B0Vz7YoTq6RR9BlGHHitE%2BIJvXlEik%3D","Link")</f>
        <v>Link</v>
      </c>
      <c r="B1668" s="2" t="s">
        <v>5446</v>
      </c>
      <c r="C1668" s="2" t="s">
        <v>5440</v>
      </c>
      <c r="D1668" s="2" t="s">
        <v>770</v>
      </c>
      <c r="E1668" s="2" t="s">
        <v>5447</v>
      </c>
      <c r="F1668" s="2"/>
      <c r="G1668" s="2" t="s">
        <v>9</v>
      </c>
      <c r="H1668" s="7"/>
      <c r="I1668" s="2" t="s">
        <v>9</v>
      </c>
      <c r="K1668" t="e">
        <v>#N/A</v>
      </c>
      <c r="L1668" s="2" t="s">
        <v>8684</v>
      </c>
      <c r="M1668" t="s">
        <v>8224</v>
      </c>
      <c r="N1668" s="4"/>
    </row>
    <row r="1669" spans="1:14" ht="65" x14ac:dyDescent="0.3">
      <c r="A1669" s="1" t="str">
        <f>HYPERLINK("https://ipmanager.doe.gov/IPManager//ExternalLink.aspx?6ibkph2k9yi6F%2B0Vz7YoTjnDGhmGHGI7LQ%2FgznYAWeM%3D","Link")</f>
        <v>Link</v>
      </c>
      <c r="B1669" s="2" t="s">
        <v>5448</v>
      </c>
      <c r="C1669" s="2" t="s">
        <v>5449</v>
      </c>
      <c r="D1669" s="2" t="s">
        <v>5450</v>
      </c>
      <c r="E1669" s="2" t="s">
        <v>5451</v>
      </c>
      <c r="F1669" s="2" t="s">
        <v>5452</v>
      </c>
      <c r="G1669" s="2" t="s">
        <v>5453</v>
      </c>
      <c r="H1669" s="7"/>
      <c r="I1669" s="2" t="s">
        <v>9</v>
      </c>
      <c r="K1669" t="e">
        <v>#N/A</v>
      </c>
      <c r="L1669" s="2" t="s">
        <v>8685</v>
      </c>
      <c r="M1669" t="s">
        <v>8225</v>
      </c>
      <c r="N1669" s="4"/>
    </row>
    <row r="1670" spans="1:14" ht="39" x14ac:dyDescent="0.3">
      <c r="A1670" s="1" t="str">
        <f>HYPERLINK("https://ipmanager.doe.gov/IPManager//ExternalLink.aspx?6ibkph2k9yi6F%2B0Vz7YoTjnDGhmGHGI7ljUtesJprqk%3D","Link")</f>
        <v>Link</v>
      </c>
      <c r="B1670" s="2" t="s">
        <v>5455</v>
      </c>
      <c r="C1670" s="2" t="s">
        <v>5449</v>
      </c>
      <c r="D1670" s="2" t="s">
        <v>5450</v>
      </c>
      <c r="E1670" s="2" t="s">
        <v>5456</v>
      </c>
      <c r="F1670" s="2" t="s">
        <v>5457</v>
      </c>
      <c r="G1670" s="2" t="s">
        <v>5453</v>
      </c>
      <c r="H1670" s="7"/>
      <c r="I1670" s="2" t="s">
        <v>9</v>
      </c>
      <c r="K1670" t="e">
        <v>#N/A</v>
      </c>
      <c r="L1670" s="2" t="s">
        <v>8685</v>
      </c>
      <c r="M1670" t="s">
        <v>8225</v>
      </c>
      <c r="N1670" s="4"/>
    </row>
    <row r="1671" spans="1:14" ht="52" x14ac:dyDescent="0.3">
      <c r="A1671" s="1" t="str">
        <f>HYPERLINK("https://ipmanager.doe.gov/IPManager//ExternalLink.aspx?6ibkph2k9yi6F%2B0Vz7YoTvE8yjoHgvp6GY%2FaOp3%2BGOk%3D","Link")</f>
        <v>Link</v>
      </c>
      <c r="B1671" s="2" t="s">
        <v>5458</v>
      </c>
      <c r="C1671" s="2" t="s">
        <v>5449</v>
      </c>
      <c r="D1671" s="2" t="s">
        <v>5450</v>
      </c>
      <c r="E1671" s="2" t="s">
        <v>5459</v>
      </c>
      <c r="F1671" s="2" t="s">
        <v>7657</v>
      </c>
      <c r="G1671" s="2" t="s">
        <v>5460</v>
      </c>
      <c r="H1671" s="7"/>
      <c r="I1671" s="2" t="s">
        <v>9</v>
      </c>
      <c r="K1671" t="e">
        <v>#N/A</v>
      </c>
      <c r="L1671" s="2" t="s">
        <v>8685</v>
      </c>
      <c r="M1671" t="s">
        <v>8225</v>
      </c>
      <c r="N1671" s="4"/>
    </row>
    <row r="1672" spans="1:14" ht="65" x14ac:dyDescent="0.3">
      <c r="A1672" s="1" t="str">
        <f>HYPERLINK("https://ipmanager.doe.gov/IPManager//ExternalLink.aspx?6ibkph2k9yi6F%2B0Vz7YoTvE8yjoHgvp6rh70y49NrmY%3D","Link")</f>
        <v>Link</v>
      </c>
      <c r="B1672" s="2" t="s">
        <v>5461</v>
      </c>
      <c r="C1672" s="2" t="s">
        <v>5449</v>
      </c>
      <c r="D1672" s="2" t="s">
        <v>5450</v>
      </c>
      <c r="E1672" s="2" t="s">
        <v>5462</v>
      </c>
      <c r="F1672" s="2" t="s">
        <v>5463</v>
      </c>
      <c r="G1672" s="2" t="s">
        <v>4330</v>
      </c>
      <c r="H1672" s="7"/>
      <c r="I1672" s="2" t="s">
        <v>9</v>
      </c>
      <c r="K1672" t="e">
        <v>#N/A</v>
      </c>
      <c r="L1672" s="2" t="s">
        <v>8685</v>
      </c>
      <c r="M1672" t="s">
        <v>8225</v>
      </c>
      <c r="N1672" s="4"/>
    </row>
    <row r="1673" spans="1:14" ht="65" x14ac:dyDescent="0.3">
      <c r="A1673" s="1" t="str">
        <f>HYPERLINK("https://ipmanager.doe.gov/IPManager//ExternalLink.aspx?6ibkph2k9yi6F%2B0Vz7YoTgZwfmYxrNyKtBYQ8hY6XEY%3D","Link")</f>
        <v>Link</v>
      </c>
      <c r="B1673" s="2" t="s">
        <v>5464</v>
      </c>
      <c r="C1673" s="2" t="s">
        <v>5449</v>
      </c>
      <c r="D1673" s="2" t="s">
        <v>5450</v>
      </c>
      <c r="E1673" s="2" t="s">
        <v>5462</v>
      </c>
      <c r="F1673" s="2" t="s">
        <v>5465</v>
      </c>
      <c r="G1673" s="2" t="s">
        <v>5228</v>
      </c>
      <c r="H1673" s="7"/>
      <c r="I1673" s="2" t="s">
        <v>9</v>
      </c>
      <c r="J1673" t="s">
        <v>5465</v>
      </c>
      <c r="K1673" t="s">
        <v>7744</v>
      </c>
      <c r="L1673" s="2" t="s">
        <v>8685</v>
      </c>
      <c r="M1673" t="s">
        <v>8225</v>
      </c>
      <c r="N1673" s="4"/>
    </row>
    <row r="1674" spans="1:14" ht="65" x14ac:dyDescent="0.3">
      <c r="A1674" s="1" t="str">
        <f>HYPERLINK("https://ipmanager.doe.gov/IPManager//ExternalLink.aspx?6ibkph2k9yi6F%2B0Vz7YoTnXVN2REjGcWOsJy01mxHxI%3D","Link")</f>
        <v>Link</v>
      </c>
      <c r="B1674" s="2" t="s">
        <v>5466</v>
      </c>
      <c r="C1674" s="2" t="s">
        <v>5449</v>
      </c>
      <c r="D1674" s="2" t="s">
        <v>5450</v>
      </c>
      <c r="E1674" s="2" t="s">
        <v>5467</v>
      </c>
      <c r="F1674" s="2" t="s">
        <v>7658</v>
      </c>
      <c r="G1674" s="2" t="s">
        <v>1846</v>
      </c>
      <c r="H1674" s="7"/>
      <c r="I1674" s="2" t="s">
        <v>9</v>
      </c>
      <c r="K1674" t="e">
        <v>#N/A</v>
      </c>
      <c r="L1674" s="2" t="s">
        <v>8685</v>
      </c>
      <c r="M1674" t="s">
        <v>8225</v>
      </c>
      <c r="N1674" s="4"/>
    </row>
    <row r="1675" spans="1:14" ht="52" x14ac:dyDescent="0.3">
      <c r="A1675" s="1" t="str">
        <f>HYPERLINK("https://ipmanager.doe.gov/IPManager//ExternalLink.aspx?6ibkph2k9yi6F%2B0Vz7YoTnXVN2REjGcWfffLuqdFBeA%3D","Link")</f>
        <v>Link</v>
      </c>
      <c r="B1675" s="2" t="s">
        <v>5468</v>
      </c>
      <c r="C1675" s="2" t="s">
        <v>5469</v>
      </c>
      <c r="D1675" s="2" t="s">
        <v>135</v>
      </c>
      <c r="E1675" s="2" t="s">
        <v>5470</v>
      </c>
      <c r="F1675" s="2" t="s">
        <v>5471</v>
      </c>
      <c r="G1675" s="2" t="s">
        <v>5472</v>
      </c>
      <c r="H1675" s="2"/>
      <c r="I1675" s="2" t="s">
        <v>9</v>
      </c>
      <c r="J1675" t="s">
        <v>6146</v>
      </c>
      <c r="K1675" t="s">
        <v>7964</v>
      </c>
      <c r="L1675" s="2" t="s">
        <v>8686</v>
      </c>
      <c r="M1675" t="s">
        <v>8226</v>
      </c>
      <c r="N1675" s="4"/>
    </row>
    <row r="1676" spans="1:14" ht="52" x14ac:dyDescent="0.3">
      <c r="A1676" s="1" t="str">
        <f>HYPERLINK("https://ipmanager.doe.gov/IPManager//ExternalLink.aspx?6ibkph2k9yi6F%2B0Vz7YoTgZwfmYxrNyKFR9dcLdp%2FQg%3D","Link")</f>
        <v>Link</v>
      </c>
      <c r="B1676" s="2" t="s">
        <v>5475</v>
      </c>
      <c r="C1676" s="2" t="s">
        <v>5469</v>
      </c>
      <c r="D1676" s="2" t="s">
        <v>135</v>
      </c>
      <c r="E1676" s="2" t="s">
        <v>5476</v>
      </c>
      <c r="F1676" s="2" t="s">
        <v>5477</v>
      </c>
      <c r="G1676" s="2" t="s">
        <v>5478</v>
      </c>
      <c r="H1676" s="2"/>
      <c r="I1676" s="2" t="s">
        <v>9</v>
      </c>
      <c r="J1676" t="s">
        <v>4773</v>
      </c>
      <c r="K1676" t="s">
        <v>7949</v>
      </c>
      <c r="L1676" s="2" t="s">
        <v>8686</v>
      </c>
      <c r="M1676" t="s">
        <v>8226</v>
      </c>
      <c r="N1676" s="4"/>
    </row>
    <row r="1677" spans="1:14" ht="52" x14ac:dyDescent="0.3">
      <c r="A1677" s="1" t="str">
        <f>HYPERLINK("https://ipmanager.doe.gov/IPManager//ExternalLink.aspx?6ibkph2k9yi6F%2B0Vz7YoTgZwfmYxrNyKocRU%2FyFha5c%3D","Link")</f>
        <v>Link</v>
      </c>
      <c r="B1677" s="2" t="s">
        <v>5473</v>
      </c>
      <c r="C1677" s="2" t="s">
        <v>5469</v>
      </c>
      <c r="D1677" s="2" t="s">
        <v>132</v>
      </c>
      <c r="E1677" s="2" t="s">
        <v>5474</v>
      </c>
      <c r="F1677" s="2"/>
      <c r="G1677" s="2" t="s">
        <v>9</v>
      </c>
      <c r="H1677" s="7"/>
      <c r="I1677" s="2" t="s">
        <v>9</v>
      </c>
      <c r="K1677" t="e">
        <v>#N/A</v>
      </c>
      <c r="L1677" s="2" t="s">
        <v>8686</v>
      </c>
      <c r="M1677" t="s">
        <v>8226</v>
      </c>
      <c r="N1677" s="4"/>
    </row>
    <row r="1678" spans="1:14" ht="65" x14ac:dyDescent="0.3">
      <c r="A1678" s="1" t="str">
        <f>HYPERLINK("https://ipmanager.doe.gov/IPManager//ExternalLink.aspx?6ibkph2k9yi6F%2B0Vz7YoTq6RR9BlGHHijyY83Q5LBEU%3D","Link")</f>
        <v>Link</v>
      </c>
      <c r="B1678" s="2" t="s">
        <v>5482</v>
      </c>
      <c r="C1678" s="2" t="s">
        <v>5480</v>
      </c>
      <c r="D1678" s="2" t="s">
        <v>308</v>
      </c>
      <c r="E1678" s="2" t="s">
        <v>5424</v>
      </c>
      <c r="F1678" s="2" t="s">
        <v>5425</v>
      </c>
      <c r="G1678" s="2" t="s">
        <v>4774</v>
      </c>
      <c r="H1678" s="7"/>
      <c r="I1678" s="2" t="s">
        <v>9</v>
      </c>
      <c r="K1678" t="e">
        <v>#N/A</v>
      </c>
      <c r="L1678" s="2" t="s">
        <v>8687</v>
      </c>
      <c r="M1678" t="s">
        <v>8227</v>
      </c>
      <c r="N1678" s="4"/>
    </row>
    <row r="1679" spans="1:14" ht="26" x14ac:dyDescent="0.3">
      <c r="A1679" s="1" t="str">
        <f>HYPERLINK("https://ipmanager.doe.gov/IPManager//ExternalLink.aspx?6ibkph2k9yi6F%2B0Vz7YoTq6RR9BlGHHiFGaYDgvb0qk%3D","Link")</f>
        <v>Link</v>
      </c>
      <c r="B1679" s="2" t="s">
        <v>5479</v>
      </c>
      <c r="C1679" s="2" t="s">
        <v>5480</v>
      </c>
      <c r="D1679" s="2" t="s">
        <v>4631</v>
      </c>
      <c r="E1679" s="2" t="s">
        <v>5481</v>
      </c>
      <c r="F1679" s="2"/>
      <c r="G1679" s="2" t="s">
        <v>9</v>
      </c>
      <c r="H1679" s="7"/>
      <c r="I1679" s="2" t="s">
        <v>9</v>
      </c>
      <c r="K1679" t="e">
        <v>#N/A</v>
      </c>
      <c r="L1679" s="2" t="s">
        <v>8687</v>
      </c>
      <c r="M1679" t="s">
        <v>8227</v>
      </c>
      <c r="N1679" s="4"/>
    </row>
    <row r="1680" spans="1:14" ht="39" x14ac:dyDescent="0.3">
      <c r="A1680" s="1" t="str">
        <f>HYPERLINK("https://ipmanager.doe.gov/IPManager//ExternalLink.aspx?6ibkph2k9yi6F%2B0Vz7YoTnXVN2REjGcWZXJJTckbk9M%3D","Link")</f>
        <v>Link</v>
      </c>
      <c r="B1680" s="2" t="s">
        <v>5489</v>
      </c>
      <c r="C1680" s="2" t="s">
        <v>5483</v>
      </c>
      <c r="D1680" s="2" t="s">
        <v>5484</v>
      </c>
      <c r="E1680" s="2" t="s">
        <v>5485</v>
      </c>
      <c r="F1680" s="2" t="s">
        <v>5488</v>
      </c>
      <c r="G1680" s="2" t="s">
        <v>5047</v>
      </c>
      <c r="H1680" s="2"/>
      <c r="I1680" s="2" t="s">
        <v>9</v>
      </c>
      <c r="K1680" t="e">
        <v>#N/A</v>
      </c>
      <c r="L1680" s="2" t="s">
        <v>8688</v>
      </c>
      <c r="M1680" t="s">
        <v>8228</v>
      </c>
      <c r="N1680" s="4"/>
    </row>
    <row r="1681" spans="1:14" ht="39" x14ac:dyDescent="0.3">
      <c r="A1681" s="1" t="str">
        <f>HYPERLINK("https://ipmanager.doe.gov/IPManager//ExternalLink.aspx?6ibkph2k9yi6F%2B0Vz7YoTnXVN2REjGcWCa42gyNFa10%3D","Link")</f>
        <v>Link</v>
      </c>
      <c r="B1681" s="2" t="s">
        <v>5491</v>
      </c>
      <c r="C1681" s="2" t="s">
        <v>5483</v>
      </c>
      <c r="D1681" s="2" t="s">
        <v>5484</v>
      </c>
      <c r="E1681" s="2" t="s">
        <v>5492</v>
      </c>
      <c r="F1681" s="2" t="s">
        <v>5486</v>
      </c>
      <c r="G1681" s="2" t="s">
        <v>5487</v>
      </c>
      <c r="H1681" s="2"/>
      <c r="I1681" s="2" t="s">
        <v>9</v>
      </c>
      <c r="J1681" t="s">
        <v>5486</v>
      </c>
      <c r="K1681" t="s">
        <v>7757</v>
      </c>
      <c r="L1681" s="2" t="s">
        <v>8688</v>
      </c>
      <c r="M1681" t="s">
        <v>8228</v>
      </c>
      <c r="N1681" s="4"/>
    </row>
    <row r="1682" spans="1:14" ht="65" x14ac:dyDescent="0.3">
      <c r="A1682" s="1" t="str">
        <f>HYPERLINK("https://ipmanager.doe.gov/IPManager//ExternalLink.aspx?6ibkph2k9yi6F%2B0Vz7YoTvPUg%2FVZPl3iVveN8Mr4mU4%3D","Link")</f>
        <v>Link</v>
      </c>
      <c r="B1682" s="2" t="s">
        <v>5493</v>
      </c>
      <c r="C1682" s="2" t="s">
        <v>5483</v>
      </c>
      <c r="D1682" s="2" t="s">
        <v>5484</v>
      </c>
      <c r="E1682" s="2" t="s">
        <v>5494</v>
      </c>
      <c r="F1682" s="2" t="s">
        <v>5495</v>
      </c>
      <c r="G1682" s="2" t="s">
        <v>541</v>
      </c>
      <c r="H1682" s="2"/>
      <c r="I1682" s="2" t="s">
        <v>9</v>
      </c>
      <c r="J1682" t="s">
        <v>5495</v>
      </c>
      <c r="K1682" t="s">
        <v>7944</v>
      </c>
      <c r="L1682" s="2" t="s">
        <v>8688</v>
      </c>
      <c r="M1682" t="s">
        <v>8228</v>
      </c>
      <c r="N1682" s="4"/>
    </row>
    <row r="1683" spans="1:14" ht="65" x14ac:dyDescent="0.3">
      <c r="A1683" s="1" t="str">
        <f>HYPERLINK("https://ipmanager.doe.gov/IPManager//ExternalLink.aspx?6ibkph2k9yi6F%2B0Vz7YoTvPUg%2FVZPl3iDQV%2FcXTNIpA%3D","Link")</f>
        <v>Link</v>
      </c>
      <c r="B1683" s="2" t="s">
        <v>5497</v>
      </c>
      <c r="C1683" s="2" t="s">
        <v>5483</v>
      </c>
      <c r="D1683" s="2" t="s">
        <v>5484</v>
      </c>
      <c r="E1683" s="2" t="s">
        <v>5494</v>
      </c>
      <c r="F1683" s="2" t="s">
        <v>5496</v>
      </c>
      <c r="G1683" s="2" t="s">
        <v>541</v>
      </c>
      <c r="H1683" s="2"/>
      <c r="I1683" s="2" t="s">
        <v>9</v>
      </c>
      <c r="K1683" t="e">
        <v>#N/A</v>
      </c>
      <c r="L1683" s="2" t="s">
        <v>8688</v>
      </c>
      <c r="M1683" t="s">
        <v>8228</v>
      </c>
      <c r="N1683" s="4"/>
    </row>
    <row r="1684" spans="1:14" ht="39" x14ac:dyDescent="0.3">
      <c r="A1684" s="1" t="str">
        <f>HYPERLINK("https://ipmanager.doe.gov/IPManager//ExternalLink.aspx?6ibkph2k9yi6F%2B0Vz7YoTvPUg%2FVZPl3ieYQBZb2gJPs%3D","Link")</f>
        <v>Link</v>
      </c>
      <c r="B1684" s="2" t="s">
        <v>5498</v>
      </c>
      <c r="C1684" s="2" t="s">
        <v>5483</v>
      </c>
      <c r="D1684" s="2" t="s">
        <v>5484</v>
      </c>
      <c r="E1684" s="2" t="s">
        <v>5499</v>
      </c>
      <c r="F1684" s="2" t="s">
        <v>5500</v>
      </c>
      <c r="G1684" s="2" t="s">
        <v>1265</v>
      </c>
      <c r="H1684" s="2"/>
      <c r="I1684" s="2" t="s">
        <v>9</v>
      </c>
      <c r="K1684" t="e">
        <v>#N/A</v>
      </c>
      <c r="L1684" s="2" t="s">
        <v>8688</v>
      </c>
      <c r="M1684" t="s">
        <v>8228</v>
      </c>
      <c r="N1684" s="4"/>
    </row>
    <row r="1685" spans="1:14" ht="39" x14ac:dyDescent="0.3">
      <c r="A1685" s="1" t="str">
        <f>HYPERLINK("https://ipmanager.doe.gov/IPManager//ExternalLink.aspx?6ibkph2k9yi6F%2B0Vz7YoTgZwfmYxrNyKiuG%2Fg2CCNzg%3D","Link")</f>
        <v>Link</v>
      </c>
      <c r="B1685" s="2" t="s">
        <v>5501</v>
      </c>
      <c r="C1685" s="2" t="s">
        <v>5483</v>
      </c>
      <c r="D1685" s="2" t="s">
        <v>5484</v>
      </c>
      <c r="E1685" s="2" t="s">
        <v>5492</v>
      </c>
      <c r="F1685" s="2" t="s">
        <v>5490</v>
      </c>
      <c r="G1685" s="2" t="s">
        <v>881</v>
      </c>
      <c r="H1685" s="2"/>
      <c r="I1685" s="2" t="s">
        <v>9</v>
      </c>
      <c r="K1685" t="e">
        <v>#N/A</v>
      </c>
      <c r="L1685" s="2" t="s">
        <v>8688</v>
      </c>
      <c r="M1685" t="s">
        <v>8228</v>
      </c>
      <c r="N1685" s="4"/>
    </row>
    <row r="1686" spans="1:14" ht="39" x14ac:dyDescent="0.3">
      <c r="A1686" s="1" t="str">
        <f>HYPERLINK("https://ipmanager.doe.gov/IPManager//ExternalLink.aspx?6ibkph2k9yi6F%2B0Vz7YoTgZwfmYxrNyK3zJutR00JPY%3D","Link")</f>
        <v>Link</v>
      </c>
      <c r="B1686" s="2" t="s">
        <v>5502</v>
      </c>
      <c r="C1686" s="2" t="s">
        <v>5483</v>
      </c>
      <c r="D1686" s="2" t="s">
        <v>5484</v>
      </c>
      <c r="E1686" s="2" t="s">
        <v>5499</v>
      </c>
      <c r="F1686" s="2" t="s">
        <v>5503</v>
      </c>
      <c r="G1686" s="2" t="s">
        <v>4517</v>
      </c>
      <c r="H1686" s="2"/>
      <c r="I1686" s="2" t="s">
        <v>9</v>
      </c>
      <c r="J1686" t="s">
        <v>5503</v>
      </c>
      <c r="K1686" t="s">
        <v>7758</v>
      </c>
      <c r="L1686" s="2" t="s">
        <v>8688</v>
      </c>
      <c r="M1686" t="s">
        <v>8228</v>
      </c>
      <c r="N1686" s="4"/>
    </row>
    <row r="1687" spans="1:14" ht="39" x14ac:dyDescent="0.3">
      <c r="A1687" s="1" t="str">
        <f>HYPERLINK("https://ipmanager.doe.gov/IPManager//ExternalLink.aspx?6ibkph2k9yi6F%2B0Vz7YoTvPUg%2FVZPl3i3NA4MS6LcCg%3D","Link")</f>
        <v>Link</v>
      </c>
      <c r="B1687" s="2" t="s">
        <v>5515</v>
      </c>
      <c r="C1687" s="2" t="s">
        <v>5505</v>
      </c>
      <c r="D1687" s="2" t="s">
        <v>5506</v>
      </c>
      <c r="E1687" s="2" t="s">
        <v>5516</v>
      </c>
      <c r="F1687" s="2" t="s">
        <v>5517</v>
      </c>
      <c r="G1687" s="2" t="s">
        <v>4880</v>
      </c>
      <c r="H1687" s="7"/>
      <c r="I1687" s="2" t="s">
        <v>9</v>
      </c>
      <c r="K1687" t="e">
        <v>#N/A</v>
      </c>
      <c r="L1687" s="2" t="s">
        <v>8689</v>
      </c>
      <c r="M1687" t="s">
        <v>8229</v>
      </c>
      <c r="N1687" s="4"/>
    </row>
    <row r="1688" spans="1:14" ht="26" x14ac:dyDescent="0.3">
      <c r="A1688" s="1" t="str">
        <f>HYPERLINK("https://ipmanager.doe.gov/IPManager//ExternalLink.aspx?6ibkph2k9yi6F%2B0Vz7YoTvPUg%2FVZPl3illZS%2FmgTk2w%3D","Link")</f>
        <v>Link</v>
      </c>
      <c r="B1688" s="2" t="s">
        <v>5518</v>
      </c>
      <c r="C1688" s="2" t="s">
        <v>5505</v>
      </c>
      <c r="D1688" s="2" t="s">
        <v>5506</v>
      </c>
      <c r="E1688" s="2" t="s">
        <v>5519</v>
      </c>
      <c r="F1688" s="2" t="s">
        <v>5520</v>
      </c>
      <c r="G1688" s="2" t="s">
        <v>1857</v>
      </c>
      <c r="H1688" s="7"/>
      <c r="I1688" s="2" t="s">
        <v>9</v>
      </c>
      <c r="K1688" t="e">
        <v>#N/A</v>
      </c>
      <c r="L1688" s="2" t="s">
        <v>8689</v>
      </c>
      <c r="M1688" t="s">
        <v>8229</v>
      </c>
      <c r="N1688" s="4"/>
    </row>
    <row r="1689" spans="1:14" ht="26" x14ac:dyDescent="0.3">
      <c r="A1689" s="1" t="str">
        <f>HYPERLINK("https://ipmanager.doe.gov/IPManager//ExternalLink.aspx?6ibkph2k9yi6F%2B0Vz7YoTvPUg%2FVZPl3iwP27dkF7yA8%3D","Link")</f>
        <v>Link</v>
      </c>
      <c r="B1689" s="2" t="s">
        <v>5521</v>
      </c>
      <c r="C1689" s="2" t="s">
        <v>5505</v>
      </c>
      <c r="D1689" s="2" t="s">
        <v>5506</v>
      </c>
      <c r="E1689" s="2" t="s">
        <v>5522</v>
      </c>
      <c r="F1689" s="2" t="s">
        <v>5523</v>
      </c>
      <c r="G1689" s="2" t="s">
        <v>3380</v>
      </c>
      <c r="H1689" s="7"/>
      <c r="I1689" s="2" t="s">
        <v>9</v>
      </c>
      <c r="K1689" t="e">
        <v>#N/A</v>
      </c>
      <c r="L1689" s="2" t="s">
        <v>8689</v>
      </c>
      <c r="M1689" t="s">
        <v>8229</v>
      </c>
      <c r="N1689" s="4"/>
    </row>
    <row r="1690" spans="1:14" ht="39" x14ac:dyDescent="0.3">
      <c r="A1690" s="1" t="str">
        <f>HYPERLINK("https://ipmanager.doe.gov/IPManager//ExternalLink.aspx?6ibkph2k9yi6F%2B0Vz7YoTvPUg%2FVZPl3i0SAZL%2FS%2FmRQ%3D","Link")</f>
        <v>Link</v>
      </c>
      <c r="B1690" s="2" t="s">
        <v>5524</v>
      </c>
      <c r="C1690" s="2" t="s">
        <v>5505</v>
      </c>
      <c r="D1690" s="2" t="s">
        <v>5506</v>
      </c>
      <c r="E1690" s="2" t="s">
        <v>5525</v>
      </c>
      <c r="F1690" s="2" t="s">
        <v>5526</v>
      </c>
      <c r="G1690" s="2" t="s">
        <v>1256</v>
      </c>
      <c r="H1690" s="7"/>
      <c r="I1690" s="2" t="s">
        <v>9</v>
      </c>
      <c r="K1690" t="e">
        <v>#N/A</v>
      </c>
      <c r="L1690" s="2" t="s">
        <v>8689</v>
      </c>
      <c r="M1690" t="s">
        <v>8229</v>
      </c>
      <c r="N1690" s="4"/>
    </row>
    <row r="1691" spans="1:14" ht="52" x14ac:dyDescent="0.3">
      <c r="A1691" s="1" t="str">
        <f>HYPERLINK("https://ipmanager.doe.gov/IPManager//ExternalLink.aspx?6ibkph2k9yi6F%2B0Vz7YoTvPUg%2FVZPl3in9PCbogLt%2F0%3D","Link")</f>
        <v>Link</v>
      </c>
      <c r="B1691" s="2" t="s">
        <v>5527</v>
      </c>
      <c r="C1691" s="2" t="s">
        <v>5505</v>
      </c>
      <c r="D1691" s="2" t="s">
        <v>5506</v>
      </c>
      <c r="E1691" s="2" t="s">
        <v>5528</v>
      </c>
      <c r="F1691" s="2" t="s">
        <v>5529</v>
      </c>
      <c r="G1691" s="2" t="s">
        <v>5530</v>
      </c>
      <c r="H1691" s="7"/>
      <c r="I1691" s="2" t="s">
        <v>9</v>
      </c>
      <c r="K1691" t="e">
        <v>#N/A</v>
      </c>
      <c r="L1691" s="2" t="s">
        <v>8689</v>
      </c>
      <c r="M1691" t="s">
        <v>8229</v>
      </c>
      <c r="N1691" s="4"/>
    </row>
    <row r="1692" spans="1:14" ht="39" x14ac:dyDescent="0.3">
      <c r="A1692" s="1" t="str">
        <f>HYPERLINK("https://ipmanager.doe.gov/IPManager//ExternalLink.aspx?6ibkph2k9yi6F%2B0Vz7YoTq6RR9BlGHHigcN0NPXLyX0%3D","Link")</f>
        <v>Link</v>
      </c>
      <c r="B1692" s="2" t="s">
        <v>5504</v>
      </c>
      <c r="C1692" s="2" t="s">
        <v>5505</v>
      </c>
      <c r="D1692" s="2" t="s">
        <v>5506</v>
      </c>
      <c r="E1692" s="2" t="s">
        <v>5507</v>
      </c>
      <c r="F1692" s="2"/>
      <c r="G1692" s="2" t="s">
        <v>9</v>
      </c>
      <c r="H1692" s="7"/>
      <c r="I1692" s="2" t="s">
        <v>9</v>
      </c>
      <c r="K1692" t="e">
        <v>#N/A</v>
      </c>
      <c r="L1692" s="2" t="s">
        <v>8689</v>
      </c>
      <c r="M1692" t="s">
        <v>8229</v>
      </c>
      <c r="N1692" s="4"/>
    </row>
    <row r="1693" spans="1:14" ht="65" x14ac:dyDescent="0.3">
      <c r="A1693" s="1" t="str">
        <f>HYPERLINK("https://ipmanager.doe.gov/IPManager//ExternalLink.aspx?6ibkph2k9yi6F%2B0Vz7YoTo7DPLa3%2F%2FGg5dS2aB17SsQ%3D","Link")</f>
        <v>Link</v>
      </c>
      <c r="B1693" s="2" t="s">
        <v>5508</v>
      </c>
      <c r="C1693" s="2" t="s">
        <v>5505</v>
      </c>
      <c r="D1693" s="2" t="s">
        <v>5506</v>
      </c>
      <c r="E1693" s="2" t="s">
        <v>5509</v>
      </c>
      <c r="F1693" s="2"/>
      <c r="G1693" s="2" t="s">
        <v>9</v>
      </c>
      <c r="H1693" s="7"/>
      <c r="I1693" s="2" t="s">
        <v>9</v>
      </c>
      <c r="K1693" t="e">
        <v>#N/A</v>
      </c>
      <c r="L1693" s="2" t="s">
        <v>8689</v>
      </c>
      <c r="M1693" t="s">
        <v>8229</v>
      </c>
      <c r="N1693" s="4"/>
    </row>
    <row r="1694" spans="1:14" ht="65" x14ac:dyDescent="0.3">
      <c r="A1694" s="1" t="str">
        <f>HYPERLINK("https://ipmanager.doe.gov/IPManager//ExternalLink.aspx?6ibkph2k9yi6F%2B0Vz7YoTvPUg%2FVZPl3ikgllDhNA6sE%3D","Link")</f>
        <v>Link</v>
      </c>
      <c r="B1694" s="2" t="s">
        <v>5510</v>
      </c>
      <c r="C1694" s="2" t="s">
        <v>5505</v>
      </c>
      <c r="D1694" s="2" t="s">
        <v>5506</v>
      </c>
      <c r="E1694" s="2" t="s">
        <v>5511</v>
      </c>
      <c r="F1694" s="2"/>
      <c r="G1694" s="2" t="s">
        <v>9</v>
      </c>
      <c r="H1694" s="7"/>
      <c r="I1694" s="2" t="s">
        <v>9</v>
      </c>
      <c r="K1694" t="e">
        <v>#N/A</v>
      </c>
      <c r="L1694" s="2" t="s">
        <v>8689</v>
      </c>
      <c r="M1694" t="s">
        <v>8229</v>
      </c>
      <c r="N1694" s="4"/>
    </row>
    <row r="1695" spans="1:14" ht="26" x14ac:dyDescent="0.3">
      <c r="A1695" s="1" t="str">
        <f>HYPERLINK("https://ipmanager.doe.gov/IPManager//ExternalLink.aspx?6ibkph2k9yi6F%2B0Vz7YoTvPUg%2FVZPl3iy6x3iOREUSU%3D","Link")</f>
        <v>Link</v>
      </c>
      <c r="B1695" s="2" t="s">
        <v>5512</v>
      </c>
      <c r="C1695" s="2" t="s">
        <v>5505</v>
      </c>
      <c r="D1695" s="2" t="s">
        <v>5506</v>
      </c>
      <c r="E1695" s="2" t="s">
        <v>5513</v>
      </c>
      <c r="F1695" s="2"/>
      <c r="G1695" s="2" t="s">
        <v>9</v>
      </c>
      <c r="H1695" s="7"/>
      <c r="I1695" s="2" t="s">
        <v>9</v>
      </c>
      <c r="K1695" t="e">
        <v>#N/A</v>
      </c>
      <c r="L1695" s="2" t="s">
        <v>8689</v>
      </c>
      <c r="M1695" t="s">
        <v>8229</v>
      </c>
      <c r="N1695" s="4"/>
    </row>
    <row r="1696" spans="1:14" ht="52" x14ac:dyDescent="0.3">
      <c r="A1696" s="1" t="str">
        <f>HYPERLINK("https://ipmanager.doe.gov/IPManager//ExternalLink.aspx?6ibkph2k9yi6F%2B0Vz7YoTvPUg%2FVZPl3iaHCHz1prVlY%3D","Link")</f>
        <v>Link</v>
      </c>
      <c r="B1696" s="2" t="s">
        <v>5531</v>
      </c>
      <c r="C1696" s="2" t="s">
        <v>5532</v>
      </c>
      <c r="D1696" s="2" t="s">
        <v>5533</v>
      </c>
      <c r="E1696" s="2" t="s">
        <v>5534</v>
      </c>
      <c r="F1696" s="2" t="s">
        <v>5535</v>
      </c>
      <c r="G1696" s="2" t="s">
        <v>9</v>
      </c>
      <c r="H1696" s="7"/>
      <c r="I1696" s="2" t="s">
        <v>9</v>
      </c>
      <c r="K1696" t="e">
        <v>#N/A</v>
      </c>
      <c r="L1696" s="2" t="s">
        <v>8690</v>
      </c>
      <c r="M1696" t="s">
        <v>8230</v>
      </c>
      <c r="N1696" s="4"/>
    </row>
    <row r="1697" spans="1:14" ht="52" x14ac:dyDescent="0.3">
      <c r="A1697" s="1" t="str">
        <f>HYPERLINK("https://ipmanager.doe.gov/IPManager//ExternalLink.aspx?6ibkph2k9yi6F%2B0Vz7YoTgZwfmYxrNyKP8fdii5FkGo%3D","Link")</f>
        <v>Link</v>
      </c>
      <c r="B1697" s="2" t="s">
        <v>5540</v>
      </c>
      <c r="C1697" s="2" t="s">
        <v>5537</v>
      </c>
      <c r="D1697" s="2" t="s">
        <v>4141</v>
      </c>
      <c r="E1697" s="2" t="s">
        <v>5541</v>
      </c>
      <c r="F1697" s="2" t="s">
        <v>5542</v>
      </c>
      <c r="G1697" s="2" t="s">
        <v>5188</v>
      </c>
      <c r="H1697" s="7"/>
      <c r="I1697" s="2" t="s">
        <v>9</v>
      </c>
      <c r="K1697" t="e">
        <v>#N/A</v>
      </c>
      <c r="L1697" s="2" t="s">
        <v>8691</v>
      </c>
      <c r="M1697" t="s">
        <v>8231</v>
      </c>
      <c r="N1697" s="4"/>
    </row>
    <row r="1698" spans="1:14" ht="65" x14ac:dyDescent="0.3">
      <c r="A1698" s="1" t="str">
        <f>HYPERLINK("https://ipmanager.doe.gov/IPManager//ExternalLink.aspx?6ibkph2k9yi6F%2B0Vz7YoTvPUg%2FVZPl3iEKM8GAXiej4%3D","Link")</f>
        <v>Link</v>
      </c>
      <c r="B1698" s="2" t="s">
        <v>5536</v>
      </c>
      <c r="C1698" s="2" t="s">
        <v>5537</v>
      </c>
      <c r="D1698" s="2" t="s">
        <v>5538</v>
      </c>
      <c r="E1698" s="2" t="s">
        <v>5539</v>
      </c>
      <c r="F1698" s="2"/>
      <c r="G1698" s="2" t="s">
        <v>9</v>
      </c>
      <c r="H1698" s="7"/>
      <c r="I1698" s="2" t="s">
        <v>9</v>
      </c>
      <c r="K1698" t="e">
        <v>#N/A</v>
      </c>
      <c r="L1698" s="2" t="s">
        <v>8691</v>
      </c>
      <c r="M1698" t="s">
        <v>8231</v>
      </c>
      <c r="N1698" s="4"/>
    </row>
    <row r="1699" spans="1:14" ht="65" x14ac:dyDescent="0.3">
      <c r="A1699" s="1" t="str">
        <f>HYPERLINK("https://ipmanager.doe.gov/IPManager//ExternalLink.aspx?6ibkph2k9yi6F%2B0Vz7YoTq6RR9BlGHHiGBnhmlaekXw%3D","Link")</f>
        <v>Link</v>
      </c>
      <c r="B1699" s="2" t="s">
        <v>5543</v>
      </c>
      <c r="C1699" s="2" t="s">
        <v>5537</v>
      </c>
      <c r="D1699" s="2" t="s">
        <v>4141</v>
      </c>
      <c r="E1699" s="2" t="s">
        <v>5544</v>
      </c>
      <c r="F1699" s="2" t="s">
        <v>5545</v>
      </c>
      <c r="G1699" s="2" t="s">
        <v>5546</v>
      </c>
      <c r="H1699" s="7"/>
      <c r="I1699" s="2" t="s">
        <v>9</v>
      </c>
      <c r="J1699" t="s">
        <v>7570</v>
      </c>
      <c r="K1699" t="s">
        <v>7965</v>
      </c>
      <c r="L1699" s="2" t="s">
        <v>8691</v>
      </c>
      <c r="M1699" t="s">
        <v>8231</v>
      </c>
      <c r="N1699" s="4"/>
    </row>
    <row r="1700" spans="1:14" ht="39" x14ac:dyDescent="0.3">
      <c r="A1700" s="1" t="str">
        <f>HYPERLINK("https://ipmanager.doe.gov/IPManager//ExternalLink.aspx?6ibkph2k9yi6F%2B0Vz7YoTnXVN2REjGcWurP85ATMXdA%3D","Link")</f>
        <v>Link</v>
      </c>
      <c r="B1700" s="2" t="s">
        <v>5547</v>
      </c>
      <c r="C1700" s="2" t="s">
        <v>5537</v>
      </c>
      <c r="D1700" s="2" t="s">
        <v>4141</v>
      </c>
      <c r="E1700" s="2" t="s">
        <v>5548</v>
      </c>
      <c r="F1700" s="2" t="s">
        <v>5549</v>
      </c>
      <c r="G1700" s="2" t="s">
        <v>5426</v>
      </c>
      <c r="H1700" s="7"/>
      <c r="I1700" s="2" t="s">
        <v>9</v>
      </c>
      <c r="J1700" t="s">
        <v>7571</v>
      </c>
      <c r="K1700" t="s">
        <v>7966</v>
      </c>
      <c r="L1700" s="2" t="s">
        <v>8691</v>
      </c>
      <c r="M1700" t="s">
        <v>8231</v>
      </c>
      <c r="N1700" s="4"/>
    </row>
    <row r="1701" spans="1:14" ht="65" x14ac:dyDescent="0.3">
      <c r="A1701" s="1" t="str">
        <f>HYPERLINK("https://ipmanager.doe.gov/IPManager//ExternalLink.aspx?6ibkph2k9yi6F%2B0Vz7YoTnXVN2REjGcWD4676XlQEaI%3D","Link")</f>
        <v>Link</v>
      </c>
      <c r="B1701" s="2" t="s">
        <v>5550</v>
      </c>
      <c r="C1701" s="2" t="s">
        <v>5551</v>
      </c>
      <c r="D1701" s="2" t="s">
        <v>5552</v>
      </c>
      <c r="E1701" s="2" t="s">
        <v>5553</v>
      </c>
      <c r="F1701" s="2"/>
      <c r="G1701" s="2" t="s">
        <v>9</v>
      </c>
      <c r="H1701" s="7"/>
      <c r="I1701" s="2" t="s">
        <v>9</v>
      </c>
      <c r="K1701" t="e">
        <v>#N/A</v>
      </c>
      <c r="L1701" s="2" t="s">
        <v>8692</v>
      </c>
      <c r="M1701" t="s">
        <v>8232</v>
      </c>
      <c r="N1701" s="4"/>
    </row>
    <row r="1702" spans="1:14" ht="39" x14ac:dyDescent="0.3">
      <c r="A1702" s="1" t="str">
        <f>HYPERLINK("https://ipmanager.doe.gov/IPManager//ExternalLink.aspx?6ibkph2k9yi6F%2B0Vz7YoTnXVN2REjGcWlFxqdKMyqVI%3D","Link")</f>
        <v>Link</v>
      </c>
      <c r="B1702" s="2" t="s">
        <v>5554</v>
      </c>
      <c r="C1702" s="2" t="s">
        <v>5551</v>
      </c>
      <c r="D1702" s="2" t="s">
        <v>5552</v>
      </c>
      <c r="E1702" s="2" t="s">
        <v>5555</v>
      </c>
      <c r="F1702" s="2"/>
      <c r="G1702" s="2" t="s">
        <v>9</v>
      </c>
      <c r="H1702" s="7"/>
      <c r="I1702" s="2" t="s">
        <v>9</v>
      </c>
      <c r="K1702" t="e">
        <v>#N/A</v>
      </c>
      <c r="L1702" s="2" t="s">
        <v>8692</v>
      </c>
      <c r="M1702" t="s">
        <v>8232</v>
      </c>
      <c r="N1702" s="4"/>
    </row>
    <row r="1703" spans="1:14" ht="26" x14ac:dyDescent="0.3">
      <c r="A1703" s="1" t="str">
        <f>HYPERLINK("https://ipmanager.doe.gov/IPManager//ExternalLink.aspx?6ibkph2k9yi6F%2B0Vz7YoThEBhkR3uHVrw6HdEilDRRs%3D","Link")</f>
        <v>Link</v>
      </c>
      <c r="B1703" s="2" t="s">
        <v>5556</v>
      </c>
      <c r="C1703" s="2" t="s">
        <v>5551</v>
      </c>
      <c r="D1703" s="2" t="s">
        <v>5552</v>
      </c>
      <c r="E1703" s="2" t="s">
        <v>5557</v>
      </c>
      <c r="F1703" s="2"/>
      <c r="G1703" s="2" t="s">
        <v>9</v>
      </c>
      <c r="H1703" s="7"/>
      <c r="I1703" s="2" t="s">
        <v>9</v>
      </c>
      <c r="K1703" t="e">
        <v>#N/A</v>
      </c>
      <c r="L1703" s="2" t="s">
        <v>8692</v>
      </c>
      <c r="M1703" t="s">
        <v>8232</v>
      </c>
      <c r="N1703" s="4"/>
    </row>
    <row r="1704" spans="1:14" ht="26" x14ac:dyDescent="0.3">
      <c r="A1704" s="1" t="str">
        <f>HYPERLINK("https://ipmanager.doe.gov/IPManager//ExternalLink.aspx?6ibkph2k9yi6F%2B0Vz7YoTsTAnuFk5EoA%2F%2BEK4SJ5erg%3D","Link")</f>
        <v>Link</v>
      </c>
      <c r="B1704" s="2" t="s">
        <v>5558</v>
      </c>
      <c r="C1704" s="2" t="s">
        <v>5551</v>
      </c>
      <c r="D1704" s="2" t="s">
        <v>5552</v>
      </c>
      <c r="E1704" s="2" t="s">
        <v>5559</v>
      </c>
      <c r="F1704" s="2"/>
      <c r="G1704" s="2" t="s">
        <v>9</v>
      </c>
      <c r="H1704" s="7"/>
      <c r="I1704" s="2" t="s">
        <v>9</v>
      </c>
      <c r="K1704" t="e">
        <v>#N/A</v>
      </c>
      <c r="L1704" s="2" t="s">
        <v>8692</v>
      </c>
      <c r="M1704" t="s">
        <v>8232</v>
      </c>
      <c r="N1704" s="4"/>
    </row>
    <row r="1705" spans="1:14" ht="52" x14ac:dyDescent="0.3">
      <c r="A1705" s="1" t="str">
        <f>HYPERLINK("https://ipmanager.doe.gov/IPManager//ExternalLink.aspx?6ibkph2k9yi6F%2B0Vz7YoTsTAnuFk5EoAmQNpTAj4uO4%3D","Link")</f>
        <v>Link</v>
      </c>
      <c r="B1705" s="2" t="s">
        <v>5560</v>
      </c>
      <c r="C1705" s="2" t="s">
        <v>5561</v>
      </c>
      <c r="D1705" s="2" t="s">
        <v>348</v>
      </c>
      <c r="E1705" s="2" t="s">
        <v>5562</v>
      </c>
      <c r="F1705" s="2" t="s">
        <v>5563</v>
      </c>
      <c r="G1705" s="2" t="s">
        <v>2614</v>
      </c>
      <c r="H1705" s="7"/>
      <c r="I1705" s="2" t="s">
        <v>9</v>
      </c>
      <c r="J1705" t="s">
        <v>5563</v>
      </c>
      <c r="K1705" t="s">
        <v>7684</v>
      </c>
      <c r="L1705" s="2" t="s">
        <v>8693</v>
      </c>
      <c r="M1705" t="s">
        <v>8233</v>
      </c>
      <c r="N1705" s="4"/>
    </row>
    <row r="1706" spans="1:14" ht="52" x14ac:dyDescent="0.3">
      <c r="A1706" s="1" t="str">
        <f>HYPERLINK("https://ipmanager.doe.gov/IPManager//ExternalLink.aspx?6ibkph2k9yi6F%2B0Vz7YoTvPUg%2FVZPl3ivpvmzeeAn58%3D","Link")</f>
        <v>Link</v>
      </c>
      <c r="B1706" s="2" t="s">
        <v>5568</v>
      </c>
      <c r="C1706" s="2" t="s">
        <v>5561</v>
      </c>
      <c r="D1706" s="2" t="s">
        <v>348</v>
      </c>
      <c r="E1706" s="2" t="s">
        <v>5562</v>
      </c>
      <c r="F1706" s="2" t="s">
        <v>5564</v>
      </c>
      <c r="G1706" s="2" t="s">
        <v>2614</v>
      </c>
      <c r="H1706" s="7"/>
      <c r="I1706" s="2" t="s">
        <v>9</v>
      </c>
      <c r="K1706" t="e">
        <v>#N/A</v>
      </c>
      <c r="L1706" s="2" t="s">
        <v>8693</v>
      </c>
      <c r="M1706" t="s">
        <v>8233</v>
      </c>
      <c r="N1706" s="4"/>
    </row>
    <row r="1707" spans="1:14" ht="39" x14ac:dyDescent="0.3">
      <c r="A1707" s="1" t="str">
        <f>HYPERLINK("https://ipmanager.doe.gov/IPManager//ExternalLink.aspx?6ibkph2k9yi6F%2B0Vz7YoTgZwfmYxrNyKd03gybvjMr0%3D","Link")</f>
        <v>Link</v>
      </c>
      <c r="B1707" s="2" t="s">
        <v>5565</v>
      </c>
      <c r="C1707" s="2" t="s">
        <v>5561</v>
      </c>
      <c r="D1707" s="2" t="s">
        <v>5566</v>
      </c>
      <c r="E1707" s="2" t="s">
        <v>5567</v>
      </c>
      <c r="F1707" s="2"/>
      <c r="G1707" s="2" t="s">
        <v>9</v>
      </c>
      <c r="H1707" s="7"/>
      <c r="I1707" s="2" t="s">
        <v>9</v>
      </c>
      <c r="K1707" t="e">
        <v>#N/A</v>
      </c>
      <c r="L1707" s="2" t="s">
        <v>8693</v>
      </c>
      <c r="M1707" t="s">
        <v>8233</v>
      </c>
      <c r="N1707" s="4"/>
    </row>
    <row r="1708" spans="1:14" ht="26" x14ac:dyDescent="0.3">
      <c r="A1708" s="1" t="str">
        <f>HYPERLINK("https://ipmanager.doe.gov/IPManager//ExternalLink.aspx?6ibkph2k9yi6F%2B0Vz7YoTo7DPLa3%2F%2FGgAEoYV%2Fiz%2FVk%3D","Link")</f>
        <v>Link</v>
      </c>
      <c r="B1708" s="2" t="s">
        <v>5569</v>
      </c>
      <c r="C1708" s="2" t="s">
        <v>5570</v>
      </c>
      <c r="D1708" s="2" t="s">
        <v>5167</v>
      </c>
      <c r="E1708" s="2" t="s">
        <v>5571</v>
      </c>
      <c r="F1708" s="2"/>
      <c r="G1708" s="2" t="s">
        <v>9</v>
      </c>
      <c r="H1708" s="7"/>
      <c r="I1708" s="2" t="s">
        <v>9</v>
      </c>
      <c r="K1708" t="e">
        <v>#N/A</v>
      </c>
      <c r="L1708" s="2" t="s">
        <v>8694</v>
      </c>
      <c r="M1708" t="s">
        <v>8234</v>
      </c>
      <c r="N1708" s="4"/>
    </row>
    <row r="1709" spans="1:14" ht="39" x14ac:dyDescent="0.3">
      <c r="A1709" s="1" t="str">
        <f>HYPERLINK("https://ipmanager.doe.gov/IPManager//ExternalLink.aspx?6ibkph2k9yi6F%2B0Vz7YoTq6RR9BlGHHigEm95MVWbAM%3D","Link")</f>
        <v>Link</v>
      </c>
      <c r="B1709" s="2" t="s">
        <v>5572</v>
      </c>
      <c r="C1709" s="2" t="s">
        <v>5570</v>
      </c>
      <c r="D1709" s="2" t="s">
        <v>5167</v>
      </c>
      <c r="E1709" s="2" t="s">
        <v>5573</v>
      </c>
      <c r="F1709" s="2"/>
      <c r="G1709" s="2" t="s">
        <v>9</v>
      </c>
      <c r="H1709" s="7"/>
      <c r="I1709" s="2" t="s">
        <v>9</v>
      </c>
      <c r="K1709" t="e">
        <v>#N/A</v>
      </c>
      <c r="L1709" s="2" t="s">
        <v>8694</v>
      </c>
      <c r="M1709" t="s">
        <v>8234</v>
      </c>
      <c r="N1709" s="4"/>
    </row>
    <row r="1710" spans="1:14" ht="39" x14ac:dyDescent="0.3">
      <c r="A1710" s="1" t="str">
        <f>HYPERLINK("https://ipmanager.doe.gov/IPManager//ExternalLink.aspx?6ibkph2k9yi6F%2B0Vz7YoTnXVN2REjGcWFV3OSXKhfyU%3D","Link")</f>
        <v>Link</v>
      </c>
      <c r="B1710" s="2" t="s">
        <v>5574</v>
      </c>
      <c r="C1710" s="2" t="s">
        <v>5570</v>
      </c>
      <c r="D1710" s="2" t="s">
        <v>2019</v>
      </c>
      <c r="E1710" s="2" t="s">
        <v>5575</v>
      </c>
      <c r="F1710" s="2"/>
      <c r="G1710" s="2" t="s">
        <v>9</v>
      </c>
      <c r="H1710" s="7"/>
      <c r="I1710" s="2" t="s">
        <v>9</v>
      </c>
      <c r="K1710" t="e">
        <v>#N/A</v>
      </c>
      <c r="L1710" s="2" t="s">
        <v>8694</v>
      </c>
      <c r="M1710" t="s">
        <v>8234</v>
      </c>
      <c r="N1710" s="4"/>
    </row>
    <row r="1711" spans="1:14" ht="65" x14ac:dyDescent="0.3">
      <c r="A1711" s="1" t="str">
        <f>HYPERLINK("https://ipmanager.doe.gov/IPManager//ExternalLink.aspx?6ibkph2k9yi6F%2B0Vz7YoTp68px7nSN2goyYEBa1SAkc%3D","Link")</f>
        <v>Link</v>
      </c>
      <c r="B1711" s="2" t="s">
        <v>5576</v>
      </c>
      <c r="C1711" s="2" t="s">
        <v>5577</v>
      </c>
      <c r="D1711" s="2" t="s">
        <v>5578</v>
      </c>
      <c r="E1711" s="2" t="s">
        <v>5579</v>
      </c>
      <c r="F1711" s="2" t="s">
        <v>5580</v>
      </c>
      <c r="G1711" s="2" t="s">
        <v>1459</v>
      </c>
      <c r="H1711" s="7"/>
      <c r="I1711" s="2" t="s">
        <v>9</v>
      </c>
      <c r="K1711" t="e">
        <v>#N/A</v>
      </c>
      <c r="L1711" s="2" t="e">
        <v>#N/A</v>
      </c>
      <c r="M1711" t="e">
        <v>#N/A</v>
      </c>
      <c r="N1711" s="4"/>
    </row>
    <row r="1712" spans="1:14" ht="39" x14ac:dyDescent="0.3">
      <c r="A1712" s="1" t="str">
        <f>HYPERLINK("https://ipmanager.doe.gov/IPManager//ExternalLink.aspx?6ibkph2k9yi6F%2B0Vz7YoTjnDGhmGHGI7uycxl74PxSg%3D","Link")</f>
        <v>Link</v>
      </c>
      <c r="B1712" s="2" t="s">
        <v>5581</v>
      </c>
      <c r="C1712" s="2" t="s">
        <v>5582</v>
      </c>
      <c r="D1712" s="2" t="s">
        <v>3527</v>
      </c>
      <c r="E1712" s="2" t="s">
        <v>5583</v>
      </c>
      <c r="F1712" s="2"/>
      <c r="G1712" s="2" t="s">
        <v>9</v>
      </c>
      <c r="H1712" s="7"/>
      <c r="I1712" s="2" t="s">
        <v>9</v>
      </c>
      <c r="K1712" t="e">
        <v>#N/A</v>
      </c>
      <c r="L1712" s="2" t="s">
        <v>8695</v>
      </c>
      <c r="M1712" t="s">
        <v>8235</v>
      </c>
      <c r="N1712" s="4"/>
    </row>
    <row r="1713" spans="1:14" ht="52" x14ac:dyDescent="0.3">
      <c r="A1713" s="1" t="str">
        <f>HYPERLINK("https://ipmanager.doe.gov/IPManager//ExternalLink.aspx?6ibkph2k9yi6F%2B0Vz7YoTnXVN2REjGcWm%2F1QJZgGW5E%3D","Link")</f>
        <v>Link</v>
      </c>
      <c r="B1713" s="2" t="s">
        <v>5584</v>
      </c>
      <c r="C1713" s="2" t="s">
        <v>5582</v>
      </c>
      <c r="D1713" s="2" t="s">
        <v>3527</v>
      </c>
      <c r="E1713" s="2" t="s">
        <v>5585</v>
      </c>
      <c r="F1713" s="2"/>
      <c r="G1713" s="2" t="s">
        <v>9</v>
      </c>
      <c r="H1713" s="7"/>
      <c r="I1713" s="2" t="s">
        <v>9</v>
      </c>
      <c r="K1713" t="e">
        <v>#N/A</v>
      </c>
      <c r="L1713" s="2" t="s">
        <v>8695</v>
      </c>
      <c r="M1713" t="s">
        <v>8235</v>
      </c>
      <c r="N1713" s="4"/>
    </row>
    <row r="1714" spans="1:14" ht="52" x14ac:dyDescent="0.3">
      <c r="A1714" s="1" t="str">
        <f>HYPERLINK("https://ipmanager.doe.gov/IPManager//ExternalLink.aspx?6ibkph2k9yi6F%2B0Vz7YoTjnDGhmGHGI7rW96PEZ99dI%3D","Link")</f>
        <v>Link</v>
      </c>
      <c r="B1714" s="2" t="s">
        <v>5586</v>
      </c>
      <c r="C1714" s="2" t="s">
        <v>5587</v>
      </c>
      <c r="D1714" s="2" t="s">
        <v>1952</v>
      </c>
      <c r="E1714" s="2" t="s">
        <v>5588</v>
      </c>
      <c r="F1714" s="2" t="s">
        <v>5589</v>
      </c>
      <c r="G1714" s="2" t="s">
        <v>5590</v>
      </c>
      <c r="H1714" s="7"/>
      <c r="I1714" s="2" t="s">
        <v>9</v>
      </c>
      <c r="K1714" t="e">
        <v>#N/A</v>
      </c>
      <c r="L1714" s="2" t="s">
        <v>8696</v>
      </c>
      <c r="M1714" t="s">
        <v>8236</v>
      </c>
      <c r="N1714" s="4"/>
    </row>
    <row r="1715" spans="1:14" ht="52" x14ac:dyDescent="0.3">
      <c r="A1715" s="1" t="str">
        <f>HYPERLINK("https://ipmanager.doe.gov/IPManager//ExternalLink.aspx?6ibkph2k9yi6F%2B0Vz7YoTq6RR9BlGHHi%2BrLoP1W7fLs%3D","Link")</f>
        <v>Link</v>
      </c>
      <c r="B1715" s="2" t="s">
        <v>5591</v>
      </c>
      <c r="C1715" s="2" t="s">
        <v>5587</v>
      </c>
      <c r="D1715" s="2" t="s">
        <v>1952</v>
      </c>
      <c r="E1715" s="2" t="s">
        <v>5588</v>
      </c>
      <c r="F1715" s="2" t="s">
        <v>5592</v>
      </c>
      <c r="G1715" s="2" t="s">
        <v>1266</v>
      </c>
      <c r="H1715" s="7"/>
      <c r="I1715" s="2" t="s">
        <v>9</v>
      </c>
      <c r="J1715" t="s">
        <v>5592</v>
      </c>
      <c r="K1715" t="s">
        <v>7707</v>
      </c>
      <c r="L1715" s="2" t="s">
        <v>8696</v>
      </c>
      <c r="M1715" t="s">
        <v>8236</v>
      </c>
      <c r="N1715" s="4"/>
    </row>
    <row r="1716" spans="1:14" ht="78" x14ac:dyDescent="0.3">
      <c r="A1716" s="1" t="str">
        <f>HYPERLINK("https://ipmanager.doe.gov/IPManager//ExternalLink.aspx?6ibkph2k9yi6F%2B0Vz7YoTq6RR9BlGHHivPJn8o4xV0M%3D","Link")</f>
        <v>Link</v>
      </c>
      <c r="B1716" s="2" t="s">
        <v>5593</v>
      </c>
      <c r="C1716" s="2" t="s">
        <v>5594</v>
      </c>
      <c r="D1716" s="2" t="s">
        <v>308</v>
      </c>
      <c r="E1716" s="2" t="s">
        <v>5595</v>
      </c>
      <c r="F1716" s="2"/>
      <c r="G1716" s="2" t="s">
        <v>9</v>
      </c>
      <c r="H1716" s="7"/>
      <c r="I1716" s="2" t="s">
        <v>9</v>
      </c>
      <c r="K1716" t="e">
        <v>#N/A</v>
      </c>
      <c r="L1716" s="2" t="s">
        <v>8697</v>
      </c>
      <c r="M1716" t="s">
        <v>8237</v>
      </c>
      <c r="N1716" s="4"/>
    </row>
    <row r="1717" spans="1:14" ht="78" x14ac:dyDescent="0.3">
      <c r="A1717" s="1" t="str">
        <f>HYPERLINK("https://ipmanager.doe.gov/IPManager//ExternalLink.aspx?6ibkph2k9yi6F%2B0Vz7YoTkqAgjuWMa9QN%2BCX6v3tLD8%3D","Link")</f>
        <v>Link</v>
      </c>
      <c r="B1717" s="2" t="s">
        <v>5596</v>
      </c>
      <c r="C1717" s="2" t="s">
        <v>5597</v>
      </c>
      <c r="D1717" s="2" t="s">
        <v>293</v>
      </c>
      <c r="E1717" s="2" t="s">
        <v>5598</v>
      </c>
      <c r="F1717" s="2"/>
      <c r="G1717" s="2" t="s">
        <v>9</v>
      </c>
      <c r="H1717" s="7"/>
      <c r="I1717" s="2" t="s">
        <v>9</v>
      </c>
      <c r="K1717" t="e">
        <v>#N/A</v>
      </c>
      <c r="L1717" s="2" t="s">
        <v>8698</v>
      </c>
      <c r="M1717" t="s">
        <v>8238</v>
      </c>
      <c r="N1717" s="4"/>
    </row>
    <row r="1718" spans="1:14" ht="26" x14ac:dyDescent="0.3">
      <c r="A1718" s="1" t="str">
        <f>HYPERLINK("https://ipmanager.doe.gov/IPManager//ExternalLink.aspx?6ibkph2k9yi6F%2B0Vz7YoTjnDGhmGHGI72fq1Pobfj8c%3D","Link")</f>
        <v>Link</v>
      </c>
      <c r="B1718" s="2" t="s">
        <v>5599</v>
      </c>
      <c r="C1718" s="2" t="s">
        <v>5600</v>
      </c>
      <c r="D1718" s="2" t="s">
        <v>1901</v>
      </c>
      <c r="E1718" s="2" t="s">
        <v>5601</v>
      </c>
      <c r="F1718" s="2" t="s">
        <v>5602</v>
      </c>
      <c r="G1718" s="2" t="s">
        <v>5603</v>
      </c>
      <c r="H1718" s="7"/>
      <c r="I1718" s="2" t="s">
        <v>9</v>
      </c>
      <c r="K1718" t="e">
        <v>#N/A</v>
      </c>
      <c r="L1718" s="2" t="s">
        <v>8699</v>
      </c>
      <c r="M1718" t="s">
        <v>8239</v>
      </c>
      <c r="N1718" s="4"/>
    </row>
    <row r="1719" spans="1:14" ht="26" x14ac:dyDescent="0.3">
      <c r="A1719" s="1" t="str">
        <f>HYPERLINK("https://ipmanager.doe.gov/IPManager//ExternalLink.aspx?6ibkph2k9yi6F%2B0Vz7YoTo7DPLa3%2F%2FGglwUJ1YRI0DI%3D","Link")</f>
        <v>Link</v>
      </c>
      <c r="B1719" s="2" t="s">
        <v>5605</v>
      </c>
      <c r="C1719" s="2" t="s">
        <v>5600</v>
      </c>
      <c r="D1719" s="2" t="s">
        <v>1901</v>
      </c>
      <c r="E1719" s="2" t="s">
        <v>5601</v>
      </c>
      <c r="F1719" s="2" t="s">
        <v>5606</v>
      </c>
      <c r="G1719" s="2" t="s">
        <v>5604</v>
      </c>
      <c r="H1719" s="7"/>
      <c r="I1719" s="2" t="s">
        <v>9</v>
      </c>
      <c r="K1719" t="e">
        <v>#N/A</v>
      </c>
      <c r="L1719" s="2" t="s">
        <v>8699</v>
      </c>
      <c r="M1719" t="s">
        <v>8239</v>
      </c>
      <c r="N1719" s="4"/>
    </row>
    <row r="1720" spans="1:14" ht="26" x14ac:dyDescent="0.3">
      <c r="A1720" s="1" t="str">
        <f>HYPERLINK("https://ipmanager.doe.gov/IPManager//ExternalLink.aspx?6ibkph2k9yi6F%2B0Vz7YoTgZwfmYxrNyKX3HxLY6fk%2Bs%3D","Link")</f>
        <v>Link</v>
      </c>
      <c r="B1720" s="2" t="s">
        <v>5607</v>
      </c>
      <c r="C1720" s="2" t="s">
        <v>5608</v>
      </c>
      <c r="D1720" s="2" t="s">
        <v>5538</v>
      </c>
      <c r="E1720" s="2" t="s">
        <v>5609</v>
      </c>
      <c r="F1720" s="2" t="s">
        <v>7631</v>
      </c>
      <c r="G1720" s="2" t="s">
        <v>5610</v>
      </c>
      <c r="H1720" s="7"/>
      <c r="I1720" s="2" t="s">
        <v>9</v>
      </c>
      <c r="K1720" t="e">
        <v>#N/A</v>
      </c>
      <c r="L1720" s="2" t="s">
        <v>8700</v>
      </c>
      <c r="M1720" t="s">
        <v>8240</v>
      </c>
      <c r="N1720" s="4"/>
    </row>
    <row r="1721" spans="1:14" ht="26" x14ac:dyDescent="0.3">
      <c r="A1721" s="1" t="str">
        <f>HYPERLINK("https://ipmanager.doe.gov/IPManager//ExternalLink.aspx?6ibkph2k9yi6F%2B0Vz7YoTvPUg%2FVZPl3iuq43MvtgrsQ%3D","Link")</f>
        <v>Link</v>
      </c>
      <c r="B1721" s="2" t="s">
        <v>5611</v>
      </c>
      <c r="C1721" s="2" t="s">
        <v>5608</v>
      </c>
      <c r="D1721" s="2" t="s">
        <v>5538</v>
      </c>
      <c r="E1721" s="2" t="s">
        <v>5612</v>
      </c>
      <c r="F1721" s="2"/>
      <c r="G1721" s="2" t="s">
        <v>9</v>
      </c>
      <c r="H1721" s="7"/>
      <c r="I1721" s="2" t="s">
        <v>9</v>
      </c>
      <c r="K1721" t="e">
        <v>#N/A</v>
      </c>
      <c r="L1721" s="2" t="s">
        <v>8700</v>
      </c>
      <c r="M1721" t="s">
        <v>8240</v>
      </c>
      <c r="N1721" s="4"/>
    </row>
    <row r="1722" spans="1:14" ht="26" x14ac:dyDescent="0.3">
      <c r="A1722" s="1" t="str">
        <f>HYPERLINK("https://ipmanager.doe.gov/IPManager//ExternalLink.aspx?6ibkph2k9yi6F%2B0Vz7YoTnXVN2REjGcW0OuxayZhuNY%3D","Link")</f>
        <v>Link</v>
      </c>
      <c r="B1722" s="2" t="s">
        <v>5613</v>
      </c>
      <c r="C1722" s="2" t="s">
        <v>5614</v>
      </c>
      <c r="D1722" s="2" t="s">
        <v>3455</v>
      </c>
      <c r="E1722" s="2" t="s">
        <v>5615</v>
      </c>
      <c r="F1722" s="2" t="s">
        <v>5616</v>
      </c>
      <c r="G1722" s="2" t="s">
        <v>5617</v>
      </c>
      <c r="H1722" s="2"/>
      <c r="I1722" s="2" t="s">
        <v>9</v>
      </c>
      <c r="K1722" t="e">
        <v>#N/A</v>
      </c>
      <c r="L1722" s="2" t="s">
        <v>8701</v>
      </c>
      <c r="M1722" t="s">
        <v>8241</v>
      </c>
      <c r="N1722" s="4"/>
    </row>
    <row r="1723" spans="1:14" ht="26" x14ac:dyDescent="0.3">
      <c r="A1723" s="1" t="str">
        <f>HYPERLINK("https://ipmanager.doe.gov/IPManager//ExternalLink.aspx?6ibkph2k9yi6F%2B0Vz7YoTvE8yjoHgvp6%2FcbtLTBp4II%3D","Link")</f>
        <v>Link</v>
      </c>
      <c r="B1723" s="2" t="s">
        <v>5618</v>
      </c>
      <c r="C1723" s="2" t="s">
        <v>5619</v>
      </c>
      <c r="D1723" s="2" t="s">
        <v>5620</v>
      </c>
      <c r="E1723" s="2" t="s">
        <v>5621</v>
      </c>
      <c r="F1723" s="2" t="s">
        <v>5622</v>
      </c>
      <c r="G1723" s="2" t="s">
        <v>4785</v>
      </c>
      <c r="H1723" s="7"/>
      <c r="I1723" s="2" t="s">
        <v>9</v>
      </c>
      <c r="K1723" t="e">
        <v>#N/A</v>
      </c>
      <c r="L1723" s="2" t="s">
        <v>8702</v>
      </c>
      <c r="M1723" t="s">
        <v>8242</v>
      </c>
      <c r="N1723" s="4"/>
    </row>
    <row r="1724" spans="1:14" ht="26" x14ac:dyDescent="0.3">
      <c r="A1724" s="1" t="str">
        <f>HYPERLINK("https://ipmanager.doe.gov/IPManager//ExternalLink.aspx?6ibkph2k9yi6F%2B0Vz7YoTo7DPLa3%2F%2FGgPgkH6GuOj2E%3D","Link")</f>
        <v>Link</v>
      </c>
      <c r="B1724" s="2" t="s">
        <v>5624</v>
      </c>
      <c r="C1724" s="2" t="s">
        <v>5619</v>
      </c>
      <c r="D1724" s="2" t="s">
        <v>5620</v>
      </c>
      <c r="E1724" s="2" t="s">
        <v>5621</v>
      </c>
      <c r="F1724" s="2" t="s">
        <v>5623</v>
      </c>
      <c r="G1724" s="2" t="s">
        <v>5625</v>
      </c>
      <c r="H1724" s="7"/>
      <c r="I1724" s="2" t="s">
        <v>9</v>
      </c>
      <c r="K1724" t="e">
        <v>#N/A</v>
      </c>
      <c r="L1724" s="2" t="s">
        <v>8702</v>
      </c>
      <c r="M1724" t="s">
        <v>8242</v>
      </c>
      <c r="N1724" s="4"/>
    </row>
    <row r="1725" spans="1:14" ht="52" x14ac:dyDescent="0.3">
      <c r="A1725" s="1" t="str">
        <f>HYPERLINK("https://ipmanager.doe.gov/IPManager//ExternalLink.aspx?6ibkph2k9yi6F%2B0Vz7YoTnXVN2REjGcWv%2BvBP7PIi7Q%3D","Link")</f>
        <v>Link</v>
      </c>
      <c r="B1725" s="2" t="s">
        <v>5626</v>
      </c>
      <c r="C1725" s="2" t="s">
        <v>5619</v>
      </c>
      <c r="D1725" s="2" t="s">
        <v>5620</v>
      </c>
      <c r="E1725" s="2" t="s">
        <v>5627</v>
      </c>
      <c r="F1725" s="2" t="s">
        <v>5628</v>
      </c>
      <c r="G1725" s="2" t="s">
        <v>5629</v>
      </c>
      <c r="H1725" s="7"/>
      <c r="I1725" s="2" t="s">
        <v>9</v>
      </c>
      <c r="K1725" t="e">
        <v>#N/A</v>
      </c>
      <c r="L1725" s="2" t="s">
        <v>8702</v>
      </c>
      <c r="M1725" t="s">
        <v>8242</v>
      </c>
      <c r="N1725" s="4"/>
    </row>
    <row r="1726" spans="1:14" ht="26" x14ac:dyDescent="0.3">
      <c r="A1726" s="1" t="str">
        <f>HYPERLINK("https://ipmanager.doe.gov/IPManager//ExternalLink.aspx?6ibkph2k9yi6F%2B0Vz7YoTp68px7nSN2gI%2Fd3TelzRV0%3D","Link")</f>
        <v>Link</v>
      </c>
      <c r="B1726" s="2" t="s">
        <v>5630</v>
      </c>
      <c r="C1726" s="2" t="s">
        <v>5619</v>
      </c>
      <c r="D1726" s="2" t="s">
        <v>5620</v>
      </c>
      <c r="E1726" s="2" t="s">
        <v>5631</v>
      </c>
      <c r="F1726" s="2" t="s">
        <v>5632</v>
      </c>
      <c r="G1726" s="2" t="s">
        <v>3391</v>
      </c>
      <c r="H1726" s="7"/>
      <c r="I1726" s="2" t="s">
        <v>9</v>
      </c>
      <c r="J1726" t="s">
        <v>5632</v>
      </c>
      <c r="K1726" t="s">
        <v>7736</v>
      </c>
      <c r="L1726" s="2" t="s">
        <v>8702</v>
      </c>
      <c r="M1726" t="s">
        <v>8242</v>
      </c>
      <c r="N1726" s="4"/>
    </row>
    <row r="1727" spans="1:14" ht="26" x14ac:dyDescent="0.3">
      <c r="A1727" s="1" t="str">
        <f>HYPERLINK("https://ipmanager.doe.gov/IPManager//ExternalLink.aspx?6ibkph2k9yi6F%2B0Vz7YoTp68px7nSN2gxzA40kSuvCk%3D","Link")</f>
        <v>Link</v>
      </c>
      <c r="B1727" s="2" t="s">
        <v>5634</v>
      </c>
      <c r="C1727" s="2" t="s">
        <v>5619</v>
      </c>
      <c r="D1727" s="2" t="s">
        <v>5620</v>
      </c>
      <c r="E1727" s="2" t="s">
        <v>5631</v>
      </c>
      <c r="F1727" s="2" t="s">
        <v>5633</v>
      </c>
      <c r="G1727" s="2" t="s">
        <v>5635</v>
      </c>
      <c r="H1727" s="7"/>
      <c r="I1727" s="2" t="s">
        <v>9</v>
      </c>
      <c r="K1727" t="e">
        <v>#N/A</v>
      </c>
      <c r="L1727" s="2" t="s">
        <v>8702</v>
      </c>
      <c r="M1727" t="s">
        <v>8242</v>
      </c>
      <c r="N1727" s="4"/>
    </row>
    <row r="1728" spans="1:14" ht="39" x14ac:dyDescent="0.3">
      <c r="A1728" s="1" t="str">
        <f>HYPERLINK("https://ipmanager.doe.gov/IPManager//ExternalLink.aspx?6ibkph2k9yi6F%2B0Vz7YoTnXVN2REjGcWDicemx8kKsU%3D","Link")</f>
        <v>Link</v>
      </c>
      <c r="B1728" s="2" t="s">
        <v>5653</v>
      </c>
      <c r="C1728" s="2" t="s">
        <v>5637</v>
      </c>
      <c r="D1728" s="2" t="s">
        <v>5638</v>
      </c>
      <c r="E1728" s="2" t="s">
        <v>5642</v>
      </c>
      <c r="F1728" s="2"/>
      <c r="G1728" s="2" t="s">
        <v>9</v>
      </c>
      <c r="H1728" s="7"/>
      <c r="I1728" s="2" t="s">
        <v>9</v>
      </c>
      <c r="K1728" t="e">
        <v>#N/A</v>
      </c>
      <c r="L1728" s="2" t="s">
        <v>8703</v>
      </c>
      <c r="M1728" t="s">
        <v>8243</v>
      </c>
      <c r="N1728" s="4"/>
    </row>
    <row r="1729" spans="1:14" ht="52" x14ac:dyDescent="0.3">
      <c r="A1729" s="1" t="str">
        <f>HYPERLINK("https://ipmanager.doe.gov/IPManager//ExternalLink.aspx?6ibkph2k9yi6F%2B0Vz7YoTvE8yjoHgvp6OmoFRfx94Zg%3D","Link")</f>
        <v>Link</v>
      </c>
      <c r="B1729" s="2" t="s">
        <v>5657</v>
      </c>
      <c r="C1729" s="2" t="s">
        <v>5637</v>
      </c>
      <c r="D1729" s="2" t="s">
        <v>5638</v>
      </c>
      <c r="E1729" s="2" t="s">
        <v>5658</v>
      </c>
      <c r="F1729" s="2"/>
      <c r="G1729" s="2" t="s">
        <v>9</v>
      </c>
      <c r="H1729" s="7"/>
      <c r="I1729" s="2" t="s">
        <v>9</v>
      </c>
      <c r="K1729" t="e">
        <v>#N/A</v>
      </c>
      <c r="L1729" s="2" t="s">
        <v>8703</v>
      </c>
      <c r="M1729" t="s">
        <v>8243</v>
      </c>
      <c r="N1729" s="4"/>
    </row>
    <row r="1730" spans="1:14" ht="78" x14ac:dyDescent="0.3">
      <c r="A1730" s="1" t="str">
        <f>HYPERLINK("https://ipmanager.doe.gov/IPManager//ExternalLink.aspx?6ibkph2k9yi6F%2B0Vz7YoTgZwfmYxrNyKo%2F3pseWFsvE%3D","Link")</f>
        <v>Link</v>
      </c>
      <c r="B1730" s="2" t="s">
        <v>5659</v>
      </c>
      <c r="C1730" s="2" t="s">
        <v>5637</v>
      </c>
      <c r="D1730" s="2" t="s">
        <v>5638</v>
      </c>
      <c r="E1730" s="2" t="s">
        <v>5660</v>
      </c>
      <c r="F1730" s="2"/>
      <c r="G1730" s="2" t="s">
        <v>9</v>
      </c>
      <c r="H1730" s="7"/>
      <c r="I1730" s="2" t="s">
        <v>9</v>
      </c>
      <c r="K1730" t="e">
        <v>#N/A</v>
      </c>
      <c r="L1730" s="2" t="s">
        <v>8703</v>
      </c>
      <c r="M1730" t="s">
        <v>8243</v>
      </c>
      <c r="N1730" s="4"/>
    </row>
    <row r="1731" spans="1:14" ht="52" x14ac:dyDescent="0.3">
      <c r="A1731" s="1" t="str">
        <f>HYPERLINK("https://ipmanager.doe.gov/IPManager//ExternalLink.aspx?6ibkph2k9yi6F%2B0Vz7YoTnXVN2REjGcWajRPJZx0DM8%3D","Link")</f>
        <v>Link</v>
      </c>
      <c r="B1731" s="2" t="s">
        <v>5636</v>
      </c>
      <c r="C1731" s="2" t="s">
        <v>5637</v>
      </c>
      <c r="D1731" s="2" t="s">
        <v>5638</v>
      </c>
      <c r="E1731" s="2" t="s">
        <v>5639</v>
      </c>
      <c r="F1731" s="2" t="s">
        <v>5640</v>
      </c>
      <c r="G1731" s="2" t="s">
        <v>2737</v>
      </c>
      <c r="H1731" s="7"/>
      <c r="I1731" s="2" t="s">
        <v>9</v>
      </c>
      <c r="K1731" t="e">
        <v>#N/A</v>
      </c>
      <c r="L1731" s="2" t="s">
        <v>8703</v>
      </c>
      <c r="M1731" t="s">
        <v>8243</v>
      </c>
      <c r="N1731" s="4"/>
    </row>
    <row r="1732" spans="1:14" ht="39" x14ac:dyDescent="0.3">
      <c r="A1732" s="1" t="str">
        <f>HYPERLINK("https://ipmanager.doe.gov/IPManager//ExternalLink.aspx?6ibkph2k9yi6F%2B0Vz7YoTo7DPLa3%2F%2FGg4KJQ0vvi4V4%3D","Link")</f>
        <v>Link</v>
      </c>
      <c r="B1732" s="2" t="s">
        <v>5641</v>
      </c>
      <c r="C1732" s="2" t="s">
        <v>5637</v>
      </c>
      <c r="D1732" s="2" t="s">
        <v>5638</v>
      </c>
      <c r="E1732" s="2" t="s">
        <v>5642</v>
      </c>
      <c r="F1732" s="2" t="s">
        <v>5643</v>
      </c>
      <c r="G1732" s="2" t="s">
        <v>5644</v>
      </c>
      <c r="H1732" s="7"/>
      <c r="I1732" s="2" t="s">
        <v>9</v>
      </c>
      <c r="K1732" t="e">
        <v>#N/A</v>
      </c>
      <c r="L1732" s="2" t="s">
        <v>8703</v>
      </c>
      <c r="M1732" t="s">
        <v>8243</v>
      </c>
      <c r="N1732" s="4"/>
    </row>
    <row r="1733" spans="1:14" ht="39" x14ac:dyDescent="0.3">
      <c r="A1733" s="1" t="str">
        <f>HYPERLINK("https://ipmanager.doe.gov/IPManager//ExternalLink.aspx?6ibkph2k9yi6F%2B0Vz7YoTvPUg%2FVZPl3iKNRtamMMuxo%3D","Link")</f>
        <v>Link</v>
      </c>
      <c r="B1733" s="2" t="s">
        <v>5646</v>
      </c>
      <c r="C1733" s="2" t="s">
        <v>5637</v>
      </c>
      <c r="D1733" s="2" t="s">
        <v>5638</v>
      </c>
      <c r="E1733" s="2" t="s">
        <v>5642</v>
      </c>
      <c r="F1733" s="2" t="s">
        <v>5645</v>
      </c>
      <c r="G1733" s="2" t="s">
        <v>3229</v>
      </c>
      <c r="H1733" s="7"/>
      <c r="I1733" s="2" t="s">
        <v>9</v>
      </c>
      <c r="K1733" t="e">
        <v>#N/A</v>
      </c>
      <c r="L1733" s="2" t="s">
        <v>8703</v>
      </c>
      <c r="M1733" t="s">
        <v>8243</v>
      </c>
      <c r="N1733" s="4"/>
    </row>
    <row r="1734" spans="1:14" ht="26" x14ac:dyDescent="0.3">
      <c r="A1734" s="1" t="str">
        <f>HYPERLINK("https://ipmanager.doe.gov/IPManager//ExternalLink.aspx?6ibkph2k9yi6F%2B0Vz7YoTvE8yjoHgvp6Dht3BvWr8M4%3D","Link")</f>
        <v>Link</v>
      </c>
      <c r="B1734" s="2" t="s">
        <v>5647</v>
      </c>
      <c r="C1734" s="2" t="s">
        <v>5637</v>
      </c>
      <c r="D1734" s="2" t="s">
        <v>5638</v>
      </c>
      <c r="E1734" s="2" t="s">
        <v>5648</v>
      </c>
      <c r="F1734" s="2" t="s">
        <v>5649</v>
      </c>
      <c r="G1734" s="2" t="s">
        <v>5133</v>
      </c>
      <c r="H1734" s="7"/>
      <c r="I1734" s="2" t="s">
        <v>9</v>
      </c>
      <c r="K1734" t="e">
        <v>#N/A</v>
      </c>
      <c r="L1734" s="2" t="s">
        <v>8703</v>
      </c>
      <c r="M1734" t="s">
        <v>8243</v>
      </c>
      <c r="N1734" s="4"/>
    </row>
    <row r="1735" spans="1:14" ht="52" x14ac:dyDescent="0.3">
      <c r="A1735" s="1" t="str">
        <f>HYPERLINK("https://ipmanager.doe.gov/IPManager//ExternalLink.aspx?6ibkph2k9yi6F%2B0Vz7YoThEBhkR3uHVrP7lEY11LyK8%3D","Link")</f>
        <v>Link</v>
      </c>
      <c r="B1735" s="2" t="s">
        <v>5650</v>
      </c>
      <c r="C1735" s="2" t="s">
        <v>5637</v>
      </c>
      <c r="D1735" s="2" t="s">
        <v>5638</v>
      </c>
      <c r="E1735" s="2" t="s">
        <v>5639</v>
      </c>
      <c r="F1735" s="2" t="s">
        <v>5651</v>
      </c>
      <c r="G1735" s="2" t="s">
        <v>5652</v>
      </c>
      <c r="H1735" s="7"/>
      <c r="I1735" s="2" t="s">
        <v>9</v>
      </c>
      <c r="K1735" t="e">
        <v>#N/A</v>
      </c>
      <c r="L1735" s="2" t="s">
        <v>8703</v>
      </c>
      <c r="M1735" t="s">
        <v>8243</v>
      </c>
      <c r="N1735" s="4"/>
    </row>
    <row r="1736" spans="1:14" ht="39" x14ac:dyDescent="0.3">
      <c r="A1736" s="1" t="str">
        <f>HYPERLINK("https://ipmanager.doe.gov/IPManager//ExternalLink.aspx?6ibkph2k9yi6F%2B0Vz7YoThEBhkR3uHVrMFgPsySuyDU%3D","Link")</f>
        <v>Link</v>
      </c>
      <c r="B1736" s="2" t="s">
        <v>5654</v>
      </c>
      <c r="C1736" s="2" t="s">
        <v>5637</v>
      </c>
      <c r="D1736" s="2" t="s">
        <v>1897</v>
      </c>
      <c r="E1736" s="2" t="s">
        <v>5655</v>
      </c>
      <c r="F1736" s="2" t="s">
        <v>5656</v>
      </c>
      <c r="G1736" s="2" t="s">
        <v>1949</v>
      </c>
      <c r="H1736" s="7"/>
      <c r="I1736" s="2" t="s">
        <v>9</v>
      </c>
      <c r="K1736" t="e">
        <v>#N/A</v>
      </c>
      <c r="L1736" s="2" t="s">
        <v>8703</v>
      </c>
      <c r="M1736" t="s">
        <v>8243</v>
      </c>
      <c r="N1736" s="4"/>
    </row>
    <row r="1737" spans="1:14" ht="26" x14ac:dyDescent="0.3">
      <c r="A1737" s="1" t="str">
        <f>HYPERLINK("https://ipmanager.doe.gov/IPManager//ExternalLink.aspx?6ibkph2k9yi6F%2B0Vz7YoTsTAnuFk5EoAUmRzK3Ne8us%3D","Link")</f>
        <v>Link</v>
      </c>
      <c r="B1737" s="2" t="s">
        <v>5664</v>
      </c>
      <c r="C1737" s="2" t="s">
        <v>5662</v>
      </c>
      <c r="D1737" s="2" t="s">
        <v>4128</v>
      </c>
      <c r="E1737" s="2" t="s">
        <v>5665</v>
      </c>
      <c r="F1737" s="2" t="s">
        <v>5666</v>
      </c>
      <c r="G1737" s="2" t="s">
        <v>2716</v>
      </c>
      <c r="H1737" s="7"/>
      <c r="I1737" s="2" t="s">
        <v>9</v>
      </c>
      <c r="K1737" t="e">
        <v>#N/A</v>
      </c>
      <c r="L1737" s="2" t="s">
        <v>8704</v>
      </c>
      <c r="M1737" t="s">
        <v>8244</v>
      </c>
      <c r="N1737" s="4"/>
    </row>
    <row r="1738" spans="1:14" ht="52" x14ac:dyDescent="0.3">
      <c r="A1738" s="1" t="str">
        <f>HYPERLINK("https://ipmanager.doe.gov/IPManager//ExternalLink.aspx?6ibkph2k9yi6F%2B0Vz7YoTo7DPLa3%2F%2FGgfRuTiOtnEyI%3D","Link")</f>
        <v>Link</v>
      </c>
      <c r="B1738" s="2" t="s">
        <v>5667</v>
      </c>
      <c r="C1738" s="2" t="s">
        <v>5662</v>
      </c>
      <c r="D1738" s="2" t="s">
        <v>4128</v>
      </c>
      <c r="E1738" s="2" t="s">
        <v>5668</v>
      </c>
      <c r="F1738" s="2" t="s">
        <v>5669</v>
      </c>
      <c r="G1738" s="2" t="s">
        <v>5670</v>
      </c>
      <c r="H1738" s="7"/>
      <c r="I1738" s="2" t="s">
        <v>9</v>
      </c>
      <c r="K1738" t="e">
        <v>#N/A</v>
      </c>
      <c r="L1738" s="2" t="s">
        <v>8704</v>
      </c>
      <c r="M1738" t="s">
        <v>8244</v>
      </c>
      <c r="N1738" s="4"/>
    </row>
    <row r="1739" spans="1:14" ht="52" x14ac:dyDescent="0.3">
      <c r="A1739" s="1" t="str">
        <f>HYPERLINK("https://ipmanager.doe.gov/IPManager//ExternalLink.aspx?6ibkph2k9yi6F%2B0Vz7YoTvE8yjoHgvp6%2B8nKkqJKIa4%3D","Link")</f>
        <v>Link</v>
      </c>
      <c r="B1739" s="2" t="s">
        <v>5671</v>
      </c>
      <c r="C1739" s="2" t="s">
        <v>5662</v>
      </c>
      <c r="D1739" s="2" t="s">
        <v>4128</v>
      </c>
      <c r="E1739" s="2" t="s">
        <v>5668</v>
      </c>
      <c r="F1739" s="2" t="s">
        <v>5672</v>
      </c>
      <c r="G1739" s="2" t="s">
        <v>5268</v>
      </c>
      <c r="H1739" s="7"/>
      <c r="I1739" s="2" t="s">
        <v>9</v>
      </c>
      <c r="J1739" t="s">
        <v>5672</v>
      </c>
      <c r="K1739" t="s">
        <v>7696</v>
      </c>
      <c r="L1739" s="2" t="s">
        <v>8704</v>
      </c>
      <c r="M1739" t="s">
        <v>8244</v>
      </c>
      <c r="N1739" s="4"/>
    </row>
    <row r="1740" spans="1:14" ht="39" x14ac:dyDescent="0.3">
      <c r="A1740" s="1" t="str">
        <f>HYPERLINK("https://ipmanager.doe.gov/IPManager//ExternalLink.aspx?6ibkph2k9yi6F%2B0Vz7YoTo7DPLa3%2F%2FGg6c3DSNHHmmk%3D","Link")</f>
        <v>Link</v>
      </c>
      <c r="B1740" s="2" t="s">
        <v>5661</v>
      </c>
      <c r="C1740" s="2" t="s">
        <v>5662</v>
      </c>
      <c r="D1740" s="2" t="s">
        <v>4128</v>
      </c>
      <c r="E1740" s="2" t="s">
        <v>5663</v>
      </c>
      <c r="F1740" s="2"/>
      <c r="G1740" s="2" t="s">
        <v>9</v>
      </c>
      <c r="H1740" s="7"/>
      <c r="I1740" s="2" t="s">
        <v>9</v>
      </c>
      <c r="K1740" t="e">
        <v>#N/A</v>
      </c>
      <c r="L1740" s="2" t="s">
        <v>8704</v>
      </c>
      <c r="M1740" t="s">
        <v>8244</v>
      </c>
      <c r="N1740" s="4"/>
    </row>
    <row r="1741" spans="1:14" ht="39" x14ac:dyDescent="0.3">
      <c r="A1741" s="1" t="str">
        <f>HYPERLINK("https://ipmanager.doe.gov/IPManager//ExternalLink.aspx?6ibkph2k9yi6F%2B0Vz7YoTsTAnuFk5EoAZkxUq4JUJ9M%3D","Link")</f>
        <v>Link</v>
      </c>
      <c r="B1741" s="2" t="s">
        <v>5673</v>
      </c>
      <c r="C1741" s="2" t="s">
        <v>5674</v>
      </c>
      <c r="D1741" s="2" t="s">
        <v>1415</v>
      </c>
      <c r="E1741" s="2" t="s">
        <v>5675</v>
      </c>
      <c r="F1741" s="2" t="s">
        <v>5676</v>
      </c>
      <c r="G1741" s="2" t="s">
        <v>5677</v>
      </c>
      <c r="H1741" s="2"/>
      <c r="I1741" s="2" t="s">
        <v>9</v>
      </c>
      <c r="K1741" t="e">
        <v>#N/A</v>
      </c>
      <c r="L1741" s="2" t="s">
        <v>8705</v>
      </c>
      <c r="M1741" t="s">
        <v>8245</v>
      </c>
      <c r="N1741" s="4"/>
    </row>
    <row r="1742" spans="1:14" ht="39" x14ac:dyDescent="0.3">
      <c r="A1742" s="1" t="str">
        <f>HYPERLINK("https://ipmanager.doe.gov/IPManager//ExternalLink.aspx?6ibkph2k9yi6F%2B0Vz7YoTsTAnuFk5EoA50LvkoXGqxQ%3D","Link")</f>
        <v>Link</v>
      </c>
      <c r="B1742" s="2" t="s">
        <v>5678</v>
      </c>
      <c r="C1742" s="2" t="s">
        <v>5674</v>
      </c>
      <c r="D1742" s="2" t="s">
        <v>1415</v>
      </c>
      <c r="E1742" s="2" t="s">
        <v>5675</v>
      </c>
      <c r="F1742" s="2" t="s">
        <v>5679</v>
      </c>
      <c r="G1742" s="2" t="s">
        <v>5680</v>
      </c>
      <c r="H1742" s="2"/>
      <c r="I1742" s="2" t="s">
        <v>9</v>
      </c>
      <c r="J1742" t="s">
        <v>5679</v>
      </c>
      <c r="K1742" t="s">
        <v>7689</v>
      </c>
      <c r="L1742" s="2" t="s">
        <v>8705</v>
      </c>
      <c r="M1742" t="s">
        <v>8245</v>
      </c>
      <c r="N1742" s="4"/>
    </row>
    <row r="1743" spans="1:14" ht="39" x14ac:dyDescent="0.3">
      <c r="A1743" s="1" t="str">
        <f>HYPERLINK("https://ipmanager.doe.gov/IPManager//ExternalLink.aspx?6ibkph2k9yi6F%2B0Vz7YoTvE8yjoHgvp66oHTL21lhBs%3D","Link")</f>
        <v>Link</v>
      </c>
      <c r="B1743" s="2" t="s">
        <v>5688</v>
      </c>
      <c r="C1743" s="2" t="s">
        <v>5682</v>
      </c>
      <c r="D1743" s="2" t="s">
        <v>1901</v>
      </c>
      <c r="E1743" s="2" t="s">
        <v>5689</v>
      </c>
      <c r="F1743" s="2"/>
      <c r="G1743" s="2" t="s">
        <v>9</v>
      </c>
      <c r="H1743" s="7"/>
      <c r="I1743" s="2" t="s">
        <v>9</v>
      </c>
      <c r="K1743" t="e">
        <v>#N/A</v>
      </c>
      <c r="L1743" s="2" t="s">
        <v>8706</v>
      </c>
      <c r="M1743" t="s">
        <v>8246</v>
      </c>
      <c r="N1743" s="4"/>
    </row>
    <row r="1744" spans="1:14" ht="39" x14ac:dyDescent="0.3">
      <c r="A1744" s="1" t="str">
        <f>HYPERLINK("https://ipmanager.doe.gov/IPManager//ExternalLink.aspx?6ibkph2k9yi6F%2B0Vz7YoTgZwfmYxrNyKLuF0%2F7banVQ%3D","Link")</f>
        <v>Link</v>
      </c>
      <c r="B1744" s="2" t="s">
        <v>5690</v>
      </c>
      <c r="C1744" s="2" t="s">
        <v>5682</v>
      </c>
      <c r="D1744" s="2" t="s">
        <v>1901</v>
      </c>
      <c r="E1744" s="2" t="s">
        <v>5691</v>
      </c>
      <c r="F1744" s="2"/>
      <c r="G1744" s="2" t="s">
        <v>9</v>
      </c>
      <c r="H1744" s="7"/>
      <c r="I1744" s="2" t="s">
        <v>9</v>
      </c>
      <c r="K1744" t="e">
        <v>#N/A</v>
      </c>
      <c r="L1744" s="2" t="s">
        <v>8706</v>
      </c>
      <c r="M1744" t="s">
        <v>8246</v>
      </c>
      <c r="N1744" s="4"/>
    </row>
    <row r="1745" spans="1:14" ht="39" x14ac:dyDescent="0.3">
      <c r="A1745" s="1" t="str">
        <f>HYPERLINK("https://ipmanager.doe.gov/IPManager//ExternalLink.aspx?6ibkph2k9yi6F%2B0Vz7YoTsTAnuFk5EoAkesn7%2F42QRU%3D","Link")</f>
        <v>Link</v>
      </c>
      <c r="B1745" s="2" t="s">
        <v>5681</v>
      </c>
      <c r="C1745" s="2" t="s">
        <v>5682</v>
      </c>
      <c r="D1745" s="2" t="s">
        <v>1901</v>
      </c>
      <c r="E1745" s="2" t="s">
        <v>5683</v>
      </c>
      <c r="F1745" s="2" t="s">
        <v>5684</v>
      </c>
      <c r="G1745" s="2" t="s">
        <v>5685</v>
      </c>
      <c r="H1745" s="7"/>
      <c r="I1745" s="2" t="s">
        <v>9</v>
      </c>
      <c r="J1745" t="s">
        <v>5684</v>
      </c>
      <c r="K1745" t="s">
        <v>7755</v>
      </c>
      <c r="L1745" s="2" t="s">
        <v>8706</v>
      </c>
      <c r="M1745" t="s">
        <v>8246</v>
      </c>
      <c r="N1745" s="4"/>
    </row>
    <row r="1746" spans="1:14" ht="39" x14ac:dyDescent="0.3">
      <c r="A1746" s="1" t="str">
        <f>HYPERLINK("https://ipmanager.doe.gov/IPManager//ExternalLink.aspx?6ibkph2k9yi6F%2B0Vz7YoTsTAnuFk5EoAzgdnOOZaq%2B0%3D","Link")</f>
        <v>Link</v>
      </c>
      <c r="B1746" s="2" t="s">
        <v>5686</v>
      </c>
      <c r="C1746" s="2" t="s">
        <v>5682</v>
      </c>
      <c r="D1746" s="2" t="s">
        <v>1901</v>
      </c>
      <c r="E1746" s="2" t="s">
        <v>5683</v>
      </c>
      <c r="F1746" s="2" t="s">
        <v>5687</v>
      </c>
      <c r="G1746" s="2" t="s">
        <v>845</v>
      </c>
      <c r="H1746" s="7"/>
      <c r="I1746" s="2" t="s">
        <v>9</v>
      </c>
      <c r="K1746" t="e">
        <v>#N/A</v>
      </c>
      <c r="L1746" s="2" t="s">
        <v>8706</v>
      </c>
      <c r="M1746" t="s">
        <v>8246</v>
      </c>
      <c r="N1746" s="4"/>
    </row>
    <row r="1747" spans="1:14" ht="91" x14ac:dyDescent="0.3">
      <c r="A1747" s="1" t="str">
        <f>HYPERLINK("https://ipmanager.doe.gov/IPManager//ExternalLink.aspx?6ibkph2k9yi6F%2B0Vz7YoTgZwfmYxrNyKyKyG5FZ8X1s%3D","Link")</f>
        <v>Link</v>
      </c>
      <c r="B1747" s="2" t="s">
        <v>5692</v>
      </c>
      <c r="C1747" s="2" t="s">
        <v>5693</v>
      </c>
      <c r="D1747" s="2" t="s">
        <v>5694</v>
      </c>
      <c r="E1747" s="2" t="s">
        <v>5695</v>
      </c>
      <c r="F1747" s="2" t="s">
        <v>7649</v>
      </c>
      <c r="G1747" s="2" t="s">
        <v>5696</v>
      </c>
      <c r="H1747" s="7"/>
      <c r="I1747" s="2" t="s">
        <v>9</v>
      </c>
      <c r="K1747" t="e">
        <v>#N/A</v>
      </c>
      <c r="L1747" s="2" t="s">
        <v>8707</v>
      </c>
      <c r="M1747" t="s">
        <v>8247</v>
      </c>
      <c r="N1747" s="4"/>
    </row>
    <row r="1748" spans="1:14" ht="39" x14ac:dyDescent="0.3">
      <c r="A1748" s="1" t="str">
        <f>HYPERLINK("https://ipmanager.doe.gov/IPManager//ExternalLink.aspx?6ibkph2k9yi6F%2B0Vz7YoTgZwfmYxrNyKgAuxU9Yes4Q%3D","Link")</f>
        <v>Link</v>
      </c>
      <c r="B1748" s="2" t="s">
        <v>5697</v>
      </c>
      <c r="C1748" s="2" t="s">
        <v>5693</v>
      </c>
      <c r="D1748" s="2" t="s">
        <v>5694</v>
      </c>
      <c r="E1748" s="2" t="s">
        <v>5698</v>
      </c>
      <c r="F1748" s="2" t="s">
        <v>5699</v>
      </c>
      <c r="G1748" s="2" t="s">
        <v>4451</v>
      </c>
      <c r="H1748" s="7"/>
      <c r="I1748" s="2" t="s">
        <v>9</v>
      </c>
      <c r="K1748" t="e">
        <v>#N/A</v>
      </c>
      <c r="L1748" s="2" t="s">
        <v>8707</v>
      </c>
      <c r="M1748" t="s">
        <v>8247</v>
      </c>
      <c r="N1748" s="4"/>
    </row>
    <row r="1749" spans="1:14" ht="39" x14ac:dyDescent="0.3">
      <c r="A1749" s="1" t="str">
        <f>HYPERLINK("https://ipmanager.doe.gov/IPManager//ExternalLink.aspx?6ibkph2k9yi6F%2B0Vz7YoTq6RR9BlGHHiAEdWfp6cCzQ%3D","Link")</f>
        <v>Link</v>
      </c>
      <c r="B1749" s="2" t="s">
        <v>5700</v>
      </c>
      <c r="C1749" s="2" t="s">
        <v>5693</v>
      </c>
      <c r="D1749" s="2" t="s">
        <v>5694</v>
      </c>
      <c r="E1749" s="2" t="s">
        <v>5701</v>
      </c>
      <c r="F1749" s="2" t="s">
        <v>5702</v>
      </c>
      <c r="G1749" s="2" t="s">
        <v>5703</v>
      </c>
      <c r="H1749" s="7"/>
      <c r="I1749" s="2" t="s">
        <v>9</v>
      </c>
      <c r="J1749" t="s">
        <v>5702</v>
      </c>
      <c r="K1749" t="s">
        <v>7733</v>
      </c>
      <c r="L1749" s="2" t="s">
        <v>8707</v>
      </c>
      <c r="M1749" t="s">
        <v>8247</v>
      </c>
      <c r="N1749" s="4"/>
    </row>
    <row r="1750" spans="1:14" ht="65" x14ac:dyDescent="0.3">
      <c r="A1750" s="1" t="str">
        <f>HYPERLINK("https://ipmanager.doe.gov/IPManager//ExternalLink.aspx?6ibkph2k9yi6F%2B0Vz7YoTo7DPLa3%2F%2FGgG8YIPAqcyoI%3D","Link")</f>
        <v>Link</v>
      </c>
      <c r="B1750" s="2" t="s">
        <v>5704</v>
      </c>
      <c r="C1750" s="2" t="s">
        <v>5693</v>
      </c>
      <c r="D1750" s="2" t="s">
        <v>5694</v>
      </c>
      <c r="E1750" s="2" t="s">
        <v>5705</v>
      </c>
      <c r="F1750" s="2" t="s">
        <v>5706</v>
      </c>
      <c r="G1750" s="2" t="s">
        <v>5081</v>
      </c>
      <c r="H1750" s="7"/>
      <c r="I1750" s="2" t="s">
        <v>9</v>
      </c>
      <c r="J1750" t="s">
        <v>5706</v>
      </c>
      <c r="K1750" t="s">
        <v>7734</v>
      </c>
      <c r="L1750" s="2" t="s">
        <v>8707</v>
      </c>
      <c r="M1750" t="s">
        <v>8247</v>
      </c>
      <c r="N1750" s="4"/>
    </row>
    <row r="1751" spans="1:14" ht="39" x14ac:dyDescent="0.3">
      <c r="A1751" s="1" t="str">
        <f>HYPERLINK("https://ipmanager.doe.gov/IPManager//ExternalLink.aspx?6ibkph2k9yi6F%2B0Vz7YoTp68px7nSN2glEAw0r0vuUg%3D","Link")</f>
        <v>Link</v>
      </c>
      <c r="B1751" s="2" t="s">
        <v>5708</v>
      </c>
      <c r="C1751" s="2" t="s">
        <v>5693</v>
      </c>
      <c r="D1751" s="2" t="s">
        <v>5694</v>
      </c>
      <c r="E1751" s="2" t="s">
        <v>5709</v>
      </c>
      <c r="F1751" s="2" t="s">
        <v>7650</v>
      </c>
      <c r="G1751" s="2" t="s">
        <v>2186</v>
      </c>
      <c r="H1751" s="7"/>
      <c r="I1751" s="2" t="s">
        <v>9</v>
      </c>
      <c r="K1751" t="e">
        <v>#N/A</v>
      </c>
      <c r="L1751" s="2" t="s">
        <v>8707</v>
      </c>
      <c r="M1751" t="s">
        <v>8247</v>
      </c>
      <c r="N1751" s="4"/>
    </row>
    <row r="1752" spans="1:14" ht="39" x14ac:dyDescent="0.3">
      <c r="A1752" s="1" t="str">
        <f>HYPERLINK("https://ipmanager.doe.gov/IPManager//ExternalLink.aspx?6ibkph2k9yi6F%2B0Vz7YoTvPUg%2FVZPl3iuC9K1xi9lBw%3D","Link")</f>
        <v>Link</v>
      </c>
      <c r="B1752" s="2" t="s">
        <v>5710</v>
      </c>
      <c r="C1752" s="2" t="s">
        <v>5693</v>
      </c>
      <c r="D1752" s="2" t="s">
        <v>5694</v>
      </c>
      <c r="E1752" s="2" t="s">
        <v>5711</v>
      </c>
      <c r="F1752" s="2" t="s">
        <v>5706</v>
      </c>
      <c r="G1752" s="2" t="s">
        <v>5081</v>
      </c>
      <c r="H1752" s="7"/>
      <c r="I1752" s="2" t="s">
        <v>9</v>
      </c>
      <c r="J1752" t="s">
        <v>5706</v>
      </c>
      <c r="K1752" t="s">
        <v>7734</v>
      </c>
      <c r="L1752" s="2" t="s">
        <v>8707</v>
      </c>
      <c r="M1752" t="s">
        <v>8247</v>
      </c>
      <c r="N1752" s="4"/>
    </row>
    <row r="1753" spans="1:14" ht="65" x14ac:dyDescent="0.3">
      <c r="A1753" s="1" t="str">
        <f>HYPERLINK("https://ipmanager.doe.gov/IPManager//ExternalLink.aspx?6ibkph2k9yi6F%2B0Vz7YoTq6RR9BlGHHidRgwks6Uxvo%3D","Link")</f>
        <v>Link</v>
      </c>
      <c r="B1753" s="2" t="s">
        <v>5713</v>
      </c>
      <c r="C1753" s="2" t="s">
        <v>5693</v>
      </c>
      <c r="D1753" s="2" t="s">
        <v>5694</v>
      </c>
      <c r="E1753" s="2" t="s">
        <v>5714</v>
      </c>
      <c r="F1753" s="2" t="s">
        <v>5707</v>
      </c>
      <c r="G1753" s="2" t="s">
        <v>5715</v>
      </c>
      <c r="H1753" s="7"/>
      <c r="I1753" s="2" t="s">
        <v>9</v>
      </c>
      <c r="K1753" t="e">
        <v>#N/A</v>
      </c>
      <c r="L1753" s="2" t="s">
        <v>8707</v>
      </c>
      <c r="M1753" t="s">
        <v>8247</v>
      </c>
      <c r="N1753" s="4"/>
    </row>
    <row r="1754" spans="1:14" ht="39" x14ac:dyDescent="0.3">
      <c r="A1754" s="1" t="str">
        <f>HYPERLINK("https://ipmanager.doe.gov/IPManager//ExternalLink.aspx?6ibkph2k9yi6F%2B0Vz7YoTo7DPLa3%2F%2FGg5Tvvo075dww%3D","Link")</f>
        <v>Link</v>
      </c>
      <c r="B1754" s="2" t="s">
        <v>5716</v>
      </c>
      <c r="C1754" s="2" t="s">
        <v>5693</v>
      </c>
      <c r="D1754" s="2" t="s">
        <v>5694</v>
      </c>
      <c r="E1754" s="2" t="s">
        <v>5711</v>
      </c>
      <c r="F1754" s="2" t="s">
        <v>5712</v>
      </c>
      <c r="G1754" s="2" t="s">
        <v>5717</v>
      </c>
      <c r="H1754" s="7"/>
      <c r="I1754" s="2" t="s">
        <v>9</v>
      </c>
      <c r="K1754" t="e">
        <v>#N/A</v>
      </c>
      <c r="L1754" s="2" t="s">
        <v>8707</v>
      </c>
      <c r="M1754" t="s">
        <v>8247</v>
      </c>
      <c r="N1754" s="4"/>
    </row>
    <row r="1755" spans="1:14" ht="39" x14ac:dyDescent="0.3">
      <c r="A1755" s="1" t="str">
        <f>HYPERLINK("https://ipmanager.doe.gov/IPManager//ExternalLink.aspx?6ibkph2k9yi6F%2B0Vz7YoTsTAnuFk5EoAp7yROrz514s%3D","Link")</f>
        <v>Link</v>
      </c>
      <c r="B1755" s="2" t="s">
        <v>5728</v>
      </c>
      <c r="C1755" s="2" t="s">
        <v>5719</v>
      </c>
      <c r="D1755" s="2" t="s">
        <v>3094</v>
      </c>
      <c r="E1755" s="2" t="s">
        <v>5729</v>
      </c>
      <c r="F1755" s="2" t="s">
        <v>5730</v>
      </c>
      <c r="G1755" s="2" t="s">
        <v>5061</v>
      </c>
      <c r="H1755" s="7"/>
      <c r="I1755" s="2" t="s">
        <v>9</v>
      </c>
      <c r="K1755" t="e">
        <v>#N/A</v>
      </c>
      <c r="L1755" s="2" t="s">
        <v>8708</v>
      </c>
      <c r="M1755" t="s">
        <v>8248</v>
      </c>
      <c r="N1755" s="4"/>
    </row>
    <row r="1756" spans="1:14" ht="52" x14ac:dyDescent="0.3">
      <c r="A1756" s="1" t="str">
        <f>HYPERLINK("https://ipmanager.doe.gov/IPManager//ExternalLink.aspx?6ibkph2k9yi6F%2B0Vz7YoTq6RR9BlGHHibCUso0lv3dc%3D","Link")</f>
        <v>Link</v>
      </c>
      <c r="B1756" s="2" t="s">
        <v>5718</v>
      </c>
      <c r="C1756" s="2" t="s">
        <v>5719</v>
      </c>
      <c r="D1756" s="2" t="s">
        <v>3094</v>
      </c>
      <c r="E1756" s="2" t="s">
        <v>5720</v>
      </c>
      <c r="F1756" s="2"/>
      <c r="G1756" s="2" t="s">
        <v>9</v>
      </c>
      <c r="H1756" s="7"/>
      <c r="I1756" s="2" t="s">
        <v>9</v>
      </c>
      <c r="K1756" t="e">
        <v>#N/A</v>
      </c>
      <c r="L1756" s="2" t="s">
        <v>8708</v>
      </c>
      <c r="M1756" t="s">
        <v>8248</v>
      </c>
      <c r="N1756" s="4"/>
    </row>
    <row r="1757" spans="1:14" ht="26" x14ac:dyDescent="0.3">
      <c r="A1757" s="1" t="str">
        <f>HYPERLINK("https://ipmanager.doe.gov/IPManager//ExternalLink.aspx?6ibkph2k9yi6F%2B0Vz7YoTkqAgjuWMa9QW8V%2B1ol8BUI%3D","Link")</f>
        <v>Link</v>
      </c>
      <c r="B1757" s="2" t="s">
        <v>5722</v>
      </c>
      <c r="C1757" s="2" t="s">
        <v>5719</v>
      </c>
      <c r="D1757" s="2" t="s">
        <v>3094</v>
      </c>
      <c r="E1757" s="2" t="s">
        <v>5723</v>
      </c>
      <c r="F1757" s="2"/>
      <c r="G1757" s="2" t="s">
        <v>9</v>
      </c>
      <c r="H1757" s="7"/>
      <c r="I1757" s="2" t="s">
        <v>9</v>
      </c>
      <c r="K1757" t="e">
        <v>#N/A</v>
      </c>
      <c r="L1757" s="2" t="s">
        <v>8708</v>
      </c>
      <c r="M1757" t="s">
        <v>8248</v>
      </c>
      <c r="N1757" s="4"/>
    </row>
    <row r="1758" spans="1:14" ht="26" x14ac:dyDescent="0.3">
      <c r="A1758" s="1" t="str">
        <f>HYPERLINK("https://ipmanager.doe.gov/IPManager//ExternalLink.aspx?6ibkph2k9yi6F%2B0Vz7YoTsTAnuFk5EoArqth9XA83vg%3D","Link")</f>
        <v>Link</v>
      </c>
      <c r="B1758" s="2" t="s">
        <v>5724</v>
      </c>
      <c r="C1758" s="2" t="s">
        <v>5719</v>
      </c>
      <c r="D1758" s="2" t="s">
        <v>3094</v>
      </c>
      <c r="E1758" s="2" t="s">
        <v>5725</v>
      </c>
      <c r="F1758" s="2"/>
      <c r="G1758" s="2" t="s">
        <v>9</v>
      </c>
      <c r="H1758" s="7"/>
      <c r="I1758" s="2" t="s">
        <v>9</v>
      </c>
      <c r="K1758" t="e">
        <v>#N/A</v>
      </c>
      <c r="L1758" s="2" t="s">
        <v>8708</v>
      </c>
      <c r="M1758" t="s">
        <v>8248</v>
      </c>
      <c r="N1758" s="4"/>
    </row>
    <row r="1759" spans="1:14" ht="52" x14ac:dyDescent="0.3">
      <c r="A1759" s="1" t="str">
        <f>HYPERLINK("https://ipmanager.doe.gov/IPManager//ExternalLink.aspx?6ibkph2k9yi6F%2B0Vz7YoTsTAnuFk5EoArOCfteYJR9g%3D","Link")</f>
        <v>Link</v>
      </c>
      <c r="B1759" s="2" t="s">
        <v>5726</v>
      </c>
      <c r="C1759" s="2" t="s">
        <v>5719</v>
      </c>
      <c r="D1759" s="2" t="s">
        <v>3094</v>
      </c>
      <c r="E1759" s="2" t="s">
        <v>5727</v>
      </c>
      <c r="F1759" s="2"/>
      <c r="G1759" s="2" t="s">
        <v>9</v>
      </c>
      <c r="H1759" s="7"/>
      <c r="I1759" s="2" t="s">
        <v>9</v>
      </c>
      <c r="K1759" t="e">
        <v>#N/A</v>
      </c>
      <c r="L1759" s="2" t="s">
        <v>8708</v>
      </c>
      <c r="M1759" t="s">
        <v>8248</v>
      </c>
      <c r="N1759" s="4"/>
    </row>
    <row r="1760" spans="1:14" ht="26" x14ac:dyDescent="0.3">
      <c r="A1760" s="1" t="str">
        <f>HYPERLINK("https://ipmanager.doe.gov/IPManager//ExternalLink.aspx?6ibkph2k9yi6F%2B0Vz7YoTo7DPLa3%2F%2FGg3zuZF0iRfC8%3D","Link")</f>
        <v>Link</v>
      </c>
      <c r="B1760" s="2" t="s">
        <v>5731</v>
      </c>
      <c r="C1760" s="2" t="s">
        <v>5719</v>
      </c>
      <c r="D1760" s="2" t="s">
        <v>3094</v>
      </c>
      <c r="E1760" s="2" t="s">
        <v>5732</v>
      </c>
      <c r="F1760" s="2"/>
      <c r="G1760" s="2" t="s">
        <v>9</v>
      </c>
      <c r="H1760" s="7"/>
      <c r="I1760" s="2" t="s">
        <v>9</v>
      </c>
      <c r="K1760" t="e">
        <v>#N/A</v>
      </c>
      <c r="L1760" s="2" t="s">
        <v>8708</v>
      </c>
      <c r="M1760" t="s">
        <v>8248</v>
      </c>
      <c r="N1760" s="4"/>
    </row>
    <row r="1761" spans="1:14" ht="26" x14ac:dyDescent="0.3">
      <c r="A1761" s="1" t="str">
        <f>HYPERLINK("https://ipmanager.doe.gov/IPManager//ExternalLink.aspx?6ibkph2k9yi6F%2B0Vz7YoTo7DPLa3%2F%2FGg%2B3Hy40xvh5g%3D","Link")</f>
        <v>Link</v>
      </c>
      <c r="B1761" s="2" t="s">
        <v>5733</v>
      </c>
      <c r="C1761" s="2" t="s">
        <v>5719</v>
      </c>
      <c r="D1761" s="2" t="s">
        <v>3094</v>
      </c>
      <c r="E1761" s="2" t="s">
        <v>5734</v>
      </c>
      <c r="F1761" s="2"/>
      <c r="G1761" s="2" t="s">
        <v>9</v>
      </c>
      <c r="H1761" s="7"/>
      <c r="I1761" s="2" t="s">
        <v>9</v>
      </c>
      <c r="K1761" t="e">
        <v>#N/A</v>
      </c>
      <c r="L1761" s="2" t="s">
        <v>8708</v>
      </c>
      <c r="M1761" t="s">
        <v>8248</v>
      </c>
      <c r="N1761" s="4"/>
    </row>
    <row r="1762" spans="1:14" ht="65" x14ac:dyDescent="0.3">
      <c r="A1762" s="1" t="str">
        <f>HYPERLINK("https://ipmanager.doe.gov/IPManager//ExternalLink.aspx?6ibkph2k9yi6F%2B0Vz7YoTgZwfmYxrNyKxFCG8aevxLM%3D","Link")</f>
        <v>Link</v>
      </c>
      <c r="B1762" s="2" t="s">
        <v>5737</v>
      </c>
      <c r="C1762" s="2" t="s">
        <v>5736</v>
      </c>
      <c r="D1762" s="2" t="s">
        <v>4148</v>
      </c>
      <c r="E1762" s="2" t="s">
        <v>5738</v>
      </c>
      <c r="F1762" s="2" t="s">
        <v>5739</v>
      </c>
      <c r="G1762" s="2" t="s">
        <v>5740</v>
      </c>
      <c r="H1762" s="7"/>
      <c r="I1762" s="2" t="s">
        <v>9</v>
      </c>
      <c r="K1762" t="e">
        <v>#N/A</v>
      </c>
      <c r="L1762" s="2" t="s">
        <v>8602</v>
      </c>
      <c r="M1762" t="s">
        <v>8144</v>
      </c>
      <c r="N1762" s="4"/>
    </row>
    <row r="1763" spans="1:14" ht="52" x14ac:dyDescent="0.3">
      <c r="A1763" s="1" t="str">
        <f>HYPERLINK("https://ipmanager.doe.gov/IPManager//ExternalLink.aspx?6ibkph2k9yi6F%2B0Vz7YoTgZwfmYxrNyK5PjHMl8Epoo%3D","Link")</f>
        <v>Link</v>
      </c>
      <c r="B1763" s="2" t="s">
        <v>5741</v>
      </c>
      <c r="C1763" s="2" t="s">
        <v>5736</v>
      </c>
      <c r="D1763" s="2" t="s">
        <v>4148</v>
      </c>
      <c r="E1763" s="2" t="s">
        <v>5742</v>
      </c>
      <c r="F1763" s="2" t="s">
        <v>5743</v>
      </c>
      <c r="G1763" s="2" t="s">
        <v>5744</v>
      </c>
      <c r="H1763" s="7"/>
      <c r="I1763" s="2" t="s">
        <v>9</v>
      </c>
      <c r="J1763" t="s">
        <v>5743</v>
      </c>
      <c r="K1763" t="s">
        <v>7727</v>
      </c>
      <c r="L1763" s="2" t="s">
        <v>8602</v>
      </c>
      <c r="M1763" t="s">
        <v>8144</v>
      </c>
      <c r="N1763" s="4"/>
    </row>
    <row r="1764" spans="1:14" ht="52" x14ac:dyDescent="0.3">
      <c r="A1764" s="1" t="str">
        <f>HYPERLINK("https://ipmanager.doe.gov/IPManager//ExternalLink.aspx?6ibkph2k9yi6F%2B0Vz7YoTnXVN2REjGcWUOUlG%2FUJV8E%3D","Link")</f>
        <v>Link</v>
      </c>
      <c r="B1764" s="2" t="s">
        <v>5746</v>
      </c>
      <c r="C1764" s="2" t="s">
        <v>5736</v>
      </c>
      <c r="D1764" s="2" t="s">
        <v>4148</v>
      </c>
      <c r="E1764" s="2" t="s">
        <v>5742</v>
      </c>
      <c r="F1764" s="2" t="s">
        <v>5745</v>
      </c>
      <c r="G1764" s="2" t="s">
        <v>4320</v>
      </c>
      <c r="H1764" s="7"/>
      <c r="I1764" s="2" t="s">
        <v>9</v>
      </c>
      <c r="K1764" t="e">
        <v>#N/A</v>
      </c>
      <c r="L1764" s="2" t="s">
        <v>8602</v>
      </c>
      <c r="M1764" t="s">
        <v>8144</v>
      </c>
      <c r="N1764" s="4"/>
    </row>
    <row r="1765" spans="1:14" ht="65" x14ac:dyDescent="0.3">
      <c r="A1765" s="1" t="str">
        <f>HYPERLINK("https://ipmanager.doe.gov/IPManager//ExternalLink.aspx?6ibkph2k9yi6F%2B0Vz7YoTvPUg%2FVZPl3ijPr64j5gGxY%3D","Link")</f>
        <v>Link</v>
      </c>
      <c r="B1765" s="2" t="s">
        <v>5747</v>
      </c>
      <c r="C1765" s="2" t="s">
        <v>5736</v>
      </c>
      <c r="D1765" s="2" t="s">
        <v>4148</v>
      </c>
      <c r="E1765" s="2" t="s">
        <v>5738</v>
      </c>
      <c r="F1765" s="2" t="s">
        <v>5748</v>
      </c>
      <c r="G1765" s="2" t="s">
        <v>5740</v>
      </c>
      <c r="H1765" s="7"/>
      <c r="I1765" s="2" t="s">
        <v>9</v>
      </c>
      <c r="J1765" t="s">
        <v>5748</v>
      </c>
      <c r="K1765" t="s">
        <v>7666</v>
      </c>
      <c r="L1765" s="2" t="s">
        <v>8602</v>
      </c>
      <c r="M1765" t="s">
        <v>8144</v>
      </c>
      <c r="N1765" s="4"/>
    </row>
    <row r="1766" spans="1:14" ht="52" x14ac:dyDescent="0.3">
      <c r="A1766" s="1" t="str">
        <f>HYPERLINK("https://ipmanager.doe.gov/IPManager//ExternalLink.aspx?6ibkph2k9yi6F%2B0Vz7YoTq6RR9BlGHHimi2fqCyTvAc%3D","Link")</f>
        <v>Link</v>
      </c>
      <c r="B1766" s="2" t="s">
        <v>5749</v>
      </c>
      <c r="C1766" s="2" t="s">
        <v>5736</v>
      </c>
      <c r="D1766" s="2" t="s">
        <v>4148</v>
      </c>
      <c r="E1766" s="2" t="s">
        <v>5750</v>
      </c>
      <c r="F1766" s="2" t="s">
        <v>5751</v>
      </c>
      <c r="G1766" s="2" t="s">
        <v>2837</v>
      </c>
      <c r="H1766" s="7"/>
      <c r="I1766" s="2" t="s">
        <v>9</v>
      </c>
      <c r="J1766" t="s">
        <v>5751</v>
      </c>
      <c r="K1766" t="s">
        <v>7728</v>
      </c>
      <c r="L1766" s="2" t="s">
        <v>8602</v>
      </c>
      <c r="M1766" t="s">
        <v>8144</v>
      </c>
      <c r="N1766" s="4"/>
    </row>
    <row r="1767" spans="1:14" ht="52" x14ac:dyDescent="0.3">
      <c r="A1767" s="1" t="str">
        <f>HYPERLINK("https://ipmanager.doe.gov/IPManager//ExternalLink.aspx?6ibkph2k9yi6F%2B0Vz7YoTsTAnuFk5EoAGWyG7s63OW8%3D","Link")</f>
        <v>Link</v>
      </c>
      <c r="B1767" s="2" t="s">
        <v>5753</v>
      </c>
      <c r="C1767" s="2" t="s">
        <v>5736</v>
      </c>
      <c r="D1767" s="2" t="s">
        <v>4148</v>
      </c>
      <c r="E1767" s="2" t="s">
        <v>5750</v>
      </c>
      <c r="F1767" s="2" t="s">
        <v>5752</v>
      </c>
      <c r="G1767" s="2" t="s">
        <v>5096</v>
      </c>
      <c r="H1767" s="7"/>
      <c r="I1767" s="2" t="s">
        <v>9</v>
      </c>
      <c r="K1767" t="e">
        <v>#N/A</v>
      </c>
      <c r="L1767" s="2" t="s">
        <v>8602</v>
      </c>
      <c r="M1767" t="s">
        <v>8144</v>
      </c>
      <c r="N1767" s="4"/>
    </row>
    <row r="1768" spans="1:14" ht="26" x14ac:dyDescent="0.3">
      <c r="A1768" s="1" t="str">
        <f>HYPERLINK("https://ipmanager.doe.gov/IPManager//ExternalLink.aspx?6ibkph2k9yi6F%2B0Vz7YoTnXVN2REjGcW9MEBWLHrRz0%3D","Link")</f>
        <v>Link</v>
      </c>
      <c r="B1768" s="2" t="s">
        <v>5735</v>
      </c>
      <c r="C1768" s="2" t="s">
        <v>5736</v>
      </c>
      <c r="D1768" s="2" t="s">
        <v>4148</v>
      </c>
      <c r="E1768" s="2"/>
      <c r="F1768" s="2"/>
      <c r="G1768" s="2" t="s">
        <v>9</v>
      </c>
      <c r="H1768" s="7"/>
      <c r="I1768" s="2" t="s">
        <v>9</v>
      </c>
      <c r="K1768" t="e">
        <v>#N/A</v>
      </c>
      <c r="L1768" s="2" t="s">
        <v>8602</v>
      </c>
      <c r="M1768" t="s">
        <v>8144</v>
      </c>
      <c r="N1768" s="4"/>
    </row>
    <row r="1769" spans="1:14" ht="26" x14ac:dyDescent="0.3">
      <c r="A1769" s="1" t="str">
        <f>HYPERLINK("https://ipmanager.doe.gov/IPManager//ExternalLink.aspx?6ibkph2k9yi6F%2B0Vz7YoTp68px7nSN2gx698c6DKsac%3D","Link")</f>
        <v>Link</v>
      </c>
      <c r="B1769" s="2" t="s">
        <v>5754</v>
      </c>
      <c r="C1769" s="2" t="s">
        <v>5755</v>
      </c>
      <c r="D1769" s="2" t="s">
        <v>5064</v>
      </c>
      <c r="E1769" s="2" t="s">
        <v>5756</v>
      </c>
      <c r="F1769" s="2"/>
      <c r="G1769" s="2" t="s">
        <v>9</v>
      </c>
      <c r="H1769" s="7"/>
      <c r="I1769" s="2" t="s">
        <v>9</v>
      </c>
      <c r="K1769" t="e">
        <v>#N/A</v>
      </c>
      <c r="L1769" s="2" t="s">
        <v>8709</v>
      </c>
      <c r="M1769" t="s">
        <v>8249</v>
      </c>
      <c r="N1769" s="4"/>
    </row>
    <row r="1770" spans="1:14" ht="26" x14ac:dyDescent="0.3">
      <c r="A1770" s="1" t="str">
        <f>HYPERLINK("https://ipmanager.doe.gov/IPManager//ExternalLink.aspx?6ibkph2k9yi6F%2B0Vz7YoTgZwfmYxrNyKmmqddKTUsM0%3D","Link")</f>
        <v>Link</v>
      </c>
      <c r="B1770" s="2" t="s">
        <v>5757</v>
      </c>
      <c r="C1770" s="2" t="s">
        <v>5755</v>
      </c>
      <c r="D1770" s="2" t="s">
        <v>5064</v>
      </c>
      <c r="E1770" s="2" t="s">
        <v>5758</v>
      </c>
      <c r="F1770" s="2"/>
      <c r="G1770" s="2" t="s">
        <v>9</v>
      </c>
      <c r="H1770" s="7"/>
      <c r="I1770" s="2" t="s">
        <v>9</v>
      </c>
      <c r="K1770" t="e">
        <v>#N/A</v>
      </c>
      <c r="L1770" s="2" t="s">
        <v>8709</v>
      </c>
      <c r="M1770" t="s">
        <v>8249</v>
      </c>
      <c r="N1770" s="4"/>
    </row>
    <row r="1771" spans="1:14" ht="78" x14ac:dyDescent="0.3">
      <c r="A1771" s="1" t="str">
        <f>HYPERLINK("https://ipmanager.doe.gov/IPManager//ExternalLink.aspx?6ibkph2k9yi6F%2B0Vz7YoTgZwfmYxrNyKNJxr6I2TUeg%3D","Link")</f>
        <v>Link</v>
      </c>
      <c r="B1771" s="2" t="s">
        <v>5782</v>
      </c>
      <c r="C1771" s="2" t="s">
        <v>5760</v>
      </c>
      <c r="D1771" s="2" t="s">
        <v>4657</v>
      </c>
      <c r="E1771" s="2" t="s">
        <v>5783</v>
      </c>
      <c r="F1771" s="2" t="s">
        <v>5784</v>
      </c>
      <c r="G1771" s="2" t="s">
        <v>5785</v>
      </c>
      <c r="H1771" s="7"/>
      <c r="I1771" s="2" t="s">
        <v>9</v>
      </c>
      <c r="K1771" t="e">
        <v>#N/A</v>
      </c>
      <c r="L1771" s="2" t="s">
        <v>8710</v>
      </c>
      <c r="M1771" t="s">
        <v>8250</v>
      </c>
      <c r="N1771" s="4"/>
    </row>
    <row r="1772" spans="1:14" ht="39" x14ac:dyDescent="0.3">
      <c r="A1772" s="1" t="str">
        <f>HYPERLINK("https://ipmanager.doe.gov/IPManager//ExternalLink.aspx?6ibkph2k9yi6F%2B0Vz7YoTgZwfmYxrNyK8MqsQHE3ET8%3D","Link")</f>
        <v>Link</v>
      </c>
      <c r="B1772" s="2" t="s">
        <v>5786</v>
      </c>
      <c r="C1772" s="2" t="s">
        <v>5760</v>
      </c>
      <c r="D1772" s="2" t="s">
        <v>4657</v>
      </c>
      <c r="E1772" s="2" t="s">
        <v>5787</v>
      </c>
      <c r="F1772" s="2" t="s">
        <v>5788</v>
      </c>
      <c r="G1772" s="2" t="s">
        <v>5789</v>
      </c>
      <c r="H1772" s="7"/>
      <c r="I1772" s="2" t="s">
        <v>9</v>
      </c>
      <c r="K1772" t="e">
        <v>#N/A</v>
      </c>
      <c r="L1772" s="2" t="s">
        <v>8710</v>
      </c>
      <c r="M1772" t="s">
        <v>8250</v>
      </c>
      <c r="N1772" s="4"/>
    </row>
    <row r="1773" spans="1:14" ht="26" x14ac:dyDescent="0.3">
      <c r="A1773" s="1" t="str">
        <f>HYPERLINK("https://ipmanager.doe.gov/IPManager//ExternalLink.aspx?6ibkph2k9yi6F%2B0Vz7YoTp68px7nSN2g7TekidOi3S0%3D","Link")</f>
        <v>Link</v>
      </c>
      <c r="B1773" s="2" t="s">
        <v>5790</v>
      </c>
      <c r="C1773" s="2" t="s">
        <v>5760</v>
      </c>
      <c r="D1773" s="2" t="s">
        <v>4657</v>
      </c>
      <c r="E1773" s="2" t="s">
        <v>5791</v>
      </c>
      <c r="F1773" s="2" t="s">
        <v>5792</v>
      </c>
      <c r="G1773" s="2" t="s">
        <v>5793</v>
      </c>
      <c r="H1773" s="7"/>
      <c r="I1773" s="2" t="s">
        <v>9</v>
      </c>
      <c r="J1773" t="s">
        <v>5792</v>
      </c>
      <c r="K1773" t="s">
        <v>7952</v>
      </c>
      <c r="L1773" s="2" t="s">
        <v>8710</v>
      </c>
      <c r="M1773" t="s">
        <v>8250</v>
      </c>
      <c r="N1773" s="4"/>
    </row>
    <row r="1774" spans="1:14" ht="39" x14ac:dyDescent="0.3">
      <c r="A1774" s="1" t="str">
        <f>HYPERLINK("https://ipmanager.doe.gov/IPManager//ExternalLink.aspx?6ibkph2k9yi6F%2B0Vz7YoTp68px7nSN2gMQLhM4JC80Y%3D","Link")</f>
        <v>Link</v>
      </c>
      <c r="B1774" s="2" t="s">
        <v>5759</v>
      </c>
      <c r="C1774" s="2" t="s">
        <v>5760</v>
      </c>
      <c r="D1774" s="2" t="s">
        <v>5761</v>
      </c>
      <c r="E1774" s="2" t="s">
        <v>5762</v>
      </c>
      <c r="F1774" s="2"/>
      <c r="G1774" s="2" t="s">
        <v>9</v>
      </c>
      <c r="H1774" s="7"/>
      <c r="I1774" s="2" t="s">
        <v>9</v>
      </c>
      <c r="K1774" t="e">
        <v>#N/A</v>
      </c>
      <c r="L1774" s="2" t="s">
        <v>8710</v>
      </c>
      <c r="M1774" t="s">
        <v>8250</v>
      </c>
      <c r="N1774" s="4"/>
    </row>
    <row r="1775" spans="1:14" ht="52" x14ac:dyDescent="0.3">
      <c r="A1775" s="1" t="str">
        <f>HYPERLINK("https://ipmanager.doe.gov/IPManager//ExternalLink.aspx?6ibkph2k9yi6F%2B0Vz7YoTvPUg%2FVZPl3im17RQiTy34E%3D","Link")</f>
        <v>Link</v>
      </c>
      <c r="B1775" s="2" t="s">
        <v>5763</v>
      </c>
      <c r="C1775" s="2" t="s">
        <v>5760</v>
      </c>
      <c r="D1775" s="2" t="s">
        <v>4631</v>
      </c>
      <c r="E1775" s="2" t="s">
        <v>5764</v>
      </c>
      <c r="F1775" s="2"/>
      <c r="G1775" s="2" t="s">
        <v>9</v>
      </c>
      <c r="H1775" s="7"/>
      <c r="I1775" s="2" t="s">
        <v>9</v>
      </c>
      <c r="K1775" t="e">
        <v>#N/A</v>
      </c>
      <c r="L1775" s="2" t="s">
        <v>8710</v>
      </c>
      <c r="M1775" t="s">
        <v>8250</v>
      </c>
      <c r="N1775" s="4"/>
    </row>
    <row r="1776" spans="1:14" ht="52" x14ac:dyDescent="0.3">
      <c r="A1776" s="1" t="str">
        <f>HYPERLINK("https://ipmanager.doe.gov/IPManager//ExternalLink.aspx?6ibkph2k9yi6F%2B0Vz7YoThEBhkR3uHVrWHa36zDmVxI%3D","Link")</f>
        <v>Link</v>
      </c>
      <c r="B1776" s="2" t="s">
        <v>5765</v>
      </c>
      <c r="C1776" s="2" t="s">
        <v>5760</v>
      </c>
      <c r="D1776" s="2" t="s">
        <v>4631</v>
      </c>
      <c r="E1776" s="2" t="s">
        <v>5764</v>
      </c>
      <c r="F1776" s="2"/>
      <c r="G1776" s="2" t="s">
        <v>9</v>
      </c>
      <c r="H1776" s="7"/>
      <c r="I1776" s="2" t="s">
        <v>9</v>
      </c>
      <c r="K1776" t="e">
        <v>#N/A</v>
      </c>
      <c r="L1776" s="2" t="s">
        <v>8710</v>
      </c>
      <c r="M1776" t="s">
        <v>8250</v>
      </c>
      <c r="N1776" s="4"/>
    </row>
    <row r="1777" spans="1:14" ht="91" x14ac:dyDescent="0.3">
      <c r="A1777" s="1" t="str">
        <f>HYPERLINK("https://ipmanager.doe.gov/IPManager//ExternalLink.aspx?6ibkph2k9yi6F%2B0Vz7YoTnXVN2REjGcW13YY0cUFvaM%3D","Link")</f>
        <v>Link</v>
      </c>
      <c r="B1777" s="2" t="s">
        <v>5766</v>
      </c>
      <c r="C1777" s="2" t="s">
        <v>5760</v>
      </c>
      <c r="D1777" s="2" t="s">
        <v>4657</v>
      </c>
      <c r="E1777" s="2" t="s">
        <v>5767</v>
      </c>
      <c r="F1777" s="2"/>
      <c r="G1777" s="2" t="s">
        <v>9</v>
      </c>
      <c r="H1777" s="7"/>
      <c r="I1777" s="2" t="s">
        <v>9</v>
      </c>
      <c r="K1777" t="e">
        <v>#N/A</v>
      </c>
      <c r="L1777" s="2" t="s">
        <v>8710</v>
      </c>
      <c r="M1777" t="s">
        <v>8250</v>
      </c>
      <c r="N1777" s="4"/>
    </row>
    <row r="1778" spans="1:14" ht="39" x14ac:dyDescent="0.3">
      <c r="A1778" s="1" t="str">
        <f>HYPERLINK("https://ipmanager.doe.gov/IPManager//ExternalLink.aspx?6ibkph2k9yi6F%2B0Vz7YoTnXVN2REjGcW4jws%2BhkNQr8%3D","Link")</f>
        <v>Link</v>
      </c>
      <c r="B1778" s="2" t="s">
        <v>5768</v>
      </c>
      <c r="C1778" s="2" t="s">
        <v>5760</v>
      </c>
      <c r="D1778" s="2" t="s">
        <v>4657</v>
      </c>
      <c r="E1778" s="2" t="s">
        <v>5769</v>
      </c>
      <c r="F1778" s="2"/>
      <c r="G1778" s="2" t="s">
        <v>9</v>
      </c>
      <c r="H1778" s="7"/>
      <c r="I1778" s="2" t="s">
        <v>9</v>
      </c>
      <c r="K1778" t="e">
        <v>#N/A</v>
      </c>
      <c r="L1778" s="2" t="s">
        <v>8710</v>
      </c>
      <c r="M1778" t="s">
        <v>8250</v>
      </c>
      <c r="N1778" s="4"/>
    </row>
    <row r="1779" spans="1:14" ht="65" x14ac:dyDescent="0.3">
      <c r="A1779" s="1" t="str">
        <f>HYPERLINK("https://ipmanager.doe.gov/IPManager//ExternalLink.aspx?6ibkph2k9yi6F%2B0Vz7YoTq6RR9BlGHHiboQtBMnbeqs%3D","Link")</f>
        <v>Link</v>
      </c>
      <c r="B1779" s="2" t="s">
        <v>5770</v>
      </c>
      <c r="C1779" s="2" t="s">
        <v>5760</v>
      </c>
      <c r="D1779" s="2" t="s">
        <v>4657</v>
      </c>
      <c r="E1779" s="2" t="s">
        <v>5771</v>
      </c>
      <c r="F1779" s="2"/>
      <c r="G1779" s="2" t="s">
        <v>9</v>
      </c>
      <c r="H1779" s="7"/>
      <c r="I1779" s="2" t="s">
        <v>9</v>
      </c>
      <c r="K1779" t="e">
        <v>#N/A</v>
      </c>
      <c r="L1779" s="2" t="s">
        <v>8710</v>
      </c>
      <c r="M1779" t="s">
        <v>8250</v>
      </c>
      <c r="N1779" s="4"/>
    </row>
    <row r="1780" spans="1:14" ht="39" x14ac:dyDescent="0.3">
      <c r="A1780" s="1" t="str">
        <f>HYPERLINK("https://ipmanager.doe.gov/IPManager//ExternalLink.aspx?6ibkph2k9yi6F%2B0Vz7YoTq6RR9BlGHHiP2XK%2FcpCC4A%3D","Link")</f>
        <v>Link</v>
      </c>
      <c r="B1780" s="2" t="s">
        <v>5772</v>
      </c>
      <c r="C1780" s="2" t="s">
        <v>5760</v>
      </c>
      <c r="D1780" s="2" t="s">
        <v>5761</v>
      </c>
      <c r="E1780" s="2" t="s">
        <v>5773</v>
      </c>
      <c r="F1780" s="2"/>
      <c r="G1780" s="2" t="s">
        <v>9</v>
      </c>
      <c r="H1780" s="7"/>
      <c r="I1780" s="2" t="s">
        <v>9</v>
      </c>
      <c r="K1780" t="e">
        <v>#N/A</v>
      </c>
      <c r="L1780" s="2" t="s">
        <v>8710</v>
      </c>
      <c r="M1780" t="s">
        <v>8250</v>
      </c>
      <c r="N1780" s="4"/>
    </row>
    <row r="1781" spans="1:14" ht="39" x14ac:dyDescent="0.3">
      <c r="A1781" s="1" t="str">
        <f>HYPERLINK("https://ipmanager.doe.gov/IPManager//ExternalLink.aspx?6ibkph2k9yi6F%2B0Vz7YoTq6RR9BlGHHit89YRpydXLM%3D","Link")</f>
        <v>Link</v>
      </c>
      <c r="B1781" s="2" t="s">
        <v>5774</v>
      </c>
      <c r="C1781" s="2" t="s">
        <v>5760</v>
      </c>
      <c r="D1781" s="2" t="s">
        <v>4657</v>
      </c>
      <c r="E1781" s="2" t="s">
        <v>5775</v>
      </c>
      <c r="F1781" s="2"/>
      <c r="G1781" s="2" t="s">
        <v>9</v>
      </c>
      <c r="H1781" s="7"/>
      <c r="I1781" s="2" t="s">
        <v>9</v>
      </c>
      <c r="K1781" t="e">
        <v>#N/A</v>
      </c>
      <c r="L1781" s="2" t="s">
        <v>8710</v>
      </c>
      <c r="M1781" t="s">
        <v>8250</v>
      </c>
      <c r="N1781" s="4"/>
    </row>
    <row r="1782" spans="1:14" ht="65" x14ac:dyDescent="0.3">
      <c r="A1782" s="1" t="str">
        <f>HYPERLINK("https://ipmanager.doe.gov/IPManager//ExternalLink.aspx?6ibkph2k9yi6F%2B0Vz7YoTvPUg%2FVZPl3i3smLSpr%2FHQA%3D","Link")</f>
        <v>Link</v>
      </c>
      <c r="B1782" s="2" t="s">
        <v>5776</v>
      </c>
      <c r="C1782" s="2" t="s">
        <v>5760</v>
      </c>
      <c r="D1782" s="2" t="s">
        <v>4657</v>
      </c>
      <c r="E1782" s="2" t="s">
        <v>5777</v>
      </c>
      <c r="F1782" s="2"/>
      <c r="G1782" s="2" t="s">
        <v>9</v>
      </c>
      <c r="H1782" s="7"/>
      <c r="I1782" s="2" t="s">
        <v>9</v>
      </c>
      <c r="K1782" t="e">
        <v>#N/A</v>
      </c>
      <c r="L1782" s="2" t="s">
        <v>8710</v>
      </c>
      <c r="M1782" t="s">
        <v>8250</v>
      </c>
      <c r="N1782" s="4"/>
    </row>
    <row r="1783" spans="1:14" ht="52" x14ac:dyDescent="0.3">
      <c r="A1783" s="1" t="str">
        <f>HYPERLINK("https://ipmanager.doe.gov/IPManager//ExternalLink.aspx?6ibkph2k9yi6F%2B0Vz7YoTnXVN2REjGcWfa%2B8GYMFOAE%3D","Link")</f>
        <v>Link</v>
      </c>
      <c r="B1783" s="2" t="s">
        <v>5778</v>
      </c>
      <c r="C1783" s="2" t="s">
        <v>5760</v>
      </c>
      <c r="D1783" s="2" t="s">
        <v>4657</v>
      </c>
      <c r="E1783" s="2" t="s">
        <v>5779</v>
      </c>
      <c r="F1783" s="2"/>
      <c r="G1783" s="2" t="s">
        <v>9</v>
      </c>
      <c r="H1783" s="7"/>
      <c r="I1783" s="2" t="s">
        <v>9</v>
      </c>
      <c r="K1783" t="e">
        <v>#N/A</v>
      </c>
      <c r="L1783" s="2" t="s">
        <v>8710</v>
      </c>
      <c r="M1783" t="s">
        <v>8250</v>
      </c>
      <c r="N1783" s="4"/>
    </row>
    <row r="1784" spans="1:14" ht="65" x14ac:dyDescent="0.3">
      <c r="A1784" s="1" t="str">
        <f>HYPERLINK("https://ipmanager.doe.gov/IPManager//ExternalLink.aspx?6ibkph2k9yi6F%2B0Vz7YoTvPUg%2FVZPl3iVI8h0Fu4lPk%3D","Link")</f>
        <v>Link</v>
      </c>
      <c r="B1784" s="2" t="s">
        <v>5780</v>
      </c>
      <c r="C1784" s="2" t="s">
        <v>5760</v>
      </c>
      <c r="D1784" s="2" t="s">
        <v>4657</v>
      </c>
      <c r="E1784" s="2" t="s">
        <v>5781</v>
      </c>
      <c r="F1784" s="2"/>
      <c r="G1784" s="2" t="s">
        <v>9</v>
      </c>
      <c r="H1784" s="7"/>
      <c r="I1784" s="2" t="s">
        <v>9</v>
      </c>
      <c r="K1784" t="e">
        <v>#N/A</v>
      </c>
      <c r="L1784" s="2" t="s">
        <v>8710</v>
      </c>
      <c r="M1784" t="s">
        <v>8250</v>
      </c>
      <c r="N1784" s="4"/>
    </row>
    <row r="1785" spans="1:14" ht="26" x14ac:dyDescent="0.3">
      <c r="A1785" s="1" t="str">
        <f>HYPERLINK("https://ipmanager.doe.gov/IPManager//ExternalLink.aspx?6ibkph2k9yi6F%2B0Vz7YoTq6RR9BlGHHiyJDX2VH5iuM%3D","Link")</f>
        <v>Link</v>
      </c>
      <c r="B1785" s="2" t="s">
        <v>5794</v>
      </c>
      <c r="C1785" s="2" t="s">
        <v>5795</v>
      </c>
      <c r="D1785" s="2" t="s">
        <v>3184</v>
      </c>
      <c r="E1785" s="2" t="s">
        <v>5796</v>
      </c>
      <c r="F1785" s="2" t="s">
        <v>5797</v>
      </c>
      <c r="G1785" s="2" t="s">
        <v>5703</v>
      </c>
      <c r="H1785" s="7"/>
      <c r="I1785" s="2" t="s">
        <v>9</v>
      </c>
      <c r="K1785" t="e">
        <v>#N/A</v>
      </c>
      <c r="L1785" s="2" t="s">
        <v>8711</v>
      </c>
      <c r="M1785" t="s">
        <v>8251</v>
      </c>
      <c r="N1785" s="4"/>
    </row>
    <row r="1786" spans="1:14" ht="39" x14ac:dyDescent="0.3">
      <c r="A1786" s="1" t="str">
        <f>HYPERLINK("https://ipmanager.doe.gov/IPManager//ExternalLink.aspx?6ibkph2k9yi6F%2B0Vz7YoTvPUg%2FVZPl3iAeE12YgaaMg%3D","Link")</f>
        <v>Link</v>
      </c>
      <c r="B1786" s="2" t="s">
        <v>5800</v>
      </c>
      <c r="C1786" s="2" t="s">
        <v>5795</v>
      </c>
      <c r="D1786" s="2" t="s">
        <v>3184</v>
      </c>
      <c r="E1786" s="2" t="s">
        <v>5801</v>
      </c>
      <c r="F1786" s="2" t="s">
        <v>5802</v>
      </c>
      <c r="G1786" s="2" t="s">
        <v>5803</v>
      </c>
      <c r="H1786" s="7"/>
      <c r="I1786" s="2" t="s">
        <v>9</v>
      </c>
      <c r="K1786" t="e">
        <v>#N/A</v>
      </c>
      <c r="L1786" s="2" t="s">
        <v>8711</v>
      </c>
      <c r="M1786" t="s">
        <v>8251</v>
      </c>
      <c r="N1786" s="4"/>
    </row>
    <row r="1787" spans="1:14" ht="26" x14ac:dyDescent="0.3">
      <c r="A1787" s="1" t="str">
        <f>HYPERLINK("https://ipmanager.doe.gov/IPManager//ExternalLink.aspx?6ibkph2k9yi6F%2B0Vz7YoTvPUg%2FVZPl3iHfYWKaPZKCI%3D","Link")</f>
        <v>Link</v>
      </c>
      <c r="B1787" s="2" t="s">
        <v>5804</v>
      </c>
      <c r="C1787" s="2" t="s">
        <v>5795</v>
      </c>
      <c r="D1787" s="2" t="s">
        <v>3184</v>
      </c>
      <c r="E1787" s="2" t="s">
        <v>5796</v>
      </c>
      <c r="F1787" s="2" t="s">
        <v>5805</v>
      </c>
      <c r="G1787" s="2" t="s">
        <v>5703</v>
      </c>
      <c r="H1787" s="7"/>
      <c r="I1787" s="2" t="s">
        <v>9</v>
      </c>
      <c r="J1787" t="s">
        <v>5805</v>
      </c>
      <c r="K1787" t="s">
        <v>7665</v>
      </c>
      <c r="L1787" s="2" t="s">
        <v>8711</v>
      </c>
      <c r="M1787" t="s">
        <v>8251</v>
      </c>
      <c r="N1787" s="4"/>
    </row>
    <row r="1788" spans="1:14" ht="52" x14ac:dyDescent="0.3">
      <c r="A1788" s="1" t="str">
        <f>HYPERLINK("https://ipmanager.doe.gov/IPManager//ExternalLink.aspx?6ibkph2k9yi6F%2B0Vz7YoTnXVN2REjGcWFBYoyMIOJyA%3D","Link")</f>
        <v>Link</v>
      </c>
      <c r="B1788" s="2" t="s">
        <v>5798</v>
      </c>
      <c r="C1788" s="2" t="s">
        <v>5795</v>
      </c>
      <c r="D1788" s="2" t="s">
        <v>3184</v>
      </c>
      <c r="E1788" s="2" t="s">
        <v>5799</v>
      </c>
      <c r="F1788" s="2"/>
      <c r="G1788" s="2" t="s">
        <v>9</v>
      </c>
      <c r="H1788" s="7"/>
      <c r="I1788" s="2" t="s">
        <v>9</v>
      </c>
      <c r="K1788" t="e">
        <v>#N/A</v>
      </c>
      <c r="L1788" s="2" t="s">
        <v>8711</v>
      </c>
      <c r="M1788" t="s">
        <v>8251</v>
      </c>
      <c r="N1788" s="4"/>
    </row>
    <row r="1789" spans="1:14" ht="52" x14ac:dyDescent="0.3">
      <c r="A1789" s="1" t="str">
        <f>HYPERLINK("https://ipmanager.doe.gov/IPManager//ExternalLink.aspx?6ibkph2k9yi6F%2B0Vz7YoTvPUg%2FVZPl3iPJcM1l0FdJ0%3D","Link")</f>
        <v>Link</v>
      </c>
      <c r="B1789" s="2" t="s">
        <v>5806</v>
      </c>
      <c r="C1789" s="2" t="s">
        <v>5807</v>
      </c>
      <c r="D1789" s="2" t="s">
        <v>5808</v>
      </c>
      <c r="E1789" s="2" t="s">
        <v>5809</v>
      </c>
      <c r="F1789" s="2" t="s">
        <v>5810</v>
      </c>
      <c r="G1789" s="2" t="s">
        <v>5811</v>
      </c>
      <c r="H1789" s="7"/>
      <c r="I1789" s="2" t="s">
        <v>9</v>
      </c>
      <c r="J1789" t="s">
        <v>5810</v>
      </c>
      <c r="K1789" t="s">
        <v>7709</v>
      </c>
      <c r="L1789" s="2" t="s">
        <v>8712</v>
      </c>
      <c r="M1789" t="s">
        <v>8252</v>
      </c>
      <c r="N1789" s="4"/>
    </row>
    <row r="1790" spans="1:14" ht="52" x14ac:dyDescent="0.3">
      <c r="A1790" s="1" t="str">
        <f>HYPERLINK("https://ipmanager.doe.gov/IPManager//ExternalLink.aspx?6ibkph2k9yi6F%2B0Vz7YoTp68px7nSN2gk3aP1cBE%2BjU%3D","Link")</f>
        <v>Link</v>
      </c>
      <c r="B1790" s="2" t="s">
        <v>5813</v>
      </c>
      <c r="C1790" s="2" t="s">
        <v>5807</v>
      </c>
      <c r="D1790" s="2" t="s">
        <v>5808</v>
      </c>
      <c r="E1790" s="2" t="s">
        <v>5809</v>
      </c>
      <c r="F1790" s="2" t="s">
        <v>5812</v>
      </c>
      <c r="G1790" s="2" t="s">
        <v>3738</v>
      </c>
      <c r="H1790" s="7"/>
      <c r="I1790" s="2" t="s">
        <v>9</v>
      </c>
      <c r="K1790" t="e">
        <v>#N/A</v>
      </c>
      <c r="L1790" s="2" t="s">
        <v>8712</v>
      </c>
      <c r="M1790" t="s">
        <v>8252</v>
      </c>
      <c r="N1790" s="4"/>
    </row>
    <row r="1791" spans="1:14" ht="26" x14ac:dyDescent="0.3">
      <c r="A1791" s="1" t="str">
        <f>HYPERLINK("https://ipmanager.doe.gov/IPManager//ExternalLink.aspx?6ibkph2k9yi6F%2B0Vz7YoTo7DPLa3%2F%2FGg4NfKDlrsMXI%3D","Link")</f>
        <v>Link</v>
      </c>
      <c r="B1791" s="2" t="s">
        <v>5818</v>
      </c>
      <c r="C1791" s="2" t="s">
        <v>5815</v>
      </c>
      <c r="D1791" s="2" t="s">
        <v>5816</v>
      </c>
      <c r="E1791" s="2" t="s">
        <v>5819</v>
      </c>
      <c r="F1791" s="2" t="s">
        <v>5820</v>
      </c>
      <c r="G1791" s="2" t="s">
        <v>5821</v>
      </c>
      <c r="H1791" s="7"/>
      <c r="I1791" s="2" t="s">
        <v>9</v>
      </c>
      <c r="K1791" t="e">
        <v>#N/A</v>
      </c>
      <c r="L1791" s="2" t="s">
        <v>8713</v>
      </c>
      <c r="M1791" t="s">
        <v>8253</v>
      </c>
      <c r="N1791" s="4"/>
    </row>
    <row r="1792" spans="1:14" ht="26" x14ac:dyDescent="0.3">
      <c r="A1792" s="1" t="str">
        <f>HYPERLINK("https://ipmanager.doe.gov/IPManager//ExternalLink.aspx?6ibkph2k9yi6F%2B0Vz7YoTkqAgjuWMa9QJSlFqucvGJ8%3D","Link")</f>
        <v>Link</v>
      </c>
      <c r="B1792" s="2" t="s">
        <v>5814</v>
      </c>
      <c r="C1792" s="2" t="s">
        <v>5815</v>
      </c>
      <c r="D1792" s="2" t="s">
        <v>5816</v>
      </c>
      <c r="E1792" s="2" t="s">
        <v>5817</v>
      </c>
      <c r="F1792" s="2"/>
      <c r="G1792" s="2" t="s">
        <v>9</v>
      </c>
      <c r="H1792" s="7"/>
      <c r="I1792" s="2" t="s">
        <v>9</v>
      </c>
      <c r="K1792" t="e">
        <v>#N/A</v>
      </c>
      <c r="L1792" s="2" t="s">
        <v>8713</v>
      </c>
      <c r="M1792" t="s">
        <v>8253</v>
      </c>
      <c r="N1792" s="4"/>
    </row>
    <row r="1793" spans="1:14" ht="65" x14ac:dyDescent="0.3">
      <c r="A1793" s="1" t="str">
        <f>HYPERLINK("https://ipmanager.doe.gov/IPManager//ExternalLink.aspx?6ibkph2k9yi6F%2B0Vz7YoTsTAnuFk5EoAeUSstDeemss%3D","Link")</f>
        <v>Link</v>
      </c>
      <c r="B1793" s="2" t="s">
        <v>5822</v>
      </c>
      <c r="C1793" s="2" t="s">
        <v>5815</v>
      </c>
      <c r="D1793" s="2" t="s">
        <v>5823</v>
      </c>
      <c r="E1793" s="2" t="s">
        <v>5824</v>
      </c>
      <c r="F1793" s="2"/>
      <c r="G1793" s="2" t="s">
        <v>9</v>
      </c>
      <c r="H1793" s="7"/>
      <c r="I1793" s="2" t="s">
        <v>9</v>
      </c>
      <c r="K1793" t="e">
        <v>#N/A</v>
      </c>
      <c r="L1793" s="2" t="s">
        <v>8713</v>
      </c>
      <c r="M1793" t="s">
        <v>8253</v>
      </c>
      <c r="N1793" s="4"/>
    </row>
    <row r="1794" spans="1:14" ht="39" x14ac:dyDescent="0.3">
      <c r="A1794" s="1" t="str">
        <f>HYPERLINK("https://ipmanager.doe.gov/IPManager//ExternalLink.aspx?6ibkph2k9yi6F%2B0Vz7YoTvPUg%2FVZPl3ilW6umwvX78I%3D","Link")</f>
        <v>Link</v>
      </c>
      <c r="B1794" s="2" t="s">
        <v>5826</v>
      </c>
      <c r="C1794" s="2" t="s">
        <v>5827</v>
      </c>
      <c r="D1794" s="2" t="s">
        <v>1474</v>
      </c>
      <c r="E1794" s="2" t="s">
        <v>5828</v>
      </c>
      <c r="F1794" s="2" t="s">
        <v>5829</v>
      </c>
      <c r="G1794" s="2" t="s">
        <v>5830</v>
      </c>
      <c r="H1794" s="7"/>
      <c r="I1794" s="2" t="s">
        <v>9</v>
      </c>
      <c r="K1794" t="e">
        <v>#N/A</v>
      </c>
      <c r="L1794" s="2" t="s">
        <v>8714</v>
      </c>
      <c r="M1794" t="s">
        <v>8254</v>
      </c>
      <c r="N1794" s="4"/>
    </row>
    <row r="1795" spans="1:14" ht="39" x14ac:dyDescent="0.3">
      <c r="A1795" s="1" t="str">
        <f>HYPERLINK("https://ipmanager.doe.gov/IPManager//ExternalLink.aspx?6ibkph2k9yi6F%2B0Vz7YoTvPUg%2FVZPl3i9Z1AOCl6gr8%3D","Link")</f>
        <v>Link</v>
      </c>
      <c r="B1795" s="2" t="s">
        <v>5831</v>
      </c>
      <c r="C1795" s="2" t="s">
        <v>5827</v>
      </c>
      <c r="D1795" s="2" t="s">
        <v>1474</v>
      </c>
      <c r="E1795" s="2" t="s">
        <v>5832</v>
      </c>
      <c r="F1795" s="2" t="s">
        <v>5833</v>
      </c>
      <c r="G1795" s="2" t="s">
        <v>2712</v>
      </c>
      <c r="H1795" s="7"/>
      <c r="I1795" s="2" t="s">
        <v>9</v>
      </c>
      <c r="K1795" t="e">
        <v>#N/A</v>
      </c>
      <c r="L1795" s="2" t="s">
        <v>8714</v>
      </c>
      <c r="M1795" t="s">
        <v>8254</v>
      </c>
      <c r="N1795" s="4"/>
    </row>
    <row r="1796" spans="1:14" ht="39" x14ac:dyDescent="0.3">
      <c r="A1796" s="1" t="str">
        <f>HYPERLINK("https://ipmanager.doe.gov/IPManager//ExternalLink.aspx?6ibkph2k9yi6F%2B0Vz7YoTp68px7nSN2gfA7KB1V1Z84%3D","Link")</f>
        <v>Link</v>
      </c>
      <c r="B1796" s="2" t="s">
        <v>5834</v>
      </c>
      <c r="C1796" s="2" t="s">
        <v>5827</v>
      </c>
      <c r="D1796" s="2" t="s">
        <v>1474</v>
      </c>
      <c r="E1796" s="2" t="s">
        <v>5835</v>
      </c>
      <c r="F1796" s="2" t="s">
        <v>5836</v>
      </c>
      <c r="G1796" s="2" t="s">
        <v>5830</v>
      </c>
      <c r="H1796" s="7"/>
      <c r="I1796" s="2" t="s">
        <v>9</v>
      </c>
      <c r="K1796" t="e">
        <v>#N/A</v>
      </c>
      <c r="L1796" s="2" t="s">
        <v>8714</v>
      </c>
      <c r="M1796" t="s">
        <v>8254</v>
      </c>
      <c r="N1796" s="4"/>
    </row>
    <row r="1797" spans="1:14" ht="39" x14ac:dyDescent="0.3">
      <c r="A1797" s="1" t="str">
        <f>HYPERLINK("https://ipmanager.doe.gov/IPManager//ExternalLink.aspx?6ibkph2k9yi6F%2B0Vz7YoTo7DPLa3%2F%2FGg0H%2BjxX6Chqc%3D","Link")</f>
        <v>Link</v>
      </c>
      <c r="B1797" s="2" t="s">
        <v>5838</v>
      </c>
      <c r="C1797" s="2" t="s">
        <v>5827</v>
      </c>
      <c r="D1797" s="2" t="s">
        <v>1474</v>
      </c>
      <c r="E1797" s="2" t="s">
        <v>5839</v>
      </c>
      <c r="F1797" s="2" t="s">
        <v>5840</v>
      </c>
      <c r="G1797" s="2" t="s">
        <v>5837</v>
      </c>
      <c r="H1797" s="7"/>
      <c r="I1797" s="2" t="s">
        <v>9</v>
      </c>
      <c r="K1797" t="e">
        <v>#N/A</v>
      </c>
      <c r="L1797" s="2" t="s">
        <v>8714</v>
      </c>
      <c r="M1797" t="s">
        <v>8254</v>
      </c>
      <c r="N1797" s="4"/>
    </row>
    <row r="1798" spans="1:14" ht="39" x14ac:dyDescent="0.3">
      <c r="A1798" s="1" t="str">
        <f>HYPERLINK("https://ipmanager.doe.gov/IPManager//ExternalLink.aspx?6ibkph2k9yi6F%2B0Vz7YoTnXVN2REjGcWByI1pzdxYfM%3D","Link")</f>
        <v>Link</v>
      </c>
      <c r="B1798" s="2" t="s">
        <v>5853</v>
      </c>
      <c r="C1798" s="2" t="s">
        <v>5842</v>
      </c>
      <c r="D1798" s="2" t="s">
        <v>4169</v>
      </c>
      <c r="E1798" s="2" t="s">
        <v>5854</v>
      </c>
      <c r="F1798" s="2" t="s">
        <v>5855</v>
      </c>
      <c r="G1798" s="2" t="s">
        <v>5856</v>
      </c>
      <c r="H1798" s="7"/>
      <c r="I1798" s="2" t="s">
        <v>9</v>
      </c>
      <c r="K1798" t="e">
        <v>#N/A</v>
      </c>
      <c r="L1798" s="2" t="s">
        <v>8715</v>
      </c>
      <c r="M1798" t="s">
        <v>8255</v>
      </c>
      <c r="N1798" s="4"/>
    </row>
    <row r="1799" spans="1:14" ht="52" x14ac:dyDescent="0.3">
      <c r="A1799" s="1" t="str">
        <f>HYPERLINK("https://ipmanager.doe.gov/IPManager//ExternalLink.aspx?6ibkph2k9yi6F%2B0Vz7YoTkqAgjuWMa9QnTmuiPy%2Fmtw%3D","Link")</f>
        <v>Link</v>
      </c>
      <c r="B1799" s="2" t="s">
        <v>5862</v>
      </c>
      <c r="C1799" s="2" t="s">
        <v>5842</v>
      </c>
      <c r="D1799" s="2" t="s">
        <v>4169</v>
      </c>
      <c r="E1799" s="2" t="s">
        <v>5863</v>
      </c>
      <c r="F1799" s="2" t="s">
        <v>5864</v>
      </c>
      <c r="G1799" s="2" t="s">
        <v>2623</v>
      </c>
      <c r="H1799" s="7"/>
      <c r="I1799" s="2" t="s">
        <v>9</v>
      </c>
      <c r="K1799" t="e">
        <v>#N/A</v>
      </c>
      <c r="L1799" s="2" t="s">
        <v>8715</v>
      </c>
      <c r="M1799" t="s">
        <v>8255</v>
      </c>
      <c r="N1799" s="4"/>
    </row>
    <row r="1800" spans="1:14" ht="78" x14ac:dyDescent="0.3">
      <c r="A1800" s="1" t="str">
        <f>HYPERLINK("https://ipmanager.doe.gov/IPManager//ExternalLink.aspx?6ibkph2k9yi6F%2B0Vz7YoTsTAnuFk5EoAZCFiO4mAsVQ%3D","Link")</f>
        <v>Link</v>
      </c>
      <c r="B1800" s="2" t="s">
        <v>5841</v>
      </c>
      <c r="C1800" s="2" t="s">
        <v>5842</v>
      </c>
      <c r="D1800" s="2" t="s">
        <v>5843</v>
      </c>
      <c r="E1800" s="2" t="s">
        <v>5844</v>
      </c>
      <c r="F1800" s="2"/>
      <c r="G1800" s="2" t="s">
        <v>9</v>
      </c>
      <c r="H1800" s="7"/>
      <c r="I1800" s="2" t="s">
        <v>9</v>
      </c>
      <c r="K1800" t="e">
        <v>#N/A</v>
      </c>
      <c r="L1800" s="2" t="s">
        <v>8715</v>
      </c>
      <c r="M1800" t="s">
        <v>8255</v>
      </c>
      <c r="N1800" s="4"/>
    </row>
    <row r="1801" spans="1:14" ht="78" x14ac:dyDescent="0.3">
      <c r="A1801" s="1" t="str">
        <f>HYPERLINK("https://ipmanager.doe.gov/IPManager//ExternalLink.aspx?6ibkph2k9yi6F%2B0Vz7YoTjnDGhmGHGI7GzoYxpCAeMk%3D","Link")</f>
        <v>Link</v>
      </c>
      <c r="B1801" s="2" t="s">
        <v>5845</v>
      </c>
      <c r="C1801" s="2" t="s">
        <v>5842</v>
      </c>
      <c r="D1801" s="2" t="s">
        <v>5843</v>
      </c>
      <c r="E1801" s="2" t="s">
        <v>5846</v>
      </c>
      <c r="F1801" s="2"/>
      <c r="G1801" s="2" t="s">
        <v>9</v>
      </c>
      <c r="H1801" s="7"/>
      <c r="I1801" s="2" t="s">
        <v>9</v>
      </c>
      <c r="K1801" t="e">
        <v>#N/A</v>
      </c>
      <c r="L1801" s="2" t="s">
        <v>8715</v>
      </c>
      <c r="M1801" t="s">
        <v>8255</v>
      </c>
      <c r="N1801" s="4"/>
    </row>
    <row r="1802" spans="1:14" ht="39" x14ac:dyDescent="0.3">
      <c r="A1802" s="1" t="str">
        <f>HYPERLINK("https://ipmanager.doe.gov/IPManager//ExternalLink.aspx?6ibkph2k9yi6F%2B0Vz7YoTo7DPLa3%2F%2FGgx3rKbIBgnN8%3D","Link")</f>
        <v>Link</v>
      </c>
      <c r="B1802" s="2" t="s">
        <v>5847</v>
      </c>
      <c r="C1802" s="2" t="s">
        <v>5842</v>
      </c>
      <c r="D1802" s="2" t="s">
        <v>5843</v>
      </c>
      <c r="E1802" s="2" t="s">
        <v>5848</v>
      </c>
      <c r="F1802" s="2"/>
      <c r="G1802" s="2" t="s">
        <v>9</v>
      </c>
      <c r="H1802" s="7"/>
      <c r="I1802" s="2" t="s">
        <v>9</v>
      </c>
      <c r="K1802" t="e">
        <v>#N/A</v>
      </c>
      <c r="L1802" s="2" t="s">
        <v>8715</v>
      </c>
      <c r="M1802" t="s">
        <v>8255</v>
      </c>
      <c r="N1802" s="4"/>
    </row>
    <row r="1803" spans="1:14" ht="91" x14ac:dyDescent="0.3">
      <c r="A1803" s="1" t="str">
        <f>HYPERLINK("https://ipmanager.doe.gov/IPManager//ExternalLink.aspx?6ibkph2k9yi6F%2B0Vz7YoTnXVN2REjGcWYt%2Ffe9yCiEE%3D","Link")</f>
        <v>Link</v>
      </c>
      <c r="B1803" s="2" t="s">
        <v>5849</v>
      </c>
      <c r="C1803" s="2" t="s">
        <v>5842</v>
      </c>
      <c r="D1803" s="2" t="s">
        <v>5843</v>
      </c>
      <c r="E1803" s="2" t="s">
        <v>5850</v>
      </c>
      <c r="F1803" s="2"/>
      <c r="G1803" s="2" t="s">
        <v>9</v>
      </c>
      <c r="H1803" s="7"/>
      <c r="I1803" s="2" t="s">
        <v>9</v>
      </c>
      <c r="K1803" t="e">
        <v>#N/A</v>
      </c>
      <c r="L1803" s="2" t="s">
        <v>8715</v>
      </c>
      <c r="M1803" t="s">
        <v>8255</v>
      </c>
      <c r="N1803" s="4"/>
    </row>
    <row r="1804" spans="1:14" ht="39" x14ac:dyDescent="0.3">
      <c r="A1804" s="1" t="str">
        <f>HYPERLINK("https://ipmanager.doe.gov/IPManager//ExternalLink.aspx?6ibkph2k9yi6F%2B0Vz7YoTnXVN2REjGcWrfqdT6mLaMM%3D","Link")</f>
        <v>Link</v>
      </c>
      <c r="B1804" s="2" t="s">
        <v>5851</v>
      </c>
      <c r="C1804" s="2" t="s">
        <v>5842</v>
      </c>
      <c r="D1804" s="2" t="s">
        <v>5843</v>
      </c>
      <c r="E1804" s="2" t="s">
        <v>5852</v>
      </c>
      <c r="F1804" s="2"/>
      <c r="G1804" s="2" t="s">
        <v>9</v>
      </c>
      <c r="H1804" s="7"/>
      <c r="I1804" s="2" t="s">
        <v>9</v>
      </c>
      <c r="K1804" t="e">
        <v>#N/A</v>
      </c>
      <c r="L1804" s="2" t="s">
        <v>8715</v>
      </c>
      <c r="M1804" t="s">
        <v>8255</v>
      </c>
      <c r="N1804" s="4"/>
    </row>
    <row r="1805" spans="1:14" ht="39" x14ac:dyDescent="0.3">
      <c r="A1805" s="1" t="str">
        <f>HYPERLINK("https://ipmanager.doe.gov/IPManager//ExternalLink.aspx?6ibkph2k9yi6F%2B0Vz7YoTnXVN2REjGcWjfZaaGOwFPo%3D","Link")</f>
        <v>Link</v>
      </c>
      <c r="B1805" s="2" t="s">
        <v>5857</v>
      </c>
      <c r="C1805" s="2" t="s">
        <v>5842</v>
      </c>
      <c r="D1805" s="2" t="s">
        <v>5843</v>
      </c>
      <c r="E1805" s="2" t="s">
        <v>5848</v>
      </c>
      <c r="F1805" s="2"/>
      <c r="G1805" s="2" t="s">
        <v>9</v>
      </c>
      <c r="H1805" s="7"/>
      <c r="I1805" s="2" t="s">
        <v>9</v>
      </c>
      <c r="K1805" t="e">
        <v>#N/A</v>
      </c>
      <c r="L1805" s="2" t="s">
        <v>8715</v>
      </c>
      <c r="M1805" t="s">
        <v>8255</v>
      </c>
      <c r="N1805" s="4"/>
    </row>
    <row r="1806" spans="1:14" ht="52" x14ac:dyDescent="0.3">
      <c r="A1806" s="1" t="str">
        <f>HYPERLINK("https://ipmanager.doe.gov/IPManager//ExternalLink.aspx?6ibkph2k9yi6F%2B0Vz7YoTvPUg%2FVZPl3iT2Vd1%2FU9sJA%3D","Link")</f>
        <v>Link</v>
      </c>
      <c r="B1806" s="2" t="s">
        <v>5858</v>
      </c>
      <c r="C1806" s="2" t="s">
        <v>5842</v>
      </c>
      <c r="D1806" s="2" t="s">
        <v>5843</v>
      </c>
      <c r="E1806" s="2" t="s">
        <v>5859</v>
      </c>
      <c r="F1806" s="2"/>
      <c r="G1806" s="2" t="s">
        <v>9</v>
      </c>
      <c r="H1806" s="7"/>
      <c r="I1806" s="2" t="s">
        <v>9</v>
      </c>
      <c r="K1806" t="e">
        <v>#N/A</v>
      </c>
      <c r="L1806" s="2" t="s">
        <v>8715</v>
      </c>
      <c r="M1806" t="s">
        <v>8255</v>
      </c>
      <c r="N1806" s="4"/>
    </row>
    <row r="1807" spans="1:14" ht="39" x14ac:dyDescent="0.3">
      <c r="A1807" s="1" t="str">
        <f>HYPERLINK("https://ipmanager.doe.gov/IPManager//ExternalLink.aspx?6ibkph2k9yi6F%2B0Vz7YoTkqAgjuWMa9QkAkoeF9Lu%2Fs%3D","Link")</f>
        <v>Link</v>
      </c>
      <c r="B1807" s="2" t="s">
        <v>5860</v>
      </c>
      <c r="C1807" s="2" t="s">
        <v>5842</v>
      </c>
      <c r="D1807" s="2" t="s">
        <v>5843</v>
      </c>
      <c r="E1807" s="2" t="s">
        <v>5861</v>
      </c>
      <c r="F1807" s="2"/>
      <c r="G1807" s="2" t="s">
        <v>9</v>
      </c>
      <c r="H1807" s="7"/>
      <c r="I1807" s="2" t="s">
        <v>9</v>
      </c>
      <c r="K1807" t="e">
        <v>#N/A</v>
      </c>
      <c r="L1807" s="2" t="s">
        <v>8715</v>
      </c>
      <c r="M1807" t="s">
        <v>8255</v>
      </c>
      <c r="N1807" s="4"/>
    </row>
    <row r="1808" spans="1:14" ht="39" x14ac:dyDescent="0.3">
      <c r="A1808" s="1" t="str">
        <f>HYPERLINK("https://ipmanager.doe.gov/IPManager//ExternalLink.aspx?6ibkph2k9yi6F%2B0Vz7YoTkqAgjuWMa9QWshofE0IDNE%3D","Link")</f>
        <v>Link</v>
      </c>
      <c r="B1808" s="2" t="s">
        <v>5865</v>
      </c>
      <c r="C1808" s="2" t="s">
        <v>5842</v>
      </c>
      <c r="D1808" s="2" t="s">
        <v>5866</v>
      </c>
      <c r="E1808" s="2" t="s">
        <v>5867</v>
      </c>
      <c r="F1808" s="2"/>
      <c r="G1808" s="2" t="s">
        <v>9</v>
      </c>
      <c r="H1808" s="7"/>
      <c r="I1808" s="2" t="s">
        <v>9</v>
      </c>
      <c r="K1808" t="e">
        <v>#N/A</v>
      </c>
      <c r="L1808" s="2" t="s">
        <v>8715</v>
      </c>
      <c r="M1808" t="s">
        <v>8255</v>
      </c>
      <c r="N1808" s="4"/>
    </row>
    <row r="1809" spans="1:14" ht="39" x14ac:dyDescent="0.3">
      <c r="A1809" s="1" t="str">
        <f>HYPERLINK("https://ipmanager.doe.gov/IPManager//ExternalLink.aspx?6ibkph2k9yi6F%2B0Vz7YoTvPUg%2FVZPl3iN7OVi%2FA3j3c%3D","Link")</f>
        <v>Link</v>
      </c>
      <c r="B1809" s="2" t="s">
        <v>5868</v>
      </c>
      <c r="C1809" s="2" t="s">
        <v>5842</v>
      </c>
      <c r="D1809" s="2" t="s">
        <v>5843</v>
      </c>
      <c r="E1809" s="2" t="s">
        <v>5869</v>
      </c>
      <c r="F1809" s="2"/>
      <c r="G1809" s="2" t="s">
        <v>9</v>
      </c>
      <c r="H1809" s="7"/>
      <c r="I1809" s="2" t="s">
        <v>9</v>
      </c>
      <c r="K1809" t="e">
        <v>#N/A</v>
      </c>
      <c r="L1809" s="2" t="s">
        <v>8715</v>
      </c>
      <c r="M1809" t="s">
        <v>8255</v>
      </c>
      <c r="N1809" s="4"/>
    </row>
    <row r="1810" spans="1:14" ht="65" x14ac:dyDescent="0.3">
      <c r="A1810" s="1" t="str">
        <f>HYPERLINK("https://ipmanager.doe.gov/IPManager//ExternalLink.aspx?6ibkph2k9yi6F%2B0Vz7YoTq6RR9BlGHHiapB9wA%2BcRCg%3D","Link")</f>
        <v>Link</v>
      </c>
      <c r="B1810" s="2" t="s">
        <v>5870</v>
      </c>
      <c r="C1810" s="2" t="s">
        <v>5842</v>
      </c>
      <c r="D1810" s="2" t="s">
        <v>5843</v>
      </c>
      <c r="E1810" s="2" t="s">
        <v>5871</v>
      </c>
      <c r="F1810" s="2"/>
      <c r="G1810" s="2" t="s">
        <v>9</v>
      </c>
      <c r="H1810" s="7"/>
      <c r="I1810" s="2" t="s">
        <v>9</v>
      </c>
      <c r="K1810" t="e">
        <v>#N/A</v>
      </c>
      <c r="L1810" s="2" t="s">
        <v>8715</v>
      </c>
      <c r="M1810" t="s">
        <v>8255</v>
      </c>
      <c r="N1810" s="4"/>
    </row>
    <row r="1811" spans="1:14" ht="52" x14ac:dyDescent="0.3">
      <c r="A1811" s="1" t="str">
        <f>HYPERLINK("https://ipmanager.doe.gov/IPManager//ExternalLink.aspx?6ibkph2k9yi6F%2B0Vz7YoTu0g4zH%2BOsvykBB%2FsBZcPRU%3D","Link")</f>
        <v>Link</v>
      </c>
      <c r="B1811" s="2" t="s">
        <v>5872</v>
      </c>
      <c r="C1811" s="2" t="s">
        <v>5842</v>
      </c>
      <c r="D1811" s="2" t="s">
        <v>5843</v>
      </c>
      <c r="E1811" s="2" t="s">
        <v>5859</v>
      </c>
      <c r="F1811" s="2"/>
      <c r="G1811" s="2" t="s">
        <v>9</v>
      </c>
      <c r="H1811" s="7"/>
      <c r="I1811" s="2" t="s">
        <v>9</v>
      </c>
      <c r="K1811" t="e">
        <v>#N/A</v>
      </c>
      <c r="L1811" s="2" t="s">
        <v>8715</v>
      </c>
      <c r="M1811" t="s">
        <v>8255</v>
      </c>
      <c r="N1811" s="4"/>
    </row>
    <row r="1812" spans="1:14" ht="39" x14ac:dyDescent="0.3">
      <c r="A1812" s="1" t="str">
        <f>HYPERLINK("https://ipmanager.doe.gov/IPManager//ExternalLink.aspx?6ibkph2k9yi6F%2B0Vz7YoTu0g4zH%2BOsvya5%2B5Kw5h18s%3D","Link")</f>
        <v>Link</v>
      </c>
      <c r="B1812" s="2" t="s">
        <v>5873</v>
      </c>
      <c r="C1812" s="2" t="s">
        <v>5842</v>
      </c>
      <c r="D1812" s="2" t="s">
        <v>5843</v>
      </c>
      <c r="E1812" s="2" t="s">
        <v>5874</v>
      </c>
      <c r="F1812" s="2"/>
      <c r="G1812" s="2" t="s">
        <v>9</v>
      </c>
      <c r="H1812" s="7"/>
      <c r="I1812" s="2" t="s">
        <v>9</v>
      </c>
      <c r="K1812" t="e">
        <v>#N/A</v>
      </c>
      <c r="L1812" s="2" t="s">
        <v>8715</v>
      </c>
      <c r="M1812" t="s">
        <v>8255</v>
      </c>
      <c r="N1812" s="4"/>
    </row>
    <row r="1813" spans="1:14" ht="39" x14ac:dyDescent="0.3">
      <c r="A1813" s="1" t="str">
        <f>HYPERLINK("https://ipmanager.doe.gov/IPManager//ExternalLink.aspx?6ibkph2k9yi6F%2B0Vz7YoTq6RR9BlGHHi3115UGY%2FqZc%3D","Link")</f>
        <v>Link</v>
      </c>
      <c r="B1813" s="2" t="s">
        <v>5875</v>
      </c>
      <c r="C1813" s="2" t="s">
        <v>5842</v>
      </c>
      <c r="D1813" s="2" t="s">
        <v>5843</v>
      </c>
      <c r="E1813" s="2" t="s">
        <v>5876</v>
      </c>
      <c r="F1813" s="2"/>
      <c r="G1813" s="2" t="s">
        <v>9</v>
      </c>
      <c r="H1813" s="7"/>
      <c r="I1813" s="2" t="s">
        <v>9</v>
      </c>
      <c r="K1813" t="e">
        <v>#N/A</v>
      </c>
      <c r="L1813" s="2" t="s">
        <v>8715</v>
      </c>
      <c r="M1813" t="s">
        <v>8255</v>
      </c>
      <c r="N1813" s="4"/>
    </row>
    <row r="1814" spans="1:14" ht="52" x14ac:dyDescent="0.3">
      <c r="A1814" s="1" t="str">
        <f>HYPERLINK("https://ipmanager.doe.gov/IPManager//ExternalLink.aspx?6ibkph2k9yi6F%2B0Vz7YoTq6RR9BlGHHivaT6F%2F9WAGI%3D","Link")</f>
        <v>Link</v>
      </c>
      <c r="B1814" s="2" t="s">
        <v>5877</v>
      </c>
      <c r="C1814" s="2" t="s">
        <v>5842</v>
      </c>
      <c r="D1814" s="2" t="s">
        <v>5843</v>
      </c>
      <c r="E1814" s="2" t="s">
        <v>5878</v>
      </c>
      <c r="F1814" s="2"/>
      <c r="G1814" s="2" t="s">
        <v>9</v>
      </c>
      <c r="H1814" s="7"/>
      <c r="I1814" s="2" t="s">
        <v>9</v>
      </c>
      <c r="K1814" t="e">
        <v>#N/A</v>
      </c>
      <c r="L1814" s="2" t="s">
        <v>8715</v>
      </c>
      <c r="M1814" t="s">
        <v>8255</v>
      </c>
      <c r="N1814" s="4"/>
    </row>
    <row r="1815" spans="1:14" ht="39" x14ac:dyDescent="0.3">
      <c r="A1815" s="1" t="str">
        <f>HYPERLINK("https://ipmanager.doe.gov/IPManager//ExternalLink.aspx?6ibkph2k9yi6F%2B0Vz7YoTq6RR9BlGHHi0kRJf1%2F7%2B50%3D","Link")</f>
        <v>Link</v>
      </c>
      <c r="B1815" s="2" t="s">
        <v>5879</v>
      </c>
      <c r="C1815" s="2" t="s">
        <v>5842</v>
      </c>
      <c r="D1815" s="2" t="s">
        <v>5843</v>
      </c>
      <c r="E1815" s="2" t="s">
        <v>5867</v>
      </c>
      <c r="F1815" s="2"/>
      <c r="G1815" s="2" t="s">
        <v>9</v>
      </c>
      <c r="H1815" s="7"/>
      <c r="I1815" s="2" t="s">
        <v>9</v>
      </c>
      <c r="K1815" t="e">
        <v>#N/A</v>
      </c>
      <c r="L1815" s="2" t="s">
        <v>8715</v>
      </c>
      <c r="M1815" t="s">
        <v>8255</v>
      </c>
      <c r="N1815" s="4"/>
    </row>
    <row r="1816" spans="1:14" ht="52" x14ac:dyDescent="0.3">
      <c r="A1816" s="1" t="str">
        <f>HYPERLINK("https://ipmanager.doe.gov/IPManager//ExternalLink.aspx?6ibkph2k9yi6F%2B0Vz7YoTq6RR9BlGHHiGCLRk6XQFN8%3D","Link")</f>
        <v>Link</v>
      </c>
      <c r="B1816" s="2" t="s">
        <v>5880</v>
      </c>
      <c r="C1816" s="2" t="s">
        <v>5842</v>
      </c>
      <c r="D1816" s="2" t="s">
        <v>5843</v>
      </c>
      <c r="E1816" s="2" t="s">
        <v>5881</v>
      </c>
      <c r="F1816" s="2"/>
      <c r="G1816" s="2" t="s">
        <v>9</v>
      </c>
      <c r="H1816" s="7"/>
      <c r="I1816" s="2" t="s">
        <v>9</v>
      </c>
      <c r="K1816" t="e">
        <v>#N/A</v>
      </c>
      <c r="L1816" s="2" t="s">
        <v>8715</v>
      </c>
      <c r="M1816" t="s">
        <v>8255</v>
      </c>
      <c r="N1816" s="4"/>
    </row>
    <row r="1817" spans="1:14" ht="52" x14ac:dyDescent="0.3">
      <c r="A1817" s="1" t="str">
        <f>HYPERLINK("https://ipmanager.doe.gov/IPManager//ExternalLink.aspx?6ibkph2k9yi6F%2B0Vz7YoTq6RR9BlGHHiSehuYV4MsYU%3D","Link")</f>
        <v>Link</v>
      </c>
      <c r="B1817" s="2" t="s">
        <v>5882</v>
      </c>
      <c r="C1817" s="2" t="s">
        <v>5842</v>
      </c>
      <c r="D1817" s="2" t="s">
        <v>5843</v>
      </c>
      <c r="E1817" s="2" t="s">
        <v>5883</v>
      </c>
      <c r="F1817" s="2"/>
      <c r="G1817" s="2" t="s">
        <v>9</v>
      </c>
      <c r="H1817" s="7"/>
      <c r="I1817" s="2" t="s">
        <v>9</v>
      </c>
      <c r="K1817" t="e">
        <v>#N/A</v>
      </c>
      <c r="L1817" s="2" t="s">
        <v>8715</v>
      </c>
      <c r="M1817" t="s">
        <v>8255</v>
      </c>
      <c r="N1817" s="4"/>
    </row>
    <row r="1818" spans="1:14" ht="65" x14ac:dyDescent="0.3">
      <c r="A1818" s="1" t="str">
        <f>HYPERLINK("https://ipmanager.doe.gov/IPManager//ExternalLink.aspx?6ibkph2k9yi6F%2B0Vz7YoThEBhkR3uHVr5KZ3lsjm%2F8w%3D","Link")</f>
        <v>Link</v>
      </c>
      <c r="B1818" s="2" t="s">
        <v>5884</v>
      </c>
      <c r="C1818" s="2" t="s">
        <v>5842</v>
      </c>
      <c r="D1818" s="2" t="s">
        <v>5843</v>
      </c>
      <c r="E1818" s="2" t="s">
        <v>5885</v>
      </c>
      <c r="F1818" s="2"/>
      <c r="G1818" s="2" t="s">
        <v>9</v>
      </c>
      <c r="H1818" s="7"/>
      <c r="I1818" s="2" t="s">
        <v>9</v>
      </c>
      <c r="K1818" t="e">
        <v>#N/A</v>
      </c>
      <c r="L1818" s="2" t="s">
        <v>8715</v>
      </c>
      <c r="M1818" t="s">
        <v>8255</v>
      </c>
      <c r="N1818" s="4"/>
    </row>
    <row r="1819" spans="1:14" ht="39" x14ac:dyDescent="0.3">
      <c r="A1819" s="1" t="str">
        <f>HYPERLINK("https://ipmanager.doe.gov/IPManager//ExternalLink.aspx?6ibkph2k9yi6F%2B0Vz7YoTo7DPLa3%2F%2FGg9N3q35vEy8A%3D","Link")</f>
        <v>Link</v>
      </c>
      <c r="B1819" s="2" t="s">
        <v>5886</v>
      </c>
      <c r="C1819" s="2" t="s">
        <v>5842</v>
      </c>
      <c r="D1819" s="2" t="s">
        <v>5843</v>
      </c>
      <c r="E1819" s="2" t="s">
        <v>5887</v>
      </c>
      <c r="F1819" s="2"/>
      <c r="G1819" s="2" t="s">
        <v>9</v>
      </c>
      <c r="H1819" s="7"/>
      <c r="I1819" s="2" t="s">
        <v>9</v>
      </c>
      <c r="K1819" t="e">
        <v>#N/A</v>
      </c>
      <c r="L1819" s="2" t="s">
        <v>8715</v>
      </c>
      <c r="M1819" t="s">
        <v>8255</v>
      </c>
      <c r="N1819" s="4"/>
    </row>
    <row r="1820" spans="1:14" ht="78" x14ac:dyDescent="0.3">
      <c r="A1820" s="1" t="str">
        <f>HYPERLINK("https://ipmanager.doe.gov/IPManager//ExternalLink.aspx?6ibkph2k9yi6F%2B0Vz7YoTo7DPLa3%2F%2FGgabMh%2F%2FkStLg%3D","Link")</f>
        <v>Link</v>
      </c>
      <c r="B1820" s="2" t="s">
        <v>5888</v>
      </c>
      <c r="C1820" s="2" t="s">
        <v>5842</v>
      </c>
      <c r="D1820" s="2" t="s">
        <v>5843</v>
      </c>
      <c r="E1820" s="2" t="s">
        <v>5889</v>
      </c>
      <c r="F1820" s="2"/>
      <c r="G1820" s="2" t="s">
        <v>9</v>
      </c>
      <c r="H1820" s="7"/>
      <c r="I1820" s="2" t="s">
        <v>9</v>
      </c>
      <c r="K1820" t="e">
        <v>#N/A</v>
      </c>
      <c r="L1820" s="2" t="s">
        <v>8715</v>
      </c>
      <c r="M1820" t="s">
        <v>8255</v>
      </c>
      <c r="N1820" s="4"/>
    </row>
    <row r="1821" spans="1:14" ht="52" x14ac:dyDescent="0.3">
      <c r="A1821" s="1" t="str">
        <f>HYPERLINK("https://ipmanager.doe.gov/IPManager//ExternalLink.aspx?6ibkph2k9yi6F%2B0Vz7YoTo7DPLa3%2F%2FGgm%2FdYVCjBasI%3D","Link")</f>
        <v>Link</v>
      </c>
      <c r="B1821" s="2" t="s">
        <v>5890</v>
      </c>
      <c r="C1821" s="2" t="s">
        <v>5842</v>
      </c>
      <c r="D1821" s="2" t="s">
        <v>5843</v>
      </c>
      <c r="E1821" s="2" t="s">
        <v>5891</v>
      </c>
      <c r="F1821" s="2"/>
      <c r="G1821" s="2" t="s">
        <v>9</v>
      </c>
      <c r="H1821" s="7"/>
      <c r="I1821" s="2" t="s">
        <v>9</v>
      </c>
      <c r="K1821" t="e">
        <v>#N/A</v>
      </c>
      <c r="L1821" s="2" t="s">
        <v>8715</v>
      </c>
      <c r="M1821" t="s">
        <v>8255</v>
      </c>
      <c r="N1821" s="4"/>
    </row>
    <row r="1822" spans="1:14" ht="39" x14ac:dyDescent="0.3">
      <c r="A1822" s="1" t="str">
        <f>HYPERLINK("https://ipmanager.doe.gov/IPManager//ExternalLink.aspx?6ibkph2k9yi6F%2B0Vz7YoTvPUg%2FVZPl3iTQdNPafOl0s%3D","Link")</f>
        <v>Link</v>
      </c>
      <c r="B1822" s="2" t="s">
        <v>5892</v>
      </c>
      <c r="C1822" s="2" t="s">
        <v>5842</v>
      </c>
      <c r="D1822" s="2" t="s">
        <v>5866</v>
      </c>
      <c r="E1822" s="2" t="s">
        <v>5893</v>
      </c>
      <c r="F1822" s="2"/>
      <c r="G1822" s="2" t="s">
        <v>9</v>
      </c>
      <c r="H1822" s="7"/>
      <c r="I1822" s="2" t="s">
        <v>9</v>
      </c>
      <c r="K1822" t="e">
        <v>#N/A</v>
      </c>
      <c r="L1822" s="2" t="s">
        <v>8715</v>
      </c>
      <c r="M1822" t="s">
        <v>8255</v>
      </c>
      <c r="N1822" s="4"/>
    </row>
    <row r="1823" spans="1:14" ht="39" x14ac:dyDescent="0.3">
      <c r="A1823" s="1" t="str">
        <f>HYPERLINK("https://ipmanager.doe.gov/IPManager//ExternalLink.aspx?6ibkph2k9yi6F%2B0Vz7YoTo7DPLa3%2F%2FGgXin1xbKgmTk%3D","Link")</f>
        <v>Link</v>
      </c>
      <c r="B1823" s="2" t="s">
        <v>5894</v>
      </c>
      <c r="C1823" s="2" t="s">
        <v>5842</v>
      </c>
      <c r="D1823" s="2" t="s">
        <v>5843</v>
      </c>
      <c r="E1823" s="2" t="s">
        <v>5861</v>
      </c>
      <c r="F1823" s="2"/>
      <c r="G1823" s="2" t="s">
        <v>9</v>
      </c>
      <c r="H1823" s="7"/>
      <c r="I1823" s="2" t="s">
        <v>9</v>
      </c>
      <c r="K1823" t="e">
        <v>#N/A</v>
      </c>
      <c r="L1823" s="2" t="s">
        <v>8715</v>
      </c>
      <c r="M1823" t="s">
        <v>8255</v>
      </c>
      <c r="N1823" s="4"/>
    </row>
    <row r="1824" spans="1:14" ht="26" x14ac:dyDescent="0.3">
      <c r="A1824" s="1" t="str">
        <f>HYPERLINK("https://ipmanager.doe.gov/IPManager//ExternalLink.aspx?6ibkph2k9yi6F%2B0Vz7YoTq6RR9BlGHHicy%2BOi1eyI1g%3D","Link")</f>
        <v>Link</v>
      </c>
      <c r="B1824" s="2" t="s">
        <v>5895</v>
      </c>
      <c r="C1824" s="2" t="s">
        <v>5896</v>
      </c>
      <c r="D1824" s="2" t="s">
        <v>5897</v>
      </c>
      <c r="E1824" s="2" t="s">
        <v>5898</v>
      </c>
      <c r="F1824" s="2" t="s">
        <v>5899</v>
      </c>
      <c r="G1824" s="2" t="s">
        <v>4716</v>
      </c>
      <c r="H1824" s="7"/>
      <c r="I1824" s="2" t="s">
        <v>9</v>
      </c>
      <c r="K1824" t="e">
        <v>#N/A</v>
      </c>
      <c r="L1824" s="2" t="s">
        <v>8716</v>
      </c>
      <c r="M1824" t="s">
        <v>8256</v>
      </c>
      <c r="N1824" s="4"/>
    </row>
    <row r="1825" spans="1:14" ht="26" x14ac:dyDescent="0.3">
      <c r="A1825" s="1" t="str">
        <f>HYPERLINK("https://ipmanager.doe.gov/IPManager//ExternalLink.aspx?6ibkph2k9yi6F%2B0Vz7YoTnXVN2REjGcWx7TpoSu1wrw%3D","Link")</f>
        <v>Link</v>
      </c>
      <c r="B1825" s="2" t="s">
        <v>5901</v>
      </c>
      <c r="C1825" s="2" t="s">
        <v>5896</v>
      </c>
      <c r="D1825" s="2" t="s">
        <v>5897</v>
      </c>
      <c r="E1825" s="2" t="s">
        <v>5898</v>
      </c>
      <c r="F1825" s="2" t="s">
        <v>5902</v>
      </c>
      <c r="G1825" s="2" t="s">
        <v>3466</v>
      </c>
      <c r="H1825" s="7"/>
      <c r="I1825" s="2" t="s">
        <v>9</v>
      </c>
      <c r="J1825" t="s">
        <v>5902</v>
      </c>
      <c r="K1825" t="s">
        <v>7771</v>
      </c>
      <c r="L1825" s="2" t="s">
        <v>8716</v>
      </c>
      <c r="M1825" t="s">
        <v>8256</v>
      </c>
      <c r="N1825" s="4"/>
    </row>
    <row r="1826" spans="1:14" ht="26" x14ac:dyDescent="0.3">
      <c r="A1826" s="1" t="str">
        <f>HYPERLINK("https://ipmanager.doe.gov/IPManager//ExternalLink.aspx?6ibkph2k9yi6F%2B0Vz7YoTo7DPLa3%2F%2FGgJ%2FRrVyOkT%2FI%3D","Link")</f>
        <v>Link</v>
      </c>
      <c r="B1826" s="2" t="s">
        <v>5903</v>
      </c>
      <c r="C1826" s="2" t="s">
        <v>5896</v>
      </c>
      <c r="D1826" s="2" t="s">
        <v>5897</v>
      </c>
      <c r="E1826" s="2" t="s">
        <v>5898</v>
      </c>
      <c r="F1826" s="2" t="s">
        <v>5904</v>
      </c>
      <c r="G1826" s="2" t="s">
        <v>5905</v>
      </c>
      <c r="H1826" s="7"/>
      <c r="I1826" s="2" t="s">
        <v>9</v>
      </c>
      <c r="K1826" t="e">
        <v>#N/A</v>
      </c>
      <c r="L1826" s="2" t="s">
        <v>8716</v>
      </c>
      <c r="M1826" t="s">
        <v>8256</v>
      </c>
      <c r="N1826" s="4"/>
    </row>
    <row r="1827" spans="1:14" ht="26" x14ac:dyDescent="0.3">
      <c r="A1827" s="1" t="str">
        <f>HYPERLINK("https://ipmanager.doe.gov/IPManager//ExternalLink.aspx?6ibkph2k9yi6F%2B0Vz7YoTq6RR9BlGHHiGFJbNtPugSk%3D","Link")</f>
        <v>Link</v>
      </c>
      <c r="B1827" s="2" t="s">
        <v>5900</v>
      </c>
      <c r="C1827" s="2" t="s">
        <v>5896</v>
      </c>
      <c r="D1827" s="2" t="s">
        <v>5897</v>
      </c>
      <c r="E1827" s="2" t="s">
        <v>5898</v>
      </c>
      <c r="F1827" s="2"/>
      <c r="G1827" s="2" t="s">
        <v>9</v>
      </c>
      <c r="H1827" s="7"/>
      <c r="I1827" s="2" t="s">
        <v>9</v>
      </c>
      <c r="K1827" t="e">
        <v>#N/A</v>
      </c>
      <c r="L1827" s="2" t="s">
        <v>8716</v>
      </c>
      <c r="M1827" t="s">
        <v>8256</v>
      </c>
      <c r="N1827" s="4"/>
    </row>
    <row r="1828" spans="1:14" ht="26" x14ac:dyDescent="0.3">
      <c r="A1828" s="1" t="str">
        <f>HYPERLINK("https://ipmanager.doe.gov/IPManager//ExternalLink.aspx?6ibkph2k9yi6F%2B0Vz7YoTnXVN2REjGcWsYZPmmjxxXY%3D","Link")</f>
        <v>Link</v>
      </c>
      <c r="B1828" s="2" t="s">
        <v>5906</v>
      </c>
      <c r="C1828" s="2" t="s">
        <v>5907</v>
      </c>
      <c r="D1828" s="2" t="s">
        <v>3527</v>
      </c>
      <c r="E1828" s="2" t="s">
        <v>5908</v>
      </c>
      <c r="F1828" s="2" t="s">
        <v>5909</v>
      </c>
      <c r="G1828" s="2" t="s">
        <v>5910</v>
      </c>
      <c r="H1828" s="7"/>
      <c r="I1828" s="2" t="s">
        <v>9</v>
      </c>
      <c r="K1828" t="e">
        <v>#N/A</v>
      </c>
      <c r="L1828" s="2" t="s">
        <v>8717</v>
      </c>
      <c r="M1828" t="s">
        <v>8257</v>
      </c>
      <c r="N1828" s="4"/>
    </row>
    <row r="1829" spans="1:14" ht="26" x14ac:dyDescent="0.3">
      <c r="A1829" s="1" t="str">
        <f>HYPERLINK("https://ipmanager.doe.gov/IPManager//ExternalLink.aspx?6ibkph2k9yi6F%2B0Vz7YoTvPUg%2FVZPl3iH67qbB%2Bx8CI%3D","Link")</f>
        <v>Link</v>
      </c>
      <c r="B1829" s="2" t="s">
        <v>5914</v>
      </c>
      <c r="C1829" s="2" t="s">
        <v>5907</v>
      </c>
      <c r="D1829" s="2" t="s">
        <v>3527</v>
      </c>
      <c r="E1829" s="2" t="s">
        <v>5915</v>
      </c>
      <c r="F1829" s="2" t="s">
        <v>5916</v>
      </c>
      <c r="G1829" s="2" t="s">
        <v>5917</v>
      </c>
      <c r="H1829" s="7"/>
      <c r="I1829" s="2" t="s">
        <v>9</v>
      </c>
      <c r="K1829" t="e">
        <v>#N/A</v>
      </c>
      <c r="L1829" s="2" t="s">
        <v>8717</v>
      </c>
      <c r="M1829" t="s">
        <v>8257</v>
      </c>
      <c r="N1829" s="4"/>
    </row>
    <row r="1830" spans="1:14" ht="26" x14ac:dyDescent="0.3">
      <c r="A1830" s="1" t="str">
        <f>HYPERLINK("https://ipmanager.doe.gov/IPManager//ExternalLink.aspx?6ibkph2k9yi6F%2B0Vz7YoTo7DPLa3%2F%2FGgXU9V1J1Pfys%3D","Link")</f>
        <v>Link</v>
      </c>
      <c r="B1830" s="2" t="s">
        <v>5918</v>
      </c>
      <c r="C1830" s="2" t="s">
        <v>5907</v>
      </c>
      <c r="D1830" s="2" t="s">
        <v>3527</v>
      </c>
      <c r="E1830" s="2" t="s">
        <v>5919</v>
      </c>
      <c r="F1830" s="2" t="s">
        <v>5920</v>
      </c>
      <c r="G1830" s="2" t="s">
        <v>4517</v>
      </c>
      <c r="H1830" s="7"/>
      <c r="I1830" s="2" t="s">
        <v>9</v>
      </c>
      <c r="K1830" t="e">
        <v>#N/A</v>
      </c>
      <c r="L1830" s="2" t="s">
        <v>8717</v>
      </c>
      <c r="M1830" t="s">
        <v>8257</v>
      </c>
      <c r="N1830" s="4"/>
    </row>
    <row r="1831" spans="1:14" ht="65" x14ac:dyDescent="0.3">
      <c r="A1831" s="1" t="str">
        <f>HYPERLINK("https://ipmanager.doe.gov/IPManager//ExternalLink.aspx?6ibkph2k9yi6F%2B0Vz7YoTnXVN2REjGcWouoBIcda054%3D","Link")</f>
        <v>Link</v>
      </c>
      <c r="B1831" s="2" t="s">
        <v>5911</v>
      </c>
      <c r="C1831" s="2" t="s">
        <v>5907</v>
      </c>
      <c r="D1831" s="2" t="s">
        <v>3527</v>
      </c>
      <c r="E1831" s="2" t="s">
        <v>5912</v>
      </c>
      <c r="F1831" s="2" t="s">
        <v>5913</v>
      </c>
      <c r="G1831" s="2" t="s">
        <v>1724</v>
      </c>
      <c r="H1831" s="8">
        <v>10031040</v>
      </c>
      <c r="I1831" s="2" t="s">
        <v>3113</v>
      </c>
      <c r="K1831" t="e">
        <v>#N/A</v>
      </c>
      <c r="L1831" s="2" t="s">
        <v>8717</v>
      </c>
      <c r="M1831" t="s">
        <v>8257</v>
      </c>
    </row>
    <row r="1832" spans="1:14" ht="52" x14ac:dyDescent="0.3">
      <c r="A1832" s="1" t="str">
        <f>HYPERLINK("https://ipmanager.doe.gov/IPManager//ExternalLink.aspx?6ibkph2k9yi6F%2B0Vz7YoTo7DPLa3%2F%2FGgqudUaV0wi3g%3D","Link")</f>
        <v>Link</v>
      </c>
      <c r="B1832" s="2" t="s">
        <v>5921</v>
      </c>
      <c r="C1832" s="2" t="s">
        <v>5907</v>
      </c>
      <c r="D1832" s="2" t="s">
        <v>3527</v>
      </c>
      <c r="E1832" s="2" t="s">
        <v>5922</v>
      </c>
      <c r="F1832" s="2"/>
      <c r="G1832" s="2" t="s">
        <v>9</v>
      </c>
      <c r="H1832" s="7"/>
      <c r="I1832" s="2" t="s">
        <v>9</v>
      </c>
      <c r="K1832" t="e">
        <v>#N/A</v>
      </c>
      <c r="L1832" s="2" t="s">
        <v>8717</v>
      </c>
      <c r="M1832" t="s">
        <v>8257</v>
      </c>
      <c r="N1832" s="4"/>
    </row>
    <row r="1833" spans="1:14" ht="26" x14ac:dyDescent="0.3">
      <c r="A1833" s="1" t="str">
        <f>HYPERLINK("https://ipmanager.doe.gov/IPManager//ExternalLink.aspx?6ibkph2k9yi6F%2B0Vz7YoTq6RR9BlGHHiVYhuvzFR%2FXw%3D","Link")</f>
        <v>Link</v>
      </c>
      <c r="B1833" s="2" t="s">
        <v>5930</v>
      </c>
      <c r="C1833" s="2" t="s">
        <v>5924</v>
      </c>
      <c r="D1833" s="2" t="s">
        <v>1793</v>
      </c>
      <c r="E1833" s="2" t="s">
        <v>5931</v>
      </c>
      <c r="F1833" s="2" t="s">
        <v>5932</v>
      </c>
      <c r="G1833" s="2" t="s">
        <v>5933</v>
      </c>
      <c r="H1833" s="7"/>
      <c r="I1833" s="2" t="s">
        <v>9</v>
      </c>
      <c r="K1833" t="e">
        <v>#N/A</v>
      </c>
      <c r="L1833" s="2" t="s">
        <v>8718</v>
      </c>
      <c r="M1833" t="s">
        <v>8258</v>
      </c>
      <c r="N1833" s="4"/>
    </row>
    <row r="1834" spans="1:14" ht="52" x14ac:dyDescent="0.3">
      <c r="A1834" s="1" t="str">
        <f>HYPERLINK("https://ipmanager.doe.gov/IPManager//ExternalLink.aspx?6ibkph2k9yi6F%2B0Vz7YoTgZwfmYxrNyK6Qc9rpWZUvk%3D","Link")</f>
        <v>Link</v>
      </c>
      <c r="B1834" s="2" t="s">
        <v>5943</v>
      </c>
      <c r="C1834" s="2" t="s">
        <v>5924</v>
      </c>
      <c r="D1834" s="2" t="s">
        <v>1793</v>
      </c>
      <c r="E1834" s="2" t="s">
        <v>5944</v>
      </c>
      <c r="F1834" s="2" t="s">
        <v>5945</v>
      </c>
      <c r="G1834" s="2" t="s">
        <v>5933</v>
      </c>
      <c r="H1834" s="7"/>
      <c r="I1834" s="2" t="s">
        <v>9</v>
      </c>
      <c r="K1834" t="e">
        <v>#N/A</v>
      </c>
      <c r="L1834" s="2" t="s">
        <v>8718</v>
      </c>
      <c r="M1834" t="s">
        <v>8258</v>
      </c>
      <c r="N1834" s="4"/>
    </row>
    <row r="1835" spans="1:14" ht="52" x14ac:dyDescent="0.3">
      <c r="A1835" s="1" t="str">
        <f>HYPERLINK("https://ipmanager.doe.gov/IPManager//ExternalLink.aspx?6ibkph2k9yi6F%2B0Vz7YoTo7DPLa3%2F%2FGggQeAe7%2FMyZA%3D","Link")</f>
        <v>Link</v>
      </c>
      <c r="B1835" s="2" t="s">
        <v>5923</v>
      </c>
      <c r="C1835" s="2" t="s">
        <v>5924</v>
      </c>
      <c r="D1835" s="2" t="s">
        <v>1793</v>
      </c>
      <c r="E1835" s="2" t="s">
        <v>5925</v>
      </c>
      <c r="F1835" s="2"/>
      <c r="G1835" s="2" t="s">
        <v>9</v>
      </c>
      <c r="H1835" s="7"/>
      <c r="I1835" s="2" t="s">
        <v>9</v>
      </c>
      <c r="K1835" t="e">
        <v>#N/A</v>
      </c>
      <c r="L1835" s="2" t="s">
        <v>8718</v>
      </c>
      <c r="M1835" t="s">
        <v>8258</v>
      </c>
      <c r="N1835" s="4"/>
    </row>
    <row r="1836" spans="1:14" ht="39" x14ac:dyDescent="0.3">
      <c r="A1836" s="1" t="str">
        <f>HYPERLINK("https://ipmanager.doe.gov/IPManager//ExternalLink.aspx?6ibkph2k9yi6F%2B0Vz7YoTo7DPLa3%2F%2FGg%2F4ggYrw736k%3D","Link")</f>
        <v>Link</v>
      </c>
      <c r="B1836" s="2" t="s">
        <v>5926</v>
      </c>
      <c r="C1836" s="2" t="s">
        <v>5924</v>
      </c>
      <c r="D1836" s="2" t="s">
        <v>1793</v>
      </c>
      <c r="E1836" s="2" t="s">
        <v>5927</v>
      </c>
      <c r="F1836" s="2"/>
      <c r="G1836" s="2" t="s">
        <v>9</v>
      </c>
      <c r="H1836" s="7"/>
      <c r="I1836" s="2" t="s">
        <v>9</v>
      </c>
      <c r="K1836" t="e">
        <v>#N/A</v>
      </c>
      <c r="L1836" s="2" t="s">
        <v>8718</v>
      </c>
      <c r="M1836" t="s">
        <v>8258</v>
      </c>
      <c r="N1836" s="4"/>
    </row>
    <row r="1837" spans="1:14" ht="26" x14ac:dyDescent="0.3">
      <c r="A1837" s="1" t="str">
        <f>HYPERLINK("https://ipmanager.doe.gov/IPManager//ExternalLink.aspx?6ibkph2k9yi6F%2B0Vz7YoTjnDGhmGHGI7nuAR%2FzjjSJw%3D","Link")</f>
        <v>Link</v>
      </c>
      <c r="B1837" s="2" t="s">
        <v>5928</v>
      </c>
      <c r="C1837" s="2" t="s">
        <v>5924</v>
      </c>
      <c r="D1837" s="2" t="s">
        <v>1793</v>
      </c>
      <c r="E1837" s="2" t="s">
        <v>5929</v>
      </c>
      <c r="F1837" s="2"/>
      <c r="G1837" s="2" t="s">
        <v>9</v>
      </c>
      <c r="H1837" s="7"/>
      <c r="I1837" s="2" t="s">
        <v>9</v>
      </c>
      <c r="K1837" t="e">
        <v>#N/A</v>
      </c>
      <c r="L1837" s="2" t="s">
        <v>8718</v>
      </c>
      <c r="M1837" t="s">
        <v>8258</v>
      </c>
      <c r="N1837" s="4"/>
    </row>
    <row r="1838" spans="1:14" ht="26" x14ac:dyDescent="0.3">
      <c r="A1838" s="1" t="str">
        <f>HYPERLINK("https://ipmanager.doe.gov/IPManager//ExternalLink.aspx?6ibkph2k9yi6F%2B0Vz7YoTvPUg%2FVZPl3iRUszJi7vahQ%3D","Link")</f>
        <v>Link</v>
      </c>
      <c r="B1838" s="2" t="s">
        <v>5934</v>
      </c>
      <c r="C1838" s="2" t="s">
        <v>5924</v>
      </c>
      <c r="D1838" s="2" t="s">
        <v>1793</v>
      </c>
      <c r="E1838" s="2" t="s">
        <v>5935</v>
      </c>
      <c r="F1838" s="2"/>
      <c r="G1838" s="2" t="s">
        <v>9</v>
      </c>
      <c r="H1838" s="7"/>
      <c r="I1838" s="2" t="s">
        <v>9</v>
      </c>
      <c r="K1838" t="e">
        <v>#N/A</v>
      </c>
      <c r="L1838" s="2" t="s">
        <v>8718</v>
      </c>
      <c r="M1838" t="s">
        <v>8258</v>
      </c>
      <c r="N1838" s="4"/>
    </row>
    <row r="1839" spans="1:14" ht="26" x14ac:dyDescent="0.3">
      <c r="A1839" s="1" t="str">
        <f>HYPERLINK("https://ipmanager.doe.gov/IPManager//ExternalLink.aspx?6ibkph2k9yi6F%2B0Vz7YoTo7DPLa3%2F%2FGgcz6eQcVHlhI%3D","Link")</f>
        <v>Link</v>
      </c>
      <c r="B1839" s="2" t="s">
        <v>5936</v>
      </c>
      <c r="C1839" s="2" t="s">
        <v>5924</v>
      </c>
      <c r="D1839" s="2" t="s">
        <v>1793</v>
      </c>
      <c r="E1839" s="2" t="s">
        <v>5937</v>
      </c>
      <c r="F1839" s="2"/>
      <c r="G1839" s="2" t="s">
        <v>9</v>
      </c>
      <c r="H1839" s="7"/>
      <c r="I1839" s="2" t="s">
        <v>9</v>
      </c>
      <c r="K1839" t="e">
        <v>#N/A</v>
      </c>
      <c r="L1839" s="2" t="s">
        <v>8718</v>
      </c>
      <c r="M1839" t="s">
        <v>8258</v>
      </c>
      <c r="N1839" s="4"/>
    </row>
    <row r="1840" spans="1:14" ht="39" x14ac:dyDescent="0.3">
      <c r="A1840" s="1" t="str">
        <f>HYPERLINK("https://ipmanager.doe.gov/IPManager//ExternalLink.aspx?6ibkph2k9yi6F%2B0Vz7YoTvPUg%2FVZPl3ilkKrWE2izHY%3D","Link")</f>
        <v>Link</v>
      </c>
      <c r="B1840" s="2" t="s">
        <v>5938</v>
      </c>
      <c r="C1840" s="2" t="s">
        <v>5924</v>
      </c>
      <c r="D1840" s="2" t="s">
        <v>1793</v>
      </c>
      <c r="E1840" s="2" t="s">
        <v>5939</v>
      </c>
      <c r="F1840" s="2" t="s">
        <v>5940</v>
      </c>
      <c r="G1840" s="2" t="s">
        <v>4660</v>
      </c>
      <c r="H1840" s="8">
        <v>9823184</v>
      </c>
      <c r="I1840" s="2" t="s">
        <v>5789</v>
      </c>
      <c r="K1840" t="e">
        <v>#N/A</v>
      </c>
      <c r="L1840" s="2" t="s">
        <v>8718</v>
      </c>
      <c r="M1840" t="s">
        <v>8258</v>
      </c>
    </row>
    <row r="1841" spans="1:14" ht="52" x14ac:dyDescent="0.3">
      <c r="A1841" s="1" t="str">
        <f>HYPERLINK("https://ipmanager.doe.gov/IPManager//ExternalLink.aspx?6ibkph2k9yi6F%2B0Vz7YoTvPUg%2FVZPl3iMNPNhu2AWEg%3D","Link")</f>
        <v>Link</v>
      </c>
      <c r="B1841" s="2" t="s">
        <v>5941</v>
      </c>
      <c r="C1841" s="2" t="s">
        <v>5924</v>
      </c>
      <c r="D1841" s="2" t="s">
        <v>1793</v>
      </c>
      <c r="E1841" s="2" t="s">
        <v>5942</v>
      </c>
      <c r="F1841" s="2"/>
      <c r="G1841" s="2" t="s">
        <v>9</v>
      </c>
      <c r="H1841" s="7"/>
      <c r="I1841" s="2" t="s">
        <v>9</v>
      </c>
      <c r="K1841" t="e">
        <v>#N/A</v>
      </c>
      <c r="L1841" s="2" t="s">
        <v>8718</v>
      </c>
      <c r="M1841" t="s">
        <v>8258</v>
      </c>
      <c r="N1841" s="4"/>
    </row>
    <row r="1842" spans="1:14" ht="78" x14ac:dyDescent="0.3">
      <c r="A1842" s="1" t="str">
        <f>HYPERLINK("https://ipmanager.doe.gov/IPManager//ExternalLink.aspx?6ibkph2k9yi6F%2B0Vz7YoTgZwfmYxrNyKzWwhu6uFidw%3D","Link")</f>
        <v>Link</v>
      </c>
      <c r="B1842" s="2" t="s">
        <v>5946</v>
      </c>
      <c r="C1842" s="2" t="s">
        <v>5924</v>
      </c>
      <c r="D1842" s="2" t="s">
        <v>1793</v>
      </c>
      <c r="E1842" s="2" t="s">
        <v>5947</v>
      </c>
      <c r="F1842" s="2" t="s">
        <v>5948</v>
      </c>
      <c r="G1842" s="2" t="s">
        <v>249</v>
      </c>
      <c r="H1842" s="8">
        <v>9910014</v>
      </c>
      <c r="I1842" s="2" t="s">
        <v>1825</v>
      </c>
      <c r="K1842" t="e">
        <v>#N/A</v>
      </c>
      <c r="L1842" s="2" t="s">
        <v>8718</v>
      </c>
      <c r="M1842" t="s">
        <v>8258</v>
      </c>
    </row>
    <row r="1843" spans="1:14" ht="39" x14ac:dyDescent="0.3">
      <c r="A1843" s="1" t="str">
        <f>HYPERLINK("https://ipmanager.doe.gov/IPManager//ExternalLink.aspx?6ibkph2k9yi6F%2B0Vz7YoTo7DPLa3%2F%2FGgbuzv7sG1saM%3D","Link")</f>
        <v>Link</v>
      </c>
      <c r="B1843" s="2" t="s">
        <v>5949</v>
      </c>
      <c r="C1843" s="2" t="s">
        <v>5950</v>
      </c>
      <c r="D1843" s="2" t="s">
        <v>5951</v>
      </c>
      <c r="E1843" s="2" t="s">
        <v>5952</v>
      </c>
      <c r="F1843" s="2" t="s">
        <v>7615</v>
      </c>
      <c r="G1843" s="2" t="s">
        <v>5953</v>
      </c>
      <c r="H1843" s="2"/>
      <c r="I1843" s="2" t="s">
        <v>9</v>
      </c>
      <c r="K1843" t="e">
        <v>#N/A</v>
      </c>
      <c r="L1843" s="2" t="s">
        <v>8719</v>
      </c>
      <c r="M1843" t="s">
        <v>8259</v>
      </c>
      <c r="N1843" s="4"/>
    </row>
    <row r="1844" spans="1:14" ht="39" x14ac:dyDescent="0.3">
      <c r="A1844" s="1" t="str">
        <f>HYPERLINK("https://ipmanager.doe.gov/IPManager//ExternalLink.aspx?6ibkph2k9yi6F%2B0Vz7YoTgZwfmYxrNyKgOEvauiJEuw%3D","Link")</f>
        <v>Link</v>
      </c>
      <c r="B1844" s="2" t="s">
        <v>5954</v>
      </c>
      <c r="C1844" s="2" t="s">
        <v>5950</v>
      </c>
      <c r="D1844" s="2" t="s">
        <v>5951</v>
      </c>
      <c r="E1844" s="2" t="s">
        <v>5955</v>
      </c>
      <c r="F1844" s="2" t="s">
        <v>7616</v>
      </c>
      <c r="G1844" s="2" t="s">
        <v>5953</v>
      </c>
      <c r="H1844" s="2"/>
      <c r="I1844" s="2" t="s">
        <v>9</v>
      </c>
      <c r="K1844" t="e">
        <v>#N/A</v>
      </c>
      <c r="L1844" s="2" t="s">
        <v>8719</v>
      </c>
      <c r="M1844" t="s">
        <v>8259</v>
      </c>
      <c r="N1844" s="4"/>
    </row>
    <row r="1845" spans="1:14" ht="65" x14ac:dyDescent="0.3">
      <c r="A1845" s="1" t="str">
        <f>HYPERLINK("https://ipmanager.doe.gov/IPManager//ExternalLink.aspx?6ibkph2k9yi6F%2B0Vz7YoTq6RR9BlGHHiDv3PPp6a6GY%3D","Link")</f>
        <v>Link</v>
      </c>
      <c r="B1845" s="2" t="s">
        <v>5956</v>
      </c>
      <c r="C1845" s="2" t="s">
        <v>5950</v>
      </c>
      <c r="D1845" s="2" t="s">
        <v>5951</v>
      </c>
      <c r="E1845" s="2" t="s">
        <v>5957</v>
      </c>
      <c r="F1845" s="2"/>
      <c r="G1845" s="2" t="s">
        <v>9</v>
      </c>
      <c r="H1845" s="7"/>
      <c r="I1845" s="2" t="s">
        <v>9</v>
      </c>
      <c r="K1845" t="e">
        <v>#N/A</v>
      </c>
      <c r="L1845" s="2" t="s">
        <v>8719</v>
      </c>
      <c r="M1845" t="s">
        <v>8259</v>
      </c>
      <c r="N1845" s="4"/>
    </row>
    <row r="1846" spans="1:14" ht="39" x14ac:dyDescent="0.3">
      <c r="A1846" s="1" t="str">
        <f>HYPERLINK("https://ipmanager.doe.gov/IPManager//ExternalLink.aspx?6ibkph2k9yi6F%2B0Vz7YoTq6RR9BlGHHi71%2BttrH8vFc%3D","Link")</f>
        <v>Link</v>
      </c>
      <c r="B1846" s="2" t="s">
        <v>5959</v>
      </c>
      <c r="C1846" s="2" t="s">
        <v>5950</v>
      </c>
      <c r="D1846" s="2" t="s">
        <v>5951</v>
      </c>
      <c r="E1846" s="2" t="s">
        <v>5960</v>
      </c>
      <c r="F1846" s="2"/>
      <c r="G1846" s="2" t="s">
        <v>9</v>
      </c>
      <c r="H1846" s="7"/>
      <c r="I1846" s="2" t="s">
        <v>9</v>
      </c>
      <c r="K1846" t="e">
        <v>#N/A</v>
      </c>
      <c r="L1846" s="2" t="s">
        <v>8719</v>
      </c>
      <c r="M1846" t="s">
        <v>8259</v>
      </c>
      <c r="N1846" s="4"/>
    </row>
    <row r="1847" spans="1:14" ht="52" x14ac:dyDescent="0.3">
      <c r="A1847" s="1" t="str">
        <f>HYPERLINK("https://ipmanager.doe.gov/IPManager//ExternalLink.aspx?6ibkph2k9yi6F%2B0Vz7YoTq6RR9BlGHHiPyvcIJk6GEs%3D","Link")</f>
        <v>Link</v>
      </c>
      <c r="B1847" s="2" t="s">
        <v>5973</v>
      </c>
      <c r="C1847" s="2" t="s">
        <v>5962</v>
      </c>
      <c r="D1847" s="2" t="s">
        <v>5963</v>
      </c>
      <c r="E1847" s="2" t="s">
        <v>5974</v>
      </c>
      <c r="F1847" s="2" t="s">
        <v>5975</v>
      </c>
      <c r="G1847" s="2" t="s">
        <v>4588</v>
      </c>
      <c r="H1847" s="7"/>
      <c r="I1847" s="2" t="s">
        <v>9</v>
      </c>
      <c r="K1847" t="e">
        <v>#N/A</v>
      </c>
      <c r="L1847" s="2" t="s">
        <v>8720</v>
      </c>
      <c r="M1847" t="s">
        <v>8260</v>
      </c>
      <c r="N1847" s="4"/>
    </row>
    <row r="1848" spans="1:14" ht="52" x14ac:dyDescent="0.3">
      <c r="A1848" s="1" t="str">
        <f>HYPERLINK("https://ipmanager.doe.gov/IPManager//ExternalLink.aspx?6ibkph2k9yi6F%2B0Vz7YoTq6RR9BlGHHi9sQuLC1B83M%3D","Link")</f>
        <v>Link</v>
      </c>
      <c r="B1848" s="2" t="s">
        <v>5977</v>
      </c>
      <c r="C1848" s="2" t="s">
        <v>5962</v>
      </c>
      <c r="D1848" s="2" t="s">
        <v>5963</v>
      </c>
      <c r="E1848" s="2" t="s">
        <v>5974</v>
      </c>
      <c r="F1848" s="2" t="s">
        <v>5976</v>
      </c>
      <c r="G1848" s="2" t="s">
        <v>5978</v>
      </c>
      <c r="H1848" s="7"/>
      <c r="I1848" s="2" t="s">
        <v>9</v>
      </c>
      <c r="K1848" t="e">
        <v>#N/A</v>
      </c>
      <c r="L1848" s="2" t="s">
        <v>8720</v>
      </c>
      <c r="M1848" t="s">
        <v>8260</v>
      </c>
      <c r="N1848" s="4"/>
    </row>
    <row r="1849" spans="1:14" ht="26" x14ac:dyDescent="0.3">
      <c r="A1849" s="1" t="str">
        <f>HYPERLINK("https://ipmanager.doe.gov/IPManager//ExternalLink.aspx?6ibkph2k9yi6F%2B0Vz7YoTvE8yjoHgvp64Q8%2FwM%2F%2FPLg%3D","Link")</f>
        <v>Link</v>
      </c>
      <c r="B1849" s="2" t="s">
        <v>5961</v>
      </c>
      <c r="C1849" s="2" t="s">
        <v>5962</v>
      </c>
      <c r="D1849" s="2" t="s">
        <v>5963</v>
      </c>
      <c r="E1849" s="2" t="s">
        <v>5964</v>
      </c>
      <c r="F1849" s="2"/>
      <c r="G1849" s="2" t="s">
        <v>9</v>
      </c>
      <c r="H1849" s="7"/>
      <c r="I1849" s="2" t="s">
        <v>9</v>
      </c>
      <c r="K1849" t="e">
        <v>#N/A</v>
      </c>
      <c r="L1849" s="2" t="s">
        <v>8720</v>
      </c>
      <c r="M1849" t="s">
        <v>8260</v>
      </c>
      <c r="N1849" s="4"/>
    </row>
    <row r="1850" spans="1:14" ht="65" x14ac:dyDescent="0.3">
      <c r="A1850" s="1" t="str">
        <f>HYPERLINK("https://ipmanager.doe.gov/IPManager//ExternalLink.aspx?6ibkph2k9yi6F%2B0Vz7YoTvE8yjoHgvp6gJlGia87SAc%3D","Link")</f>
        <v>Link</v>
      </c>
      <c r="B1850" s="2" t="s">
        <v>5965</v>
      </c>
      <c r="C1850" s="2" t="s">
        <v>5962</v>
      </c>
      <c r="D1850" s="2" t="s">
        <v>5963</v>
      </c>
      <c r="E1850" s="2" t="s">
        <v>5966</v>
      </c>
      <c r="F1850" s="2"/>
      <c r="G1850" s="2" t="s">
        <v>9</v>
      </c>
      <c r="H1850" s="7"/>
      <c r="I1850" s="2" t="s">
        <v>9</v>
      </c>
      <c r="K1850" t="e">
        <v>#N/A</v>
      </c>
      <c r="L1850" s="2" t="s">
        <v>8720</v>
      </c>
      <c r="M1850" t="s">
        <v>8260</v>
      </c>
      <c r="N1850" s="4"/>
    </row>
    <row r="1851" spans="1:14" ht="39" x14ac:dyDescent="0.3">
      <c r="A1851" s="1" t="str">
        <f>HYPERLINK("https://ipmanager.doe.gov/IPManager//ExternalLink.aspx?6ibkph2k9yi6F%2B0Vz7YoTnXVN2REjGcWdFdDooKFfws%3D","Link")</f>
        <v>Link</v>
      </c>
      <c r="B1851" s="2" t="s">
        <v>5967</v>
      </c>
      <c r="C1851" s="2" t="s">
        <v>5962</v>
      </c>
      <c r="D1851" s="2" t="s">
        <v>293</v>
      </c>
      <c r="E1851" s="2" t="s">
        <v>5968</v>
      </c>
      <c r="F1851" s="2"/>
      <c r="G1851" s="2" t="s">
        <v>9</v>
      </c>
      <c r="H1851" s="7"/>
      <c r="I1851" s="2" t="s">
        <v>9</v>
      </c>
      <c r="K1851" t="e">
        <v>#N/A</v>
      </c>
      <c r="L1851" s="2" t="s">
        <v>8720</v>
      </c>
      <c r="M1851" t="s">
        <v>8260</v>
      </c>
      <c r="N1851" s="4"/>
    </row>
    <row r="1852" spans="1:14" ht="39" x14ac:dyDescent="0.3">
      <c r="A1852" s="1" t="str">
        <f>HYPERLINK("https://ipmanager.doe.gov/IPManager//ExternalLink.aspx?6ibkph2k9yi6F%2B0Vz7YoTnXVN2REjGcWk5t7dWNT02E%3D","Link")</f>
        <v>Link</v>
      </c>
      <c r="B1852" s="2" t="s">
        <v>5969</v>
      </c>
      <c r="C1852" s="2" t="s">
        <v>5962</v>
      </c>
      <c r="D1852" s="2" t="s">
        <v>5963</v>
      </c>
      <c r="E1852" s="2" t="s">
        <v>5970</v>
      </c>
      <c r="F1852" s="2"/>
      <c r="G1852" s="2" t="s">
        <v>9</v>
      </c>
      <c r="H1852" s="7"/>
      <c r="I1852" s="2" t="s">
        <v>9</v>
      </c>
      <c r="K1852" t="e">
        <v>#N/A</v>
      </c>
      <c r="L1852" s="2" t="s">
        <v>8720</v>
      </c>
      <c r="M1852" t="s">
        <v>8260</v>
      </c>
      <c r="N1852" s="4"/>
    </row>
    <row r="1853" spans="1:14" ht="65" x14ac:dyDescent="0.3">
      <c r="A1853" s="1" t="str">
        <f>HYPERLINK("https://ipmanager.doe.gov/IPManager//ExternalLink.aspx?6ibkph2k9yi6F%2B0Vz7YoTnXVN2REjGcWirQgcTD5VXs%3D","Link")</f>
        <v>Link</v>
      </c>
      <c r="B1853" s="2" t="s">
        <v>5971</v>
      </c>
      <c r="C1853" s="2" t="s">
        <v>5962</v>
      </c>
      <c r="D1853" s="2" t="s">
        <v>5963</v>
      </c>
      <c r="E1853" s="2" t="s">
        <v>5972</v>
      </c>
      <c r="F1853" s="2"/>
      <c r="G1853" s="2" t="s">
        <v>9</v>
      </c>
      <c r="H1853" s="7"/>
      <c r="I1853" s="2" t="s">
        <v>9</v>
      </c>
      <c r="K1853" t="e">
        <v>#N/A</v>
      </c>
      <c r="L1853" s="2" t="s">
        <v>8720</v>
      </c>
      <c r="M1853" t="s">
        <v>8260</v>
      </c>
      <c r="N1853" s="4"/>
    </row>
    <row r="1854" spans="1:14" ht="39" x14ac:dyDescent="0.3">
      <c r="A1854" s="1" t="str">
        <f>HYPERLINK("https://ipmanager.doe.gov/IPManager//ExternalLink.aspx?6ibkph2k9yi6F%2B0Vz7YoTkqAgjuWMa9QX952FZNSChQ%3D","Link")</f>
        <v>Link</v>
      </c>
      <c r="B1854" s="2" t="s">
        <v>5979</v>
      </c>
      <c r="C1854" s="2" t="s">
        <v>5980</v>
      </c>
      <c r="D1854" s="2" t="s">
        <v>5981</v>
      </c>
      <c r="E1854" s="2" t="s">
        <v>5982</v>
      </c>
      <c r="F1854" s="2" t="s">
        <v>5983</v>
      </c>
      <c r="G1854" s="2" t="s">
        <v>5984</v>
      </c>
      <c r="H1854" s="7"/>
      <c r="I1854" s="2" t="s">
        <v>9</v>
      </c>
      <c r="K1854" t="e">
        <v>#N/A</v>
      </c>
      <c r="L1854" s="2" t="s">
        <v>8721</v>
      </c>
      <c r="M1854" t="s">
        <v>8261</v>
      </c>
      <c r="N1854" s="4"/>
    </row>
    <row r="1855" spans="1:14" ht="26" x14ac:dyDescent="0.3">
      <c r="A1855" s="1" t="str">
        <f>HYPERLINK("https://ipmanager.doe.gov/IPManager//ExternalLink.aspx?6ibkph2k9yi6F%2B0Vz7YoTgZwfmYxrNyKZd0L0XLfwYY%3D","Link")</f>
        <v>Link</v>
      </c>
      <c r="B1855" s="2" t="s">
        <v>5985</v>
      </c>
      <c r="C1855" s="2" t="s">
        <v>5986</v>
      </c>
      <c r="D1855" s="2" t="s">
        <v>1952</v>
      </c>
      <c r="E1855" s="2" t="s">
        <v>5987</v>
      </c>
      <c r="F1855" s="2" t="s">
        <v>5988</v>
      </c>
      <c r="G1855" s="2" t="s">
        <v>2442</v>
      </c>
      <c r="H1855" s="7"/>
      <c r="I1855" s="2" t="s">
        <v>9</v>
      </c>
      <c r="J1855" t="s">
        <v>5988</v>
      </c>
      <c r="K1855" t="s">
        <v>7708</v>
      </c>
      <c r="L1855" s="2" t="s">
        <v>8722</v>
      </c>
      <c r="M1855" t="s">
        <v>8262</v>
      </c>
      <c r="N1855" s="4"/>
    </row>
    <row r="1856" spans="1:14" ht="26" x14ac:dyDescent="0.3">
      <c r="A1856" s="1" t="str">
        <f>HYPERLINK("https://ipmanager.doe.gov/IPManager//ExternalLink.aspx?6ibkph2k9yi6F%2B0Vz7YoTnXVN2REjGcWfmMzy%2Fte0xk%3D","Link")</f>
        <v>Link</v>
      </c>
      <c r="B1856" s="2" t="s">
        <v>5990</v>
      </c>
      <c r="C1856" s="2" t="s">
        <v>5986</v>
      </c>
      <c r="D1856" s="2" t="s">
        <v>1952</v>
      </c>
      <c r="E1856" s="2" t="s">
        <v>5987</v>
      </c>
      <c r="F1856" s="2" t="s">
        <v>5989</v>
      </c>
      <c r="G1856" s="2" t="s">
        <v>3339</v>
      </c>
      <c r="H1856" s="7"/>
      <c r="I1856" s="2" t="s">
        <v>9</v>
      </c>
      <c r="K1856" t="e">
        <v>#N/A</v>
      </c>
      <c r="L1856" s="2" t="s">
        <v>8722</v>
      </c>
      <c r="M1856" t="s">
        <v>8262</v>
      </c>
      <c r="N1856" s="4"/>
    </row>
    <row r="1857" spans="1:14" ht="65" x14ac:dyDescent="0.3">
      <c r="A1857" s="1" t="str">
        <f>HYPERLINK("https://ipmanager.doe.gov/IPManager//ExternalLink.aspx?6ibkph2k9yi6F%2B0Vz7YoTkqAgjuWMa9Q9k76jfgUmHc%3D","Link")</f>
        <v>Link</v>
      </c>
      <c r="B1857" s="2" t="s">
        <v>5991</v>
      </c>
      <c r="C1857" s="2" t="s">
        <v>5986</v>
      </c>
      <c r="D1857" s="2" t="s">
        <v>3066</v>
      </c>
      <c r="E1857" s="2" t="s">
        <v>5992</v>
      </c>
      <c r="F1857" s="2" t="s">
        <v>5993</v>
      </c>
      <c r="G1857" s="2" t="s">
        <v>3282</v>
      </c>
      <c r="H1857" s="7" t="s">
        <v>5994</v>
      </c>
      <c r="I1857" s="2" t="s">
        <v>968</v>
      </c>
      <c r="K1857" t="e">
        <v>#N/A</v>
      </c>
      <c r="L1857" s="2" t="s">
        <v>8722</v>
      </c>
      <c r="M1857" t="s">
        <v>8262</v>
      </c>
    </row>
    <row r="1858" spans="1:14" ht="26" x14ac:dyDescent="0.3">
      <c r="A1858" s="1" t="str">
        <f>HYPERLINK("https://ipmanager.doe.gov/IPManager//ExternalLink.aspx?6ibkph2k9yi6F%2B0Vz7YoTq6RR9BlGHHiXCyiT6z1tVs%3D","Link")</f>
        <v>Link</v>
      </c>
      <c r="B1858" s="2" t="s">
        <v>5995</v>
      </c>
      <c r="C1858" s="2" t="s">
        <v>5986</v>
      </c>
      <c r="D1858" s="2" t="s">
        <v>1952</v>
      </c>
      <c r="E1858" s="2" t="s">
        <v>5996</v>
      </c>
      <c r="F1858" s="2"/>
      <c r="G1858" s="2" t="s">
        <v>9</v>
      </c>
      <c r="H1858" s="7"/>
      <c r="I1858" s="2" t="s">
        <v>9</v>
      </c>
      <c r="K1858" t="e">
        <v>#N/A</v>
      </c>
      <c r="L1858" s="2" t="s">
        <v>8722</v>
      </c>
      <c r="M1858" t="s">
        <v>8262</v>
      </c>
      <c r="N1858" s="4"/>
    </row>
    <row r="1859" spans="1:14" ht="39" x14ac:dyDescent="0.3">
      <c r="A1859" s="1" t="str">
        <f>HYPERLINK("https://ipmanager.doe.gov/IPManager//ExternalLink.aspx?6ibkph2k9yi6F%2B0Vz7YoTq6RR9BlGHHiXvWY1cnNwf0%3D","Link")</f>
        <v>Link</v>
      </c>
      <c r="B1859" s="2" t="s">
        <v>5998</v>
      </c>
      <c r="C1859" s="2" t="s">
        <v>5986</v>
      </c>
      <c r="D1859" s="2" t="s">
        <v>1952</v>
      </c>
      <c r="E1859" s="2" t="s">
        <v>5999</v>
      </c>
      <c r="F1859" s="2"/>
      <c r="G1859" s="2" t="s">
        <v>9</v>
      </c>
      <c r="H1859" s="7"/>
      <c r="I1859" s="2" t="s">
        <v>9</v>
      </c>
      <c r="K1859" t="e">
        <v>#N/A</v>
      </c>
      <c r="L1859" s="2" t="s">
        <v>8722</v>
      </c>
      <c r="M1859" t="s">
        <v>8262</v>
      </c>
      <c r="N1859" s="4"/>
    </row>
    <row r="1860" spans="1:14" ht="39" x14ac:dyDescent="0.3">
      <c r="A1860" s="1" t="str">
        <f>HYPERLINK("https://ipmanager.doe.gov/IPManager//ExternalLink.aspx?6ibkph2k9yi6F%2B0Vz7YoTvE8yjoHgvp6B815yPn0MMA%3D","Link")</f>
        <v>Link</v>
      </c>
      <c r="B1860" s="2" t="s">
        <v>6000</v>
      </c>
      <c r="C1860" s="2" t="s">
        <v>5986</v>
      </c>
      <c r="D1860" s="2" t="s">
        <v>1952</v>
      </c>
      <c r="E1860" s="2" t="s">
        <v>6001</v>
      </c>
      <c r="F1860" s="2"/>
      <c r="G1860" s="2" t="s">
        <v>9</v>
      </c>
      <c r="H1860" s="7"/>
      <c r="I1860" s="2" t="s">
        <v>9</v>
      </c>
      <c r="K1860" t="e">
        <v>#N/A</v>
      </c>
      <c r="L1860" s="2" t="s">
        <v>8722</v>
      </c>
      <c r="M1860" t="s">
        <v>8262</v>
      </c>
      <c r="N1860" s="4"/>
    </row>
    <row r="1861" spans="1:14" ht="52" x14ac:dyDescent="0.3">
      <c r="A1861" s="1" t="str">
        <f>HYPERLINK("https://ipmanager.doe.gov/IPManager//ExternalLink.aspx?6ibkph2k9yi6F%2B0Vz7YoTvE8yjoHgvp6%2BG9yM%2Bu7GmM%3D","Link")</f>
        <v>Link</v>
      </c>
      <c r="B1861" s="2" t="s">
        <v>6002</v>
      </c>
      <c r="C1861" s="2" t="s">
        <v>5986</v>
      </c>
      <c r="D1861" s="2" t="s">
        <v>1952</v>
      </c>
      <c r="E1861" s="2" t="s">
        <v>6003</v>
      </c>
      <c r="F1861" s="2"/>
      <c r="G1861" s="2" t="s">
        <v>9</v>
      </c>
      <c r="H1861" s="7"/>
      <c r="I1861" s="2" t="s">
        <v>9</v>
      </c>
      <c r="K1861" t="e">
        <v>#N/A</v>
      </c>
      <c r="L1861" s="2" t="s">
        <v>8722</v>
      </c>
      <c r="M1861" t="s">
        <v>8262</v>
      </c>
      <c r="N1861" s="4"/>
    </row>
    <row r="1862" spans="1:14" ht="39" x14ac:dyDescent="0.3">
      <c r="A1862" s="1" t="str">
        <f>HYPERLINK("https://ipmanager.doe.gov/IPManager//ExternalLink.aspx?6ibkph2k9yi6F%2B0Vz7YoTvE8yjoHgvp6Xh6trJY10a0%3D","Link")</f>
        <v>Link</v>
      </c>
      <c r="B1862" s="2" t="s">
        <v>6004</v>
      </c>
      <c r="C1862" s="2" t="s">
        <v>5986</v>
      </c>
      <c r="D1862" s="2" t="s">
        <v>3066</v>
      </c>
      <c r="E1862" s="2" t="s">
        <v>6005</v>
      </c>
      <c r="F1862" s="2"/>
      <c r="G1862" s="2" t="s">
        <v>9</v>
      </c>
      <c r="H1862" s="7"/>
      <c r="I1862" s="2" t="s">
        <v>9</v>
      </c>
      <c r="K1862" t="e">
        <v>#N/A</v>
      </c>
      <c r="L1862" s="2" t="s">
        <v>8722</v>
      </c>
      <c r="M1862" t="s">
        <v>8262</v>
      </c>
      <c r="N1862" s="4"/>
    </row>
    <row r="1863" spans="1:14" ht="39" x14ac:dyDescent="0.3">
      <c r="A1863" s="1" t="str">
        <f>HYPERLINK("https://ipmanager.doe.gov/IPManager//ExternalLink.aspx?6ibkph2k9yi6F%2B0Vz7YoTjnDGhmGHGI7Jmp1ibjv%2Fe8%3D","Link")</f>
        <v>Link</v>
      </c>
      <c r="B1863" s="2" t="s">
        <v>6006</v>
      </c>
      <c r="C1863" s="2" t="s">
        <v>6007</v>
      </c>
      <c r="D1863" s="2" t="s">
        <v>5538</v>
      </c>
      <c r="E1863" s="2" t="s">
        <v>6008</v>
      </c>
      <c r="F1863" s="2"/>
      <c r="G1863" s="2" t="s">
        <v>9</v>
      </c>
      <c r="H1863" s="7"/>
      <c r="I1863" s="2" t="s">
        <v>9</v>
      </c>
      <c r="K1863" t="e">
        <v>#N/A</v>
      </c>
      <c r="L1863" s="2" t="s">
        <v>8723</v>
      </c>
      <c r="M1863" t="s">
        <v>8263</v>
      </c>
      <c r="N1863" s="4"/>
    </row>
    <row r="1864" spans="1:14" ht="26" x14ac:dyDescent="0.3">
      <c r="A1864" s="1" t="str">
        <f>HYPERLINK("https://ipmanager.doe.gov/IPManager//ExternalLink.aspx?6ibkph2k9yi6F%2B0Vz7YoTvE8yjoHgvp6%2B0enNtYP0oM%3D","Link")</f>
        <v>Link</v>
      </c>
      <c r="B1864" s="2" t="s">
        <v>6013</v>
      </c>
      <c r="C1864" s="2" t="s">
        <v>6010</v>
      </c>
      <c r="D1864" s="2" t="s">
        <v>4548</v>
      </c>
      <c r="E1864" s="2" t="s">
        <v>6014</v>
      </c>
      <c r="F1864" s="2"/>
      <c r="G1864" s="2" t="s">
        <v>9</v>
      </c>
      <c r="H1864" s="7"/>
      <c r="I1864" s="2" t="s">
        <v>9</v>
      </c>
      <c r="K1864" t="e">
        <v>#N/A</v>
      </c>
      <c r="L1864" s="2" t="s">
        <v>8724</v>
      </c>
      <c r="M1864" t="s">
        <v>8264</v>
      </c>
      <c r="N1864" s="4"/>
    </row>
    <row r="1865" spans="1:14" ht="39" x14ac:dyDescent="0.3">
      <c r="A1865" s="1" t="str">
        <f>HYPERLINK("https://ipmanager.doe.gov/IPManager//ExternalLink.aspx?6ibkph2k9yi6F%2B0Vz7YoTsTAnuFk5EoAQNVWCheM0xc%3D","Link")</f>
        <v>Link</v>
      </c>
      <c r="B1865" s="2" t="s">
        <v>6009</v>
      </c>
      <c r="C1865" s="2" t="s">
        <v>6010</v>
      </c>
      <c r="D1865" s="2" t="s">
        <v>4548</v>
      </c>
      <c r="E1865" s="2" t="s">
        <v>6011</v>
      </c>
      <c r="F1865" s="2" t="s">
        <v>6012</v>
      </c>
      <c r="G1865" s="2" t="s">
        <v>4813</v>
      </c>
      <c r="H1865" s="2"/>
      <c r="I1865" s="2" t="s">
        <v>9</v>
      </c>
      <c r="K1865" t="e">
        <v>#N/A</v>
      </c>
      <c r="L1865" s="2" t="s">
        <v>8724</v>
      </c>
      <c r="M1865" t="s">
        <v>8264</v>
      </c>
      <c r="N1865" s="4"/>
    </row>
    <row r="1866" spans="1:14" ht="39" x14ac:dyDescent="0.3">
      <c r="A1866" s="1" t="str">
        <f>HYPERLINK("https://ipmanager.doe.gov/IPManager//ExternalLink.aspx?6ibkph2k9yi6F%2B0Vz7YoTo7DPLa3%2F%2FGgEvraDAa7XmA%3D","Link")</f>
        <v>Link</v>
      </c>
      <c r="B1866" s="2" t="s">
        <v>6015</v>
      </c>
      <c r="C1866" s="2" t="s">
        <v>6010</v>
      </c>
      <c r="D1866" s="2" t="s">
        <v>4548</v>
      </c>
      <c r="E1866" s="2" t="s">
        <v>6011</v>
      </c>
      <c r="F1866" s="2" t="s">
        <v>6016</v>
      </c>
      <c r="G1866" s="2" t="s">
        <v>4468</v>
      </c>
      <c r="H1866" s="2"/>
      <c r="I1866" s="2" t="s">
        <v>9</v>
      </c>
      <c r="J1866" t="s">
        <v>6016</v>
      </c>
      <c r="K1866" t="s">
        <v>7760</v>
      </c>
      <c r="L1866" s="2" t="s">
        <v>8724</v>
      </c>
      <c r="M1866" t="s">
        <v>8264</v>
      </c>
      <c r="N1866" s="4"/>
    </row>
    <row r="1867" spans="1:14" ht="39" x14ac:dyDescent="0.3">
      <c r="A1867" s="1" t="str">
        <f>HYPERLINK("https://ipmanager.doe.gov/IPManager//ExternalLink.aspx?6ibkph2k9yi6F%2B0Vz7YoTo7DPLa3%2F%2FGgFx6JSd9lA1w%3D","Link")</f>
        <v>Link</v>
      </c>
      <c r="B1867" s="2" t="s">
        <v>6017</v>
      </c>
      <c r="C1867" s="2" t="s">
        <v>6018</v>
      </c>
      <c r="D1867" s="2" t="s">
        <v>4275</v>
      </c>
      <c r="E1867" s="2" t="s">
        <v>6019</v>
      </c>
      <c r="F1867" s="2"/>
      <c r="G1867" s="2" t="s">
        <v>9</v>
      </c>
      <c r="H1867" s="7"/>
      <c r="I1867" s="2" t="s">
        <v>9</v>
      </c>
      <c r="K1867" t="e">
        <v>#N/A</v>
      </c>
      <c r="L1867" s="2" t="s">
        <v>8725</v>
      </c>
      <c r="M1867" t="s">
        <v>8265</v>
      </c>
      <c r="N1867" s="4"/>
    </row>
    <row r="1868" spans="1:14" ht="52" x14ac:dyDescent="0.3">
      <c r="A1868" s="1" t="str">
        <f>HYPERLINK("https://ipmanager.doe.gov/IPManager//ExternalLink.aspx?6ibkph2k9yi6F%2B0Vz7YoThEBhkR3uHVraLGOXIQRzuc%3D","Link")</f>
        <v>Link</v>
      </c>
      <c r="B1868" s="2" t="s">
        <v>6020</v>
      </c>
      <c r="C1868" s="2" t="s">
        <v>6018</v>
      </c>
      <c r="D1868" s="2" t="s">
        <v>4275</v>
      </c>
      <c r="E1868" s="2" t="s">
        <v>6021</v>
      </c>
      <c r="F1868" s="2"/>
      <c r="G1868" s="2" t="s">
        <v>9</v>
      </c>
      <c r="H1868" s="7"/>
      <c r="I1868" s="2" t="s">
        <v>9</v>
      </c>
      <c r="K1868" t="e">
        <v>#N/A</v>
      </c>
      <c r="L1868" s="2" t="s">
        <v>8725</v>
      </c>
      <c r="M1868" t="s">
        <v>8265</v>
      </c>
      <c r="N1868" s="4"/>
    </row>
    <row r="1869" spans="1:14" ht="39" x14ac:dyDescent="0.3">
      <c r="A1869" s="1" t="str">
        <f>HYPERLINK("https://ipmanager.doe.gov/IPManager//ExternalLink.aspx?6ibkph2k9yi6F%2B0Vz7YoTnXVN2REjGcWm48fWLtcw08%3D","Link")</f>
        <v>Link</v>
      </c>
      <c r="B1869" s="2" t="s">
        <v>6025</v>
      </c>
      <c r="C1869" s="2" t="s">
        <v>6018</v>
      </c>
      <c r="D1869" s="2" t="s">
        <v>4275</v>
      </c>
      <c r="E1869" s="2" t="s">
        <v>6026</v>
      </c>
      <c r="F1869" s="2"/>
      <c r="G1869" s="2" t="s">
        <v>9</v>
      </c>
      <c r="H1869" s="7"/>
      <c r="I1869" s="2" t="s">
        <v>9</v>
      </c>
      <c r="K1869" t="e">
        <v>#N/A</v>
      </c>
      <c r="L1869" s="2" t="s">
        <v>8725</v>
      </c>
      <c r="M1869" t="s">
        <v>8265</v>
      </c>
      <c r="N1869" s="4"/>
    </row>
    <row r="1870" spans="1:14" ht="26" x14ac:dyDescent="0.3">
      <c r="A1870" s="1" t="str">
        <f>HYPERLINK("https://ipmanager.doe.gov/IPManager//ExternalLink.aspx?6ibkph2k9yi6F%2B0Vz7YoTo7DPLa3%2F%2FGgomeg5TZUO%2BM%3D","Link")</f>
        <v>Link</v>
      </c>
      <c r="B1870" s="2" t="s">
        <v>6022</v>
      </c>
      <c r="C1870" s="2" t="s">
        <v>6018</v>
      </c>
      <c r="D1870" s="2" t="s">
        <v>4275</v>
      </c>
      <c r="E1870" s="2" t="s">
        <v>6023</v>
      </c>
      <c r="F1870" s="2" t="s">
        <v>6024</v>
      </c>
      <c r="G1870" s="2" t="s">
        <v>807</v>
      </c>
      <c r="H1870" s="2"/>
      <c r="I1870" s="2" t="s">
        <v>9</v>
      </c>
      <c r="K1870" t="e">
        <v>#N/A</v>
      </c>
      <c r="L1870" s="2" t="s">
        <v>8725</v>
      </c>
      <c r="M1870" t="s">
        <v>8265</v>
      </c>
      <c r="N1870" s="4"/>
    </row>
    <row r="1871" spans="1:14" ht="39" x14ac:dyDescent="0.3">
      <c r="A1871" s="1" t="str">
        <f>HYPERLINK("https://ipmanager.doe.gov/IPManager//ExternalLink.aspx?6ibkph2k9yi6F%2B0Vz7YoThEBhkR3uHVrZ8aKpuq8OVg%3D","Link")</f>
        <v>Link</v>
      </c>
      <c r="B1871" s="2" t="s">
        <v>6027</v>
      </c>
      <c r="C1871" s="2" t="s">
        <v>6028</v>
      </c>
      <c r="D1871" s="2" t="s">
        <v>5694</v>
      </c>
      <c r="E1871" s="2" t="s">
        <v>6029</v>
      </c>
      <c r="F1871" s="2" t="s">
        <v>6030</v>
      </c>
      <c r="G1871" s="2" t="s">
        <v>6031</v>
      </c>
      <c r="H1871" s="7"/>
      <c r="I1871" s="2" t="s">
        <v>9</v>
      </c>
      <c r="K1871" t="e">
        <v>#N/A</v>
      </c>
      <c r="L1871" s="2" t="s">
        <v>8726</v>
      </c>
      <c r="M1871" t="s">
        <v>8266</v>
      </c>
      <c r="N1871" s="4"/>
    </row>
    <row r="1872" spans="1:14" ht="26" x14ac:dyDescent="0.3">
      <c r="A1872" s="1" t="str">
        <f>HYPERLINK("https://ipmanager.doe.gov/IPManager//ExternalLink.aspx?6ibkph2k9yi6F%2B0Vz7YoThEBhkR3uHVrGLgOTOFn82g%3D","Link")</f>
        <v>Link</v>
      </c>
      <c r="B1872" s="2" t="s">
        <v>6032</v>
      </c>
      <c r="C1872" s="2" t="s">
        <v>6033</v>
      </c>
      <c r="D1872" s="2" t="s">
        <v>3094</v>
      </c>
      <c r="E1872" s="2" t="s">
        <v>6034</v>
      </c>
      <c r="F1872" s="2"/>
      <c r="G1872" s="2" t="s">
        <v>9</v>
      </c>
      <c r="H1872" s="7"/>
      <c r="I1872" s="2" t="s">
        <v>9</v>
      </c>
      <c r="K1872" t="e">
        <v>#N/A</v>
      </c>
      <c r="L1872" s="2" t="s">
        <v>8727</v>
      </c>
      <c r="M1872" t="s">
        <v>8267</v>
      </c>
      <c r="N1872" s="4"/>
    </row>
    <row r="1873" spans="1:14" ht="78" x14ac:dyDescent="0.3">
      <c r="A1873" s="1" t="str">
        <f>HYPERLINK("https://ipmanager.doe.gov/IPManager//ExternalLink.aspx?6ibkph2k9yi6F%2B0Vz7YoTgZwfmYxrNyKFeMocFEVgGc%3D","Link")</f>
        <v>Link</v>
      </c>
      <c r="B1873" s="2" t="s">
        <v>6035</v>
      </c>
      <c r="C1873" s="2" t="s">
        <v>6036</v>
      </c>
      <c r="D1873" s="2" t="s">
        <v>3768</v>
      </c>
      <c r="E1873" s="2" t="s">
        <v>6037</v>
      </c>
      <c r="F1873" s="2" t="s">
        <v>6038</v>
      </c>
      <c r="G1873" s="2" t="s">
        <v>2608</v>
      </c>
      <c r="H1873" s="7"/>
      <c r="I1873" s="2" t="s">
        <v>9</v>
      </c>
      <c r="K1873" t="e">
        <v>#N/A</v>
      </c>
      <c r="L1873" s="2" t="s">
        <v>8728</v>
      </c>
      <c r="M1873" t="s">
        <v>8268</v>
      </c>
      <c r="N1873" s="4"/>
    </row>
    <row r="1874" spans="1:14" ht="52" x14ac:dyDescent="0.3">
      <c r="A1874" s="1" t="str">
        <f>HYPERLINK("https://ipmanager.doe.gov/IPManager//ExternalLink.aspx?6ibkph2k9yi6F%2B0Vz7YoTvPUg%2FVZPl3i4g42jg39%2FNk%3D","Link")</f>
        <v>Link</v>
      </c>
      <c r="B1874" s="2" t="s">
        <v>6040</v>
      </c>
      <c r="C1874" s="2" t="s">
        <v>6036</v>
      </c>
      <c r="D1874" s="2" t="s">
        <v>3768</v>
      </c>
      <c r="E1874" s="2" t="s">
        <v>6041</v>
      </c>
      <c r="F1874" s="2" t="s">
        <v>6042</v>
      </c>
      <c r="G1874" s="2" t="s">
        <v>6043</v>
      </c>
      <c r="H1874" s="7"/>
      <c r="I1874" s="2" t="s">
        <v>9</v>
      </c>
      <c r="K1874" t="e">
        <v>#N/A</v>
      </c>
      <c r="L1874" s="2" t="s">
        <v>8728</v>
      </c>
      <c r="M1874" t="s">
        <v>8268</v>
      </c>
      <c r="N1874" s="4"/>
    </row>
    <row r="1875" spans="1:14" ht="39" x14ac:dyDescent="0.3">
      <c r="A1875" s="1" t="str">
        <f>HYPERLINK("https://ipmanager.doe.gov/IPManager//ExternalLink.aspx?6ibkph2k9yi6F%2B0Vz7YoTvPUg%2FVZPl3iOMi3B9KXFEw%3D","Link")</f>
        <v>Link</v>
      </c>
      <c r="B1875" s="2" t="s">
        <v>6047</v>
      </c>
      <c r="C1875" s="2" t="s">
        <v>6045</v>
      </c>
      <c r="D1875" s="2" t="s">
        <v>1793</v>
      </c>
      <c r="E1875" s="2" t="s">
        <v>6048</v>
      </c>
      <c r="F1875" s="2" t="s">
        <v>6049</v>
      </c>
      <c r="G1875" s="2" t="s">
        <v>4705</v>
      </c>
      <c r="H1875" s="7"/>
      <c r="I1875" s="2" t="s">
        <v>9</v>
      </c>
      <c r="J1875" t="s">
        <v>6049</v>
      </c>
      <c r="K1875" t="s">
        <v>7701</v>
      </c>
      <c r="L1875" s="2" t="s">
        <v>8729</v>
      </c>
      <c r="M1875" t="s">
        <v>8269</v>
      </c>
      <c r="N1875" s="4"/>
    </row>
    <row r="1876" spans="1:14" ht="65" x14ac:dyDescent="0.3">
      <c r="A1876" s="1" t="str">
        <f>HYPERLINK("https://ipmanager.doe.gov/IPManager//ExternalLink.aspx?6ibkph2k9yi6F%2B0Vz7YoThEBhkR3uHVro7nXaoZGCe0%3D","Link")</f>
        <v>Link</v>
      </c>
      <c r="B1876" s="2" t="s">
        <v>6044</v>
      </c>
      <c r="C1876" s="2" t="s">
        <v>6045</v>
      </c>
      <c r="D1876" s="2" t="s">
        <v>1793</v>
      </c>
      <c r="E1876" s="2" t="s">
        <v>6046</v>
      </c>
      <c r="F1876" s="2"/>
      <c r="G1876" s="2" t="s">
        <v>9</v>
      </c>
      <c r="H1876" s="7"/>
      <c r="I1876" s="2" t="s">
        <v>9</v>
      </c>
      <c r="K1876" t="e">
        <v>#N/A</v>
      </c>
      <c r="L1876" s="2" t="s">
        <v>8729</v>
      </c>
      <c r="M1876" t="s">
        <v>8269</v>
      </c>
      <c r="N1876" s="4"/>
    </row>
    <row r="1877" spans="1:14" ht="26" x14ac:dyDescent="0.3">
      <c r="A1877" s="1" t="str">
        <f>HYPERLINK("https://ipmanager.doe.gov/IPManager//ExternalLink.aspx?6ibkph2k9yi6F%2B0Vz7YoTvPUg%2FVZPl3idtR6VMUQlNs%3D","Link")</f>
        <v>Link</v>
      </c>
      <c r="B1877" s="2" t="s">
        <v>6050</v>
      </c>
      <c r="C1877" s="2" t="s">
        <v>6051</v>
      </c>
      <c r="D1877" s="2" t="s">
        <v>1474</v>
      </c>
      <c r="E1877" s="2" t="s">
        <v>6052</v>
      </c>
      <c r="F1877" s="2" t="s">
        <v>6053</v>
      </c>
      <c r="G1877" s="2" t="s">
        <v>1984</v>
      </c>
      <c r="H1877" s="7"/>
      <c r="I1877" s="2" t="s">
        <v>9</v>
      </c>
      <c r="K1877" t="e">
        <v>#N/A</v>
      </c>
      <c r="L1877" s="2" t="s">
        <v>8730</v>
      </c>
      <c r="M1877" t="s">
        <v>8270</v>
      </c>
      <c r="N1877" s="4"/>
    </row>
    <row r="1878" spans="1:14" ht="26" x14ac:dyDescent="0.3">
      <c r="A1878" s="1" t="str">
        <f>HYPERLINK("https://ipmanager.doe.gov/IPManager//ExternalLink.aspx?6ibkph2k9yi6F%2B0Vz7YoTq6RR9BlGHHiBLqbz4vGwag%3D","Link")</f>
        <v>Link</v>
      </c>
      <c r="B1878" s="2" t="s">
        <v>6054</v>
      </c>
      <c r="C1878" s="2" t="s">
        <v>6055</v>
      </c>
      <c r="D1878" s="2" t="s">
        <v>6056</v>
      </c>
      <c r="E1878" s="2" t="s">
        <v>6057</v>
      </c>
      <c r="F1878" s="2" t="s">
        <v>6058</v>
      </c>
      <c r="G1878" s="2" t="s">
        <v>6059</v>
      </c>
      <c r="H1878" s="7"/>
      <c r="I1878" s="2" t="s">
        <v>9</v>
      </c>
      <c r="J1878" t="s">
        <v>7572</v>
      </c>
      <c r="K1878" t="s">
        <v>7967</v>
      </c>
      <c r="L1878" s="2" t="s">
        <v>8731</v>
      </c>
      <c r="M1878" t="s">
        <v>8271</v>
      </c>
      <c r="N1878" s="4"/>
    </row>
    <row r="1879" spans="1:14" ht="39" x14ac:dyDescent="0.3">
      <c r="A1879" s="1" t="str">
        <f>HYPERLINK("https://ipmanager.doe.gov/IPManager//ExternalLink.aspx?6ibkph2k9yi6F%2B0Vz7YoTgZwfmYxrNyKEFGVztfRoFw%3D","Link")</f>
        <v>Link</v>
      </c>
      <c r="B1879" s="2" t="s">
        <v>6060</v>
      </c>
      <c r="C1879" s="2" t="s">
        <v>6061</v>
      </c>
      <c r="D1879" s="2" t="s">
        <v>6062</v>
      </c>
      <c r="E1879" s="2" t="s">
        <v>6063</v>
      </c>
      <c r="F1879" s="2" t="s">
        <v>6064</v>
      </c>
      <c r="G1879" s="2" t="s">
        <v>3916</v>
      </c>
      <c r="H1879" s="7"/>
      <c r="I1879" s="2" t="s">
        <v>9</v>
      </c>
      <c r="J1879" t="s">
        <v>4885</v>
      </c>
      <c r="K1879" t="s">
        <v>7950</v>
      </c>
      <c r="L1879" s="2" t="s">
        <v>8732</v>
      </c>
      <c r="M1879" t="s">
        <v>8272</v>
      </c>
      <c r="N1879" s="4"/>
    </row>
    <row r="1880" spans="1:14" ht="39" x14ac:dyDescent="0.3">
      <c r="A1880" s="1" t="str">
        <f>HYPERLINK("https://ipmanager.doe.gov/IPManager//ExternalLink.aspx?6ibkph2k9yi6F%2B0Vz7YoTq6RR9BlGHHilN%2FRmiwn8sg%3D","Link")</f>
        <v>Link</v>
      </c>
      <c r="B1880" s="2" t="s">
        <v>6065</v>
      </c>
      <c r="C1880" s="2" t="s">
        <v>6061</v>
      </c>
      <c r="D1880" s="2" t="s">
        <v>6062</v>
      </c>
      <c r="E1880" s="2" t="s">
        <v>6066</v>
      </c>
      <c r="F1880" s="2" t="s">
        <v>6067</v>
      </c>
      <c r="G1880" s="2" t="s">
        <v>3793</v>
      </c>
      <c r="H1880" s="7"/>
      <c r="I1880" s="2" t="s">
        <v>9</v>
      </c>
      <c r="J1880" t="s">
        <v>2740</v>
      </c>
      <c r="K1880" t="s">
        <v>7893</v>
      </c>
      <c r="L1880" s="2" t="s">
        <v>8732</v>
      </c>
      <c r="M1880" t="s">
        <v>8272</v>
      </c>
      <c r="N1880" s="4"/>
    </row>
    <row r="1881" spans="1:14" ht="39" x14ac:dyDescent="0.3">
      <c r="A1881" s="1" t="str">
        <f>HYPERLINK("https://ipmanager.doe.gov/IPManager//ExternalLink.aspx?6ibkph2k9yi6F%2B0Vz7YoTq6RR9BlGHHixsJXe6I6rlQ%3D","Link")</f>
        <v>Link</v>
      </c>
      <c r="B1881" s="2" t="s">
        <v>6068</v>
      </c>
      <c r="C1881" s="2" t="s">
        <v>6061</v>
      </c>
      <c r="D1881" s="2" t="s">
        <v>6062</v>
      </c>
      <c r="E1881" s="2" t="s">
        <v>6066</v>
      </c>
      <c r="F1881" s="2"/>
      <c r="G1881" s="2" t="s">
        <v>9</v>
      </c>
      <c r="H1881" s="7"/>
      <c r="I1881" s="2" t="s">
        <v>9</v>
      </c>
      <c r="K1881" t="e">
        <v>#N/A</v>
      </c>
      <c r="L1881" s="2" t="s">
        <v>8732</v>
      </c>
      <c r="M1881" t="s">
        <v>8272</v>
      </c>
      <c r="N1881" s="4"/>
    </row>
    <row r="1882" spans="1:14" ht="39" x14ac:dyDescent="0.3">
      <c r="A1882" s="1" t="str">
        <f>HYPERLINK("https://ipmanager.doe.gov/IPManager//ExternalLink.aspx?6ibkph2k9yi6F%2B0Vz7YoTq6RR9BlGHHihmPN7g0nAFM%3D","Link")</f>
        <v>Link</v>
      </c>
      <c r="B1882" s="2" t="s">
        <v>6069</v>
      </c>
      <c r="C1882" s="2" t="s">
        <v>6061</v>
      </c>
      <c r="D1882" s="2" t="s">
        <v>6062</v>
      </c>
      <c r="E1882" s="2" t="s">
        <v>6063</v>
      </c>
      <c r="F1882" s="2"/>
      <c r="G1882" s="2" t="s">
        <v>9</v>
      </c>
      <c r="H1882" s="7"/>
      <c r="I1882" s="2" t="s">
        <v>9</v>
      </c>
      <c r="K1882" t="e">
        <v>#N/A</v>
      </c>
      <c r="L1882" s="2" t="s">
        <v>8732</v>
      </c>
      <c r="M1882" t="s">
        <v>8272</v>
      </c>
      <c r="N1882" s="4"/>
    </row>
    <row r="1883" spans="1:14" ht="39" x14ac:dyDescent="0.3">
      <c r="A1883" s="1" t="str">
        <f>HYPERLINK("https://ipmanager.doe.gov/IPManager//ExternalLink.aspx?6ibkph2k9yi6F%2B0Vz7YoTsTAnuFk5EoAVTZfWxhPTR8%3D","Link")</f>
        <v>Link</v>
      </c>
      <c r="B1883" s="2" t="s">
        <v>6070</v>
      </c>
      <c r="C1883" s="2" t="s">
        <v>6071</v>
      </c>
      <c r="D1883" s="2" t="s">
        <v>3527</v>
      </c>
      <c r="E1883" s="2" t="s">
        <v>6072</v>
      </c>
      <c r="F1883" s="2" t="s">
        <v>6073</v>
      </c>
      <c r="G1883" s="2" t="s">
        <v>5984</v>
      </c>
      <c r="H1883" s="8">
        <v>10323151</v>
      </c>
      <c r="I1883" s="2" t="s">
        <v>6074</v>
      </c>
      <c r="K1883" t="e">
        <v>#N/A</v>
      </c>
      <c r="L1883" s="2" t="s">
        <v>8733</v>
      </c>
      <c r="M1883" t="s">
        <v>8273</v>
      </c>
    </row>
    <row r="1884" spans="1:14" ht="26" x14ac:dyDescent="0.3">
      <c r="A1884" s="1" t="str">
        <f>HYPERLINK("https://ipmanager.doe.gov/IPManager//ExternalLink.aspx?6ibkph2k9yi6F%2B0Vz7YoTsTAnuFk5EoAj%2B3Hdrzlu2w%3D","Link")</f>
        <v>Link</v>
      </c>
      <c r="B1884" s="2" t="s">
        <v>6075</v>
      </c>
      <c r="C1884" s="2" t="s">
        <v>6076</v>
      </c>
      <c r="D1884" s="2" t="s">
        <v>5638</v>
      </c>
      <c r="E1884" s="2" t="s">
        <v>6077</v>
      </c>
      <c r="F1884" s="2"/>
      <c r="G1884" s="2" t="s">
        <v>9</v>
      </c>
      <c r="H1884" s="7"/>
      <c r="I1884" s="2" t="s">
        <v>9</v>
      </c>
      <c r="K1884" t="e">
        <v>#N/A</v>
      </c>
      <c r="L1884" s="2" t="s">
        <v>8734</v>
      </c>
      <c r="M1884" t="s">
        <v>8274</v>
      </c>
      <c r="N1884" s="4"/>
    </row>
    <row r="1885" spans="1:14" ht="39" x14ac:dyDescent="0.3">
      <c r="A1885" s="1" t="str">
        <f>HYPERLINK("https://ipmanager.doe.gov/IPManager//ExternalLink.aspx?6ibkph2k9yi6F%2B0Vz7YoTq6RR9BlGHHipIcmbhljo28%3D","Link")</f>
        <v>Link</v>
      </c>
      <c r="B1885" s="2" t="s">
        <v>6078</v>
      </c>
      <c r="C1885" s="2" t="s">
        <v>6079</v>
      </c>
      <c r="D1885" s="2" t="s">
        <v>5638</v>
      </c>
      <c r="E1885" s="2" t="s">
        <v>6080</v>
      </c>
      <c r="F1885" s="2"/>
      <c r="G1885" s="2" t="s">
        <v>9</v>
      </c>
      <c r="H1885" s="7"/>
      <c r="I1885" s="2" t="s">
        <v>9</v>
      </c>
      <c r="K1885" t="e">
        <v>#N/A</v>
      </c>
      <c r="L1885" s="2" t="s">
        <v>8735</v>
      </c>
      <c r="M1885" t="s">
        <v>8275</v>
      </c>
      <c r="N1885" s="4"/>
    </row>
    <row r="1886" spans="1:14" ht="78" x14ac:dyDescent="0.3">
      <c r="A1886" s="1" t="str">
        <f>HYPERLINK("https://ipmanager.doe.gov/IPManager//ExternalLink.aspx?6ibkph2k9yi6F%2B0Vz7YoTvPUg%2FVZPl3itm7cmiPbveI%3D","Link")</f>
        <v>Link</v>
      </c>
      <c r="B1886" s="2" t="s">
        <v>6088</v>
      </c>
      <c r="C1886" s="2" t="s">
        <v>6082</v>
      </c>
      <c r="D1886" s="2" t="s">
        <v>4384</v>
      </c>
      <c r="E1886" s="2" t="s">
        <v>6089</v>
      </c>
      <c r="F1886" s="2" t="s">
        <v>6090</v>
      </c>
      <c r="G1886" s="2" t="s">
        <v>5744</v>
      </c>
      <c r="H1886" s="7"/>
      <c r="I1886" s="2" t="s">
        <v>9</v>
      </c>
      <c r="K1886" t="e">
        <v>#N/A</v>
      </c>
      <c r="L1886" s="2" t="s">
        <v>8736</v>
      </c>
      <c r="M1886" t="s">
        <v>8276</v>
      </c>
      <c r="N1886" s="4"/>
    </row>
    <row r="1887" spans="1:14" ht="26" x14ac:dyDescent="0.3">
      <c r="A1887" s="1" t="str">
        <f>HYPERLINK("https://ipmanager.doe.gov/IPManager//ExternalLink.aspx?6ibkph2k9yi6F%2B0Vz7YoTvPUg%2FVZPl3i6lOMiJwpjtM%3D","Link")</f>
        <v>Link</v>
      </c>
      <c r="B1887" s="2" t="s">
        <v>6091</v>
      </c>
      <c r="C1887" s="2" t="s">
        <v>6082</v>
      </c>
      <c r="D1887" s="2" t="s">
        <v>4384</v>
      </c>
      <c r="E1887" s="2" t="s">
        <v>6092</v>
      </c>
      <c r="F1887" s="2" t="s">
        <v>6093</v>
      </c>
      <c r="G1887" s="2" t="s">
        <v>6094</v>
      </c>
      <c r="H1887" s="7"/>
      <c r="I1887" s="2" t="s">
        <v>9</v>
      </c>
      <c r="K1887" t="e">
        <v>#N/A</v>
      </c>
      <c r="L1887" s="2" t="s">
        <v>8736</v>
      </c>
      <c r="M1887" t="s">
        <v>8276</v>
      </c>
      <c r="N1887" s="4"/>
    </row>
    <row r="1888" spans="1:14" ht="65" x14ac:dyDescent="0.3">
      <c r="A1888" s="1" t="str">
        <f>HYPERLINK("https://ipmanager.doe.gov/IPManager//ExternalLink.aspx?6ibkph2k9yi6F%2B0Vz7YoTq6RR9BlGHHiOchl5BIypxI%3D","Link")</f>
        <v>Link</v>
      </c>
      <c r="B1888" s="2" t="s">
        <v>6095</v>
      </c>
      <c r="C1888" s="2" t="s">
        <v>6082</v>
      </c>
      <c r="D1888" s="2" t="s">
        <v>4384</v>
      </c>
      <c r="E1888" s="2" t="s">
        <v>6096</v>
      </c>
      <c r="F1888" s="2" t="s">
        <v>6097</v>
      </c>
      <c r="G1888" s="2" t="s">
        <v>6098</v>
      </c>
      <c r="H1888" s="7"/>
      <c r="I1888" s="2" t="s">
        <v>9</v>
      </c>
      <c r="K1888" t="e">
        <v>#N/A</v>
      </c>
      <c r="L1888" s="2" t="s">
        <v>8736</v>
      </c>
      <c r="M1888" t="s">
        <v>8276</v>
      </c>
      <c r="N1888" s="4"/>
    </row>
    <row r="1889" spans="1:14" ht="52" x14ac:dyDescent="0.3">
      <c r="A1889" s="1" t="str">
        <f>HYPERLINK("https://ipmanager.doe.gov/IPManager//ExternalLink.aspx?6ibkph2k9yi6F%2B0Vz7YoTq6RR9BlGHHiARUdWPYIjyk%3D","Link")</f>
        <v>Link</v>
      </c>
      <c r="B1889" s="2" t="s">
        <v>6081</v>
      </c>
      <c r="C1889" s="2" t="s">
        <v>6082</v>
      </c>
      <c r="D1889" s="2" t="s">
        <v>4384</v>
      </c>
      <c r="E1889" s="2" t="s">
        <v>6083</v>
      </c>
      <c r="F1889" s="2"/>
      <c r="G1889" s="2" t="s">
        <v>9</v>
      </c>
      <c r="H1889" s="7"/>
      <c r="I1889" s="2" t="s">
        <v>9</v>
      </c>
      <c r="K1889" t="e">
        <v>#N/A</v>
      </c>
      <c r="L1889" s="2" t="s">
        <v>8736</v>
      </c>
      <c r="M1889" t="s">
        <v>8276</v>
      </c>
      <c r="N1889" s="4"/>
    </row>
    <row r="1890" spans="1:14" ht="65" x14ac:dyDescent="0.3">
      <c r="A1890" s="1" t="str">
        <f>HYPERLINK("https://ipmanager.doe.gov/IPManager//ExternalLink.aspx?6ibkph2k9yi6F%2B0Vz7YoTvPUg%2FVZPl3idDv55%2BN1RNc%3D","Link")</f>
        <v>Link</v>
      </c>
      <c r="B1890" s="2" t="s">
        <v>6084</v>
      </c>
      <c r="C1890" s="2" t="s">
        <v>6082</v>
      </c>
      <c r="D1890" s="2" t="s">
        <v>4384</v>
      </c>
      <c r="E1890" s="2" t="s">
        <v>6085</v>
      </c>
      <c r="F1890" s="2"/>
      <c r="G1890" s="2" t="s">
        <v>9</v>
      </c>
      <c r="H1890" s="7"/>
      <c r="I1890" s="2" t="s">
        <v>9</v>
      </c>
      <c r="K1890" t="e">
        <v>#N/A</v>
      </c>
      <c r="L1890" s="2" t="s">
        <v>8736</v>
      </c>
      <c r="M1890" t="s">
        <v>8276</v>
      </c>
      <c r="N1890" s="4"/>
    </row>
    <row r="1891" spans="1:14" ht="39" x14ac:dyDescent="0.3">
      <c r="A1891" s="1" t="str">
        <f>HYPERLINK("https://ipmanager.doe.gov/IPManager//ExternalLink.aspx?6ibkph2k9yi6F%2B0Vz7YoTvPUg%2FVZPl3i%2B4mB6THcgy4%3D","Link")</f>
        <v>Link</v>
      </c>
      <c r="B1891" s="2" t="s">
        <v>6086</v>
      </c>
      <c r="C1891" s="2" t="s">
        <v>6082</v>
      </c>
      <c r="D1891" s="2" t="s">
        <v>4384</v>
      </c>
      <c r="E1891" s="2" t="s">
        <v>6087</v>
      </c>
      <c r="F1891" s="2"/>
      <c r="G1891" s="2" t="s">
        <v>9</v>
      </c>
      <c r="H1891" s="7"/>
      <c r="I1891" s="2" t="s">
        <v>9</v>
      </c>
      <c r="K1891" t="e">
        <v>#N/A</v>
      </c>
      <c r="L1891" s="2" t="s">
        <v>8736</v>
      </c>
      <c r="M1891" t="s">
        <v>8276</v>
      </c>
      <c r="N1891" s="4"/>
    </row>
    <row r="1892" spans="1:14" ht="52" x14ac:dyDescent="0.3">
      <c r="A1892" s="1" t="str">
        <f>HYPERLINK("https://ipmanager.doe.gov/IPManager//ExternalLink.aspx?6ibkph2k9yi6F%2B0Vz7YoTsTAnuFk5EoASL7%2BL7KYSlk%3D","Link")</f>
        <v>Link</v>
      </c>
      <c r="B1892" s="2" t="s">
        <v>6099</v>
      </c>
      <c r="C1892" s="2" t="s">
        <v>6100</v>
      </c>
      <c r="D1892" s="2" t="s">
        <v>1751</v>
      </c>
      <c r="E1892" s="2" t="s">
        <v>6101</v>
      </c>
      <c r="F1892" s="2" t="s">
        <v>6102</v>
      </c>
      <c r="G1892" s="2" t="s">
        <v>6103</v>
      </c>
      <c r="H1892" s="7"/>
      <c r="I1892" s="2" t="s">
        <v>9</v>
      </c>
      <c r="K1892" t="e">
        <v>#N/A</v>
      </c>
      <c r="L1892" s="2" t="s">
        <v>8737</v>
      </c>
      <c r="M1892" t="s">
        <v>8277</v>
      </c>
      <c r="N1892" s="4"/>
    </row>
    <row r="1893" spans="1:14" ht="26" x14ac:dyDescent="0.3">
      <c r="A1893" s="1" t="str">
        <f>HYPERLINK("https://ipmanager.doe.gov/IPManager//ExternalLink.aspx?6ibkph2k9yi6F%2B0Vz7YoThEBhkR3uHVrkMBhrqbPQCs%3D","Link")</f>
        <v>Link</v>
      </c>
      <c r="B1893" s="2" t="s">
        <v>6104</v>
      </c>
      <c r="C1893" s="2" t="s">
        <v>6100</v>
      </c>
      <c r="D1893" s="2" t="s">
        <v>3583</v>
      </c>
      <c r="E1893" s="2" t="s">
        <v>6105</v>
      </c>
      <c r="F1893" s="2"/>
      <c r="G1893" s="2" t="s">
        <v>9</v>
      </c>
      <c r="H1893" s="7"/>
      <c r="I1893" s="2" t="s">
        <v>9</v>
      </c>
      <c r="K1893" t="e">
        <v>#N/A</v>
      </c>
      <c r="L1893" s="2" t="s">
        <v>8737</v>
      </c>
      <c r="M1893" t="s">
        <v>8277</v>
      </c>
      <c r="N1893" s="4"/>
    </row>
    <row r="1894" spans="1:14" ht="65" x14ac:dyDescent="0.3">
      <c r="A1894" s="1" t="str">
        <f>HYPERLINK("https://ipmanager.doe.gov/IPManager//ExternalLink.aspx?6ibkph2k9yi6F%2B0Vz7YoTkqAgjuWMa9Q8H7WlXmyDGE%3D","Link")</f>
        <v>Link</v>
      </c>
      <c r="B1894" s="2" t="s">
        <v>6106</v>
      </c>
      <c r="C1894" s="2" t="s">
        <v>6100</v>
      </c>
      <c r="D1894" s="2" t="s">
        <v>2701</v>
      </c>
      <c r="E1894" s="2" t="s">
        <v>6107</v>
      </c>
      <c r="F1894" s="2"/>
      <c r="G1894" s="2" t="s">
        <v>9</v>
      </c>
      <c r="H1894" s="7"/>
      <c r="I1894" s="2" t="s">
        <v>9</v>
      </c>
      <c r="K1894" t="e">
        <v>#N/A</v>
      </c>
      <c r="L1894" s="2" t="s">
        <v>8737</v>
      </c>
      <c r="M1894" t="s">
        <v>8277</v>
      </c>
      <c r="N1894" s="4"/>
    </row>
    <row r="1895" spans="1:14" ht="26" x14ac:dyDescent="0.3">
      <c r="A1895" s="1" t="str">
        <f>HYPERLINK("https://ipmanager.doe.gov/IPManager//ExternalLink.aspx?6ibkph2k9yi6F%2B0Vz7YoTvE8yjoHgvp6N4VvMof2B9Q%3D","Link")</f>
        <v>Link</v>
      </c>
      <c r="B1895" s="2" t="s">
        <v>6113</v>
      </c>
      <c r="C1895" s="2" t="s">
        <v>6109</v>
      </c>
      <c r="D1895" s="2" t="s">
        <v>1375</v>
      </c>
      <c r="E1895" s="2" t="s">
        <v>6114</v>
      </c>
      <c r="F1895" s="2" t="s">
        <v>6115</v>
      </c>
      <c r="G1895" s="2" t="s">
        <v>6116</v>
      </c>
      <c r="H1895" s="7"/>
      <c r="I1895" s="2" t="s">
        <v>9</v>
      </c>
      <c r="K1895" t="e">
        <v>#N/A</v>
      </c>
      <c r="L1895" s="2" t="s">
        <v>8738</v>
      </c>
      <c r="M1895" t="s">
        <v>8278</v>
      </c>
      <c r="N1895" s="4"/>
    </row>
    <row r="1896" spans="1:14" ht="39" x14ac:dyDescent="0.3">
      <c r="A1896" s="1" t="str">
        <f>HYPERLINK("https://ipmanager.doe.gov/IPManager//ExternalLink.aspx?6ibkph2k9yi6F%2B0Vz7YoTq6RR9BlGHHij78c1qQ%2Fl%2FE%3D","Link")</f>
        <v>Link</v>
      </c>
      <c r="B1896" s="2" t="s">
        <v>6108</v>
      </c>
      <c r="C1896" s="2" t="s">
        <v>6109</v>
      </c>
      <c r="D1896" s="2" t="s">
        <v>2908</v>
      </c>
      <c r="E1896" s="2" t="s">
        <v>6110</v>
      </c>
      <c r="F1896" s="2"/>
      <c r="G1896" s="2" t="s">
        <v>9</v>
      </c>
      <c r="H1896" s="7"/>
      <c r="I1896" s="2" t="s">
        <v>9</v>
      </c>
      <c r="K1896" t="e">
        <v>#N/A</v>
      </c>
      <c r="L1896" s="2" t="s">
        <v>8738</v>
      </c>
      <c r="M1896" t="s">
        <v>8278</v>
      </c>
      <c r="N1896" s="4"/>
    </row>
    <row r="1897" spans="1:14" ht="52" x14ac:dyDescent="0.3">
      <c r="A1897" s="1" t="str">
        <f>HYPERLINK("https://ipmanager.doe.gov/IPManager//ExternalLink.aspx?6ibkph2k9yi6F%2B0Vz7YoTo7DPLa3%2F%2FGg4QAv3VV4FYQ%3D","Link")</f>
        <v>Link</v>
      </c>
      <c r="B1897" s="2" t="s">
        <v>6111</v>
      </c>
      <c r="C1897" s="2" t="s">
        <v>6109</v>
      </c>
      <c r="D1897" s="2" t="s">
        <v>2908</v>
      </c>
      <c r="E1897" s="2" t="s">
        <v>6112</v>
      </c>
      <c r="F1897" s="2"/>
      <c r="G1897" s="2" t="s">
        <v>9</v>
      </c>
      <c r="H1897" s="7"/>
      <c r="I1897" s="2" t="s">
        <v>9</v>
      </c>
      <c r="K1897" t="e">
        <v>#N/A</v>
      </c>
      <c r="L1897" s="2" t="s">
        <v>8738</v>
      </c>
      <c r="M1897" t="s">
        <v>8278</v>
      </c>
      <c r="N1897" s="4"/>
    </row>
    <row r="1898" spans="1:14" ht="26" x14ac:dyDescent="0.3">
      <c r="A1898" s="1" t="str">
        <f>HYPERLINK("https://ipmanager.doe.gov/IPManager//ExternalLink.aspx?6ibkph2k9yi6F%2B0Vz7YoTvE8yjoHgvp6CQPQakKif%2Fo%3D","Link")</f>
        <v>Link</v>
      </c>
      <c r="B1898" s="2" t="s">
        <v>6117</v>
      </c>
      <c r="C1898" s="2" t="s">
        <v>6109</v>
      </c>
      <c r="D1898" s="2" t="s">
        <v>1375</v>
      </c>
      <c r="E1898" s="2" t="s">
        <v>6118</v>
      </c>
      <c r="F1898" s="2"/>
      <c r="G1898" s="2" t="s">
        <v>9</v>
      </c>
      <c r="H1898" s="7"/>
      <c r="I1898" s="2" t="s">
        <v>9</v>
      </c>
      <c r="K1898" t="e">
        <v>#N/A</v>
      </c>
      <c r="L1898" s="2" t="s">
        <v>8738</v>
      </c>
      <c r="M1898" t="s">
        <v>8278</v>
      </c>
      <c r="N1898" s="4"/>
    </row>
    <row r="1899" spans="1:14" ht="26" x14ac:dyDescent="0.3">
      <c r="A1899" s="1" t="str">
        <f>HYPERLINK("https://ipmanager.doe.gov/IPManager//ExternalLink.aspx?6ibkph2k9yi6F%2B0Vz7YoTnXVN2REjGcWkRAXfnmZmA4%3D","Link")</f>
        <v>Link</v>
      </c>
      <c r="B1899" s="2" t="s">
        <v>6119</v>
      </c>
      <c r="C1899" s="2" t="s">
        <v>6109</v>
      </c>
      <c r="D1899" s="2" t="s">
        <v>1375</v>
      </c>
      <c r="E1899" s="2" t="s">
        <v>6120</v>
      </c>
      <c r="F1899" s="2"/>
      <c r="G1899" s="2" t="s">
        <v>9</v>
      </c>
      <c r="H1899" s="7"/>
      <c r="I1899" s="2" t="s">
        <v>9</v>
      </c>
      <c r="K1899" t="e">
        <v>#N/A</v>
      </c>
      <c r="L1899" s="2" t="s">
        <v>8738</v>
      </c>
      <c r="M1899" t="s">
        <v>8278</v>
      </c>
      <c r="N1899" s="4"/>
    </row>
    <row r="1900" spans="1:14" ht="39" x14ac:dyDescent="0.3">
      <c r="A1900" s="1" t="str">
        <f>HYPERLINK("https://ipmanager.doe.gov/IPManager//ExternalLink.aspx?6ibkph2k9yi6F%2B0Vz7YoTnXVN2REjGcWLeEzPepmLKE%3D","Link")</f>
        <v>Link</v>
      </c>
      <c r="B1900" s="2" t="s">
        <v>6121</v>
      </c>
      <c r="C1900" s="2" t="s">
        <v>6109</v>
      </c>
      <c r="D1900" s="2" t="s">
        <v>1375</v>
      </c>
      <c r="E1900" s="2" t="s">
        <v>6122</v>
      </c>
      <c r="F1900" s="2"/>
      <c r="G1900" s="2" t="s">
        <v>9</v>
      </c>
      <c r="H1900" s="7"/>
      <c r="I1900" s="2" t="s">
        <v>9</v>
      </c>
      <c r="K1900" t="e">
        <v>#N/A</v>
      </c>
      <c r="L1900" s="2" t="s">
        <v>8738</v>
      </c>
      <c r="M1900" t="s">
        <v>8278</v>
      </c>
      <c r="N1900" s="4"/>
    </row>
    <row r="1901" spans="1:14" ht="65" x14ac:dyDescent="0.3">
      <c r="A1901" s="1" t="str">
        <f>HYPERLINK("https://ipmanager.doe.gov/IPManager//ExternalLink.aspx?6ibkph2k9yi6F%2B0Vz7YoTnXVN2REjGcWFfamklqspv8%3D","Link")</f>
        <v>Link</v>
      </c>
      <c r="B1901" s="2" t="s">
        <v>6123</v>
      </c>
      <c r="C1901" s="2" t="s">
        <v>6124</v>
      </c>
      <c r="D1901" s="2" t="s">
        <v>562</v>
      </c>
      <c r="E1901" s="2" t="s">
        <v>6125</v>
      </c>
      <c r="F1901" s="2"/>
      <c r="G1901" s="2" t="s">
        <v>9</v>
      </c>
      <c r="H1901" s="7"/>
      <c r="I1901" s="2" t="s">
        <v>9</v>
      </c>
      <c r="K1901" t="e">
        <v>#N/A</v>
      </c>
      <c r="L1901" s="2" t="s">
        <v>8739</v>
      </c>
      <c r="M1901" t="s">
        <v>8085</v>
      </c>
      <c r="N1901" s="4"/>
    </row>
    <row r="1902" spans="1:14" ht="39" x14ac:dyDescent="0.3">
      <c r="A1902" s="1" t="str">
        <f>HYPERLINK("https://ipmanager.doe.gov/IPManager//ExternalLink.aspx?6ibkph2k9yi6F%2B0Vz7YoTvE8yjoHgvp6CtALvxmqRtc%3D","Link")</f>
        <v>Link</v>
      </c>
      <c r="B1902" s="2" t="s">
        <v>6126</v>
      </c>
      <c r="C1902" s="2" t="s">
        <v>6124</v>
      </c>
      <c r="D1902" s="2" t="s">
        <v>562</v>
      </c>
      <c r="E1902" s="2" t="s">
        <v>6127</v>
      </c>
      <c r="F1902" s="2"/>
      <c r="G1902" s="2" t="s">
        <v>9</v>
      </c>
      <c r="H1902" s="7"/>
      <c r="I1902" s="2" t="s">
        <v>9</v>
      </c>
      <c r="K1902" t="e">
        <v>#N/A</v>
      </c>
      <c r="L1902" s="2" t="s">
        <v>8739</v>
      </c>
      <c r="M1902" t="s">
        <v>8085</v>
      </c>
      <c r="N1902" s="4"/>
    </row>
    <row r="1903" spans="1:14" ht="39" x14ac:dyDescent="0.3">
      <c r="A1903" s="1" t="str">
        <f>HYPERLINK("https://ipmanager.doe.gov/IPManager//ExternalLink.aspx?6ibkph2k9yi6F%2B0Vz7YoTvPUg%2FVZPl3ic6XQXmqAndc%3D","Link")</f>
        <v>Link</v>
      </c>
      <c r="B1903" s="2" t="s">
        <v>6128</v>
      </c>
      <c r="C1903" s="2" t="s">
        <v>6124</v>
      </c>
      <c r="D1903" s="2" t="s">
        <v>562</v>
      </c>
      <c r="E1903" s="2" t="s">
        <v>6129</v>
      </c>
      <c r="F1903" s="2"/>
      <c r="G1903" s="2" t="s">
        <v>9</v>
      </c>
      <c r="H1903" s="7"/>
      <c r="I1903" s="2" t="s">
        <v>9</v>
      </c>
      <c r="K1903" t="e">
        <v>#N/A</v>
      </c>
      <c r="L1903" s="2" t="s">
        <v>8739</v>
      </c>
      <c r="M1903" t="s">
        <v>8085</v>
      </c>
      <c r="N1903" s="4"/>
    </row>
    <row r="1904" spans="1:14" ht="65" x14ac:dyDescent="0.3">
      <c r="A1904" s="1" t="str">
        <f>HYPERLINK("https://ipmanager.doe.gov/IPManager//ExternalLink.aspx?6ibkph2k9yi6F%2B0Vz7YoTo7DPLa3%2F%2FGg%2FvhdMmoMdAU%3D","Link")</f>
        <v>Link</v>
      </c>
      <c r="B1904" s="2" t="s">
        <v>6138</v>
      </c>
      <c r="C1904" s="2" t="s">
        <v>6124</v>
      </c>
      <c r="D1904" s="2" t="s">
        <v>562</v>
      </c>
      <c r="E1904" s="2" t="s">
        <v>6139</v>
      </c>
      <c r="F1904" s="2"/>
      <c r="G1904" s="2" t="s">
        <v>9</v>
      </c>
      <c r="H1904" s="7"/>
      <c r="I1904" s="2" t="s">
        <v>9</v>
      </c>
      <c r="K1904" t="e">
        <v>#N/A</v>
      </c>
      <c r="L1904" s="2" t="s">
        <v>8739</v>
      </c>
      <c r="M1904" t="s">
        <v>8085</v>
      </c>
      <c r="N1904" s="4"/>
    </row>
    <row r="1905" spans="1:14" ht="39" x14ac:dyDescent="0.3">
      <c r="A1905" s="1" t="str">
        <f>HYPERLINK("https://ipmanager.doe.gov/IPManager//ExternalLink.aspx?6ibkph2k9yi6F%2B0Vz7YoTo7DPLa3%2F%2FGgSSzKCp5o3nA%3D","Link")</f>
        <v>Link</v>
      </c>
      <c r="B1905" s="2" t="s">
        <v>6140</v>
      </c>
      <c r="C1905" s="2" t="s">
        <v>6124</v>
      </c>
      <c r="D1905" s="2" t="s">
        <v>562</v>
      </c>
      <c r="E1905" s="2" t="s">
        <v>6141</v>
      </c>
      <c r="F1905" s="2"/>
      <c r="G1905" s="2" t="s">
        <v>9</v>
      </c>
      <c r="H1905" s="7"/>
      <c r="I1905" s="2" t="s">
        <v>9</v>
      </c>
      <c r="K1905" t="e">
        <v>#N/A</v>
      </c>
      <c r="L1905" s="2" t="s">
        <v>8739</v>
      </c>
      <c r="M1905" t="s">
        <v>8085</v>
      </c>
      <c r="N1905" s="4"/>
    </row>
    <row r="1906" spans="1:14" ht="39" x14ac:dyDescent="0.3">
      <c r="A1906" s="1" t="str">
        <f>HYPERLINK("https://ipmanager.doe.gov/IPManager//ExternalLink.aspx?6ibkph2k9yi6F%2B0Vz7YoTvPUg%2FVZPl3iEOK12mWlUnA%3D","Link")</f>
        <v>Link</v>
      </c>
      <c r="B1906" s="2" t="s">
        <v>6142</v>
      </c>
      <c r="C1906" s="2" t="s">
        <v>6124</v>
      </c>
      <c r="D1906" s="2" t="s">
        <v>562</v>
      </c>
      <c r="E1906" s="2" t="s">
        <v>6143</v>
      </c>
      <c r="F1906" s="2"/>
      <c r="G1906" s="2" t="s">
        <v>9</v>
      </c>
      <c r="H1906" s="7"/>
      <c r="I1906" s="2" t="s">
        <v>9</v>
      </c>
      <c r="K1906" t="e">
        <v>#N/A</v>
      </c>
      <c r="L1906" s="2" t="s">
        <v>8739</v>
      </c>
      <c r="M1906" t="s">
        <v>8085</v>
      </c>
      <c r="N1906" s="4"/>
    </row>
    <row r="1907" spans="1:14" ht="52" x14ac:dyDescent="0.3">
      <c r="A1907" s="1" t="str">
        <f>HYPERLINK("https://ipmanager.doe.gov/IPManager//ExternalLink.aspx?6ibkph2k9yi6F%2B0Vz7YoTo7DPLa3%2F%2FGgY02HTzEF3nw%3D","Link")</f>
        <v>Link</v>
      </c>
      <c r="B1907" s="2" t="s">
        <v>6148</v>
      </c>
      <c r="C1907" s="2" t="s">
        <v>6124</v>
      </c>
      <c r="D1907" s="2" t="s">
        <v>562</v>
      </c>
      <c r="E1907" s="2" t="s">
        <v>6149</v>
      </c>
      <c r="F1907" s="2"/>
      <c r="G1907" s="2" t="s">
        <v>9</v>
      </c>
      <c r="H1907" s="7"/>
      <c r="I1907" s="2" t="s">
        <v>9</v>
      </c>
      <c r="K1907" t="e">
        <v>#N/A</v>
      </c>
      <c r="L1907" s="2" t="s">
        <v>8739</v>
      </c>
      <c r="M1907" t="s">
        <v>8085</v>
      </c>
      <c r="N1907" s="4"/>
    </row>
    <row r="1908" spans="1:14" ht="52" x14ac:dyDescent="0.3">
      <c r="A1908" s="1" t="str">
        <f>HYPERLINK("https://ipmanager.doe.gov/IPManager//ExternalLink.aspx?6ibkph2k9yi6F%2B0Vz7YoTp68px7nSN2glZS26ks2We0%3D","Link")</f>
        <v>Link</v>
      </c>
      <c r="B1908" s="2" t="s">
        <v>6130</v>
      </c>
      <c r="C1908" s="2" t="s">
        <v>6124</v>
      </c>
      <c r="D1908" s="2" t="s">
        <v>562</v>
      </c>
      <c r="E1908" s="2" t="s">
        <v>6131</v>
      </c>
      <c r="F1908" s="2" t="s">
        <v>6132</v>
      </c>
      <c r="G1908" s="2" t="s">
        <v>6031</v>
      </c>
      <c r="H1908" s="7"/>
      <c r="I1908" s="2" t="s">
        <v>9</v>
      </c>
      <c r="K1908" t="e">
        <v>#N/A</v>
      </c>
      <c r="L1908" s="2" t="s">
        <v>8739</v>
      </c>
      <c r="M1908" t="s">
        <v>8085</v>
      </c>
      <c r="N1908" s="4"/>
    </row>
    <row r="1909" spans="1:14" ht="39" x14ac:dyDescent="0.3">
      <c r="A1909" s="1" t="str">
        <f>HYPERLINK("https://ipmanager.doe.gov/IPManager//ExternalLink.aspx?6ibkph2k9yi6F%2B0Vz7YoTp68px7nSN2g95G0LUUXNm4%3D","Link")</f>
        <v>Link</v>
      </c>
      <c r="B1909" s="2" t="s">
        <v>6133</v>
      </c>
      <c r="C1909" s="2" t="s">
        <v>6124</v>
      </c>
      <c r="D1909" s="2" t="s">
        <v>562</v>
      </c>
      <c r="E1909" s="2" t="s">
        <v>6134</v>
      </c>
      <c r="F1909" s="2" t="s">
        <v>6135</v>
      </c>
      <c r="G1909" s="2" t="s">
        <v>6031</v>
      </c>
      <c r="H1909" s="7"/>
      <c r="I1909" s="2" t="s">
        <v>9</v>
      </c>
      <c r="K1909" t="e">
        <v>#N/A</v>
      </c>
      <c r="L1909" s="2" t="s">
        <v>8739</v>
      </c>
      <c r="M1909" t="s">
        <v>8085</v>
      </c>
      <c r="N1909" s="4"/>
    </row>
    <row r="1910" spans="1:14" ht="39" x14ac:dyDescent="0.3">
      <c r="A1910" s="1" t="str">
        <f>HYPERLINK("https://ipmanager.doe.gov/IPManager//ExternalLink.aspx?6ibkph2k9yi6F%2B0Vz7YoTo7DPLa3%2F%2FGgUvvqHxURdnE%3D","Link")</f>
        <v>Link</v>
      </c>
      <c r="B1910" s="2" t="s">
        <v>6136</v>
      </c>
      <c r="C1910" s="2" t="s">
        <v>6124</v>
      </c>
      <c r="D1910" s="2" t="s">
        <v>562</v>
      </c>
      <c r="E1910" s="2" t="s">
        <v>6134</v>
      </c>
      <c r="F1910" s="2" t="s">
        <v>6137</v>
      </c>
      <c r="G1910" s="2" t="s">
        <v>5107</v>
      </c>
      <c r="H1910" s="7"/>
      <c r="I1910" s="2" t="s">
        <v>9</v>
      </c>
      <c r="K1910" t="e">
        <v>#N/A</v>
      </c>
      <c r="L1910" s="2" t="s">
        <v>8739</v>
      </c>
      <c r="M1910" t="s">
        <v>8085</v>
      </c>
      <c r="N1910" s="4"/>
    </row>
    <row r="1911" spans="1:14" ht="39" x14ac:dyDescent="0.3">
      <c r="A1911" s="1" t="str">
        <f>HYPERLINK("https://ipmanager.doe.gov/IPManager//ExternalLink.aspx?6ibkph2k9yi6F%2B0Vz7YoTo7DPLa3%2F%2FGgZIow%2FHWxuMw%3D","Link")</f>
        <v>Link</v>
      </c>
      <c r="B1911" s="2" t="s">
        <v>6144</v>
      </c>
      <c r="C1911" s="2" t="s">
        <v>6124</v>
      </c>
      <c r="D1911" s="2" t="s">
        <v>562</v>
      </c>
      <c r="E1911" s="2" t="s">
        <v>6145</v>
      </c>
      <c r="F1911" s="2" t="s">
        <v>6146</v>
      </c>
      <c r="G1911" s="2" t="s">
        <v>6147</v>
      </c>
      <c r="H1911" s="7"/>
      <c r="I1911" s="2" t="s">
        <v>9</v>
      </c>
      <c r="J1911" t="s">
        <v>6146</v>
      </c>
      <c r="K1911" t="s">
        <v>7964</v>
      </c>
      <c r="L1911" s="2" t="s">
        <v>8739</v>
      </c>
      <c r="M1911" t="s">
        <v>8085</v>
      </c>
      <c r="N1911" s="4"/>
    </row>
    <row r="1912" spans="1:14" ht="26" x14ac:dyDescent="0.3">
      <c r="A1912" s="1" t="str">
        <f>HYPERLINK("https://ipmanager.doe.gov/IPManager//ExternalLink.aspx?6ibkph2k9yi6F%2B0Vz7YoTp68px7nSN2gKDjkG3%2BKV7w%3D","Link")</f>
        <v>Link</v>
      </c>
      <c r="B1912" s="2" t="s">
        <v>6155</v>
      </c>
      <c r="C1912" s="2" t="s">
        <v>6151</v>
      </c>
      <c r="D1912" s="2" t="s">
        <v>4275</v>
      </c>
      <c r="E1912" s="2" t="s">
        <v>6156</v>
      </c>
      <c r="F1912" s="2"/>
      <c r="G1912" s="2" t="s">
        <v>9</v>
      </c>
      <c r="H1912" s="7"/>
      <c r="I1912" s="2" t="s">
        <v>9</v>
      </c>
      <c r="K1912" t="e">
        <v>#N/A</v>
      </c>
      <c r="L1912" s="2" t="s">
        <v>8740</v>
      </c>
      <c r="M1912" t="s">
        <v>8279</v>
      </c>
      <c r="N1912" s="4"/>
    </row>
    <row r="1913" spans="1:14" ht="26" x14ac:dyDescent="0.3">
      <c r="A1913" s="1" t="str">
        <f>HYPERLINK("https://ipmanager.doe.gov/IPManager//ExternalLink.aspx?6ibkph2k9yi6F%2B0Vz7YoTnXVN2REjGcWQpP9ZWBiwBw%3D","Link")</f>
        <v>Link</v>
      </c>
      <c r="B1913" s="2" t="s">
        <v>6157</v>
      </c>
      <c r="C1913" s="2" t="s">
        <v>6151</v>
      </c>
      <c r="D1913" s="2" t="s">
        <v>4275</v>
      </c>
      <c r="E1913" s="2" t="s">
        <v>6158</v>
      </c>
      <c r="F1913" s="2"/>
      <c r="G1913" s="2" t="s">
        <v>9</v>
      </c>
      <c r="H1913" s="7"/>
      <c r="I1913" s="2" t="s">
        <v>9</v>
      </c>
      <c r="K1913" t="e">
        <v>#N/A</v>
      </c>
      <c r="L1913" s="2" t="s">
        <v>8740</v>
      </c>
      <c r="M1913" t="s">
        <v>8279</v>
      </c>
      <c r="N1913" s="4"/>
    </row>
    <row r="1914" spans="1:14" ht="39" x14ac:dyDescent="0.3">
      <c r="A1914" s="1" t="str">
        <f>HYPERLINK("https://ipmanager.doe.gov/IPManager//ExternalLink.aspx?6ibkph2k9yi6F%2B0Vz7YoTvPUg%2FVZPl3iMV1GUo2QG%2F4%3D","Link")</f>
        <v>Link</v>
      </c>
      <c r="B1914" s="2" t="s">
        <v>6150</v>
      </c>
      <c r="C1914" s="2" t="s">
        <v>6151</v>
      </c>
      <c r="D1914" s="2" t="s">
        <v>4275</v>
      </c>
      <c r="E1914" s="2" t="s">
        <v>6152</v>
      </c>
      <c r="F1914" s="2" t="s">
        <v>6153</v>
      </c>
      <c r="G1914" s="2" t="s">
        <v>6154</v>
      </c>
      <c r="H1914" s="2"/>
      <c r="I1914" s="2" t="s">
        <v>9</v>
      </c>
      <c r="K1914" t="e">
        <v>#N/A</v>
      </c>
      <c r="L1914" s="2" t="s">
        <v>8740</v>
      </c>
      <c r="M1914" t="s">
        <v>8279</v>
      </c>
      <c r="N1914" s="4"/>
    </row>
    <row r="1915" spans="1:14" ht="39" x14ac:dyDescent="0.3">
      <c r="A1915" s="1" t="str">
        <f>HYPERLINK("https://ipmanager.doe.gov/IPManager//ExternalLink.aspx?6ibkph2k9yi6F%2B0Vz7YoTp68px7nSN2g%2FioabGh%2BDjs%3D","Link")</f>
        <v>Link</v>
      </c>
      <c r="B1915" s="2" t="s">
        <v>6159</v>
      </c>
      <c r="C1915" s="2" t="s">
        <v>6160</v>
      </c>
      <c r="D1915" s="2" t="s">
        <v>4248</v>
      </c>
      <c r="E1915" s="2" t="s">
        <v>6161</v>
      </c>
      <c r="F1915" s="2"/>
      <c r="G1915" s="2" t="s">
        <v>9</v>
      </c>
      <c r="H1915" s="7"/>
      <c r="I1915" s="2" t="s">
        <v>9</v>
      </c>
      <c r="K1915" t="e">
        <v>#N/A</v>
      </c>
      <c r="L1915" s="2" t="s">
        <v>8741</v>
      </c>
      <c r="M1915" t="s">
        <v>8280</v>
      </c>
      <c r="N1915" s="4"/>
    </row>
    <row r="1916" spans="1:14" x14ac:dyDescent="0.3">
      <c r="A1916" s="1" t="str">
        <f>HYPERLINK("https://ipmanager.doe.gov/IPManager//ExternalLink.aspx?6ibkph2k9yi6F%2B0Vz7YoTp68px7nSN2gvxPEnYJOnZk%3D","Link")</f>
        <v>Link</v>
      </c>
      <c r="B1916" s="2" t="s">
        <v>6162</v>
      </c>
      <c r="C1916" s="2" t="s">
        <v>6160</v>
      </c>
      <c r="D1916" s="2" t="s">
        <v>4248</v>
      </c>
      <c r="E1916" s="2" t="s">
        <v>6163</v>
      </c>
      <c r="F1916" s="2"/>
      <c r="G1916" s="2" t="s">
        <v>9</v>
      </c>
      <c r="H1916" s="7"/>
      <c r="I1916" s="2" t="s">
        <v>9</v>
      </c>
      <c r="K1916" t="e">
        <v>#N/A</v>
      </c>
      <c r="L1916" s="2" t="s">
        <v>8741</v>
      </c>
      <c r="M1916" t="s">
        <v>8280</v>
      </c>
      <c r="N1916" s="4"/>
    </row>
    <row r="1917" spans="1:14" ht="26" x14ac:dyDescent="0.3">
      <c r="A1917" s="1" t="str">
        <f>HYPERLINK("https://ipmanager.doe.gov/IPManager//ExternalLink.aspx?6ibkph2k9yi6F%2B0Vz7YoTvE8yjoHgvp6qcpVNoBImvQ%3D","Link")</f>
        <v>Link</v>
      </c>
      <c r="B1917" s="2" t="s">
        <v>6164</v>
      </c>
      <c r="C1917" s="2" t="s">
        <v>6165</v>
      </c>
      <c r="D1917" s="2" t="s">
        <v>6166</v>
      </c>
      <c r="E1917" s="2" t="s">
        <v>6167</v>
      </c>
      <c r="F1917" s="2" t="s">
        <v>6168</v>
      </c>
      <c r="G1917" s="2" t="s">
        <v>5997</v>
      </c>
      <c r="H1917" s="7"/>
      <c r="I1917" s="2" t="s">
        <v>9</v>
      </c>
      <c r="K1917" t="e">
        <v>#N/A</v>
      </c>
      <c r="L1917" s="2" t="s">
        <v>8742</v>
      </c>
      <c r="M1917" t="s">
        <v>8281</v>
      </c>
      <c r="N1917" s="4"/>
    </row>
    <row r="1918" spans="1:14" ht="39" x14ac:dyDescent="0.3">
      <c r="A1918" s="1" t="str">
        <f>HYPERLINK("https://ipmanager.doe.gov/IPManager//ExternalLink.aspx?6ibkph2k9yi6F%2B0Vz7YoTvE8yjoHgvp6Xc2si7Uon04%3D","Link")</f>
        <v>Link</v>
      </c>
      <c r="B1918" s="2" t="s">
        <v>6170</v>
      </c>
      <c r="C1918" s="2" t="s">
        <v>6165</v>
      </c>
      <c r="D1918" s="2" t="s">
        <v>6171</v>
      </c>
      <c r="E1918" s="2" t="s">
        <v>6172</v>
      </c>
      <c r="F1918" s="2"/>
      <c r="G1918" s="2" t="s">
        <v>9</v>
      </c>
      <c r="H1918" s="7"/>
      <c r="I1918" s="2" t="s">
        <v>9</v>
      </c>
      <c r="K1918" t="e">
        <v>#N/A</v>
      </c>
      <c r="L1918" s="2" t="s">
        <v>8742</v>
      </c>
      <c r="M1918" t="s">
        <v>8281</v>
      </c>
      <c r="N1918" s="4"/>
    </row>
    <row r="1919" spans="1:14" ht="26" x14ac:dyDescent="0.3">
      <c r="A1919" s="1" t="str">
        <f>HYPERLINK("https://ipmanager.doe.gov/IPManager//ExternalLink.aspx?6ibkph2k9yi6F%2B0Vz7YoTvE8yjoHgvp6kIdgFJcf1gY%3D","Link")</f>
        <v>Link</v>
      </c>
      <c r="B1919" s="2" t="s">
        <v>6173</v>
      </c>
      <c r="C1919" s="2" t="s">
        <v>6174</v>
      </c>
      <c r="D1919" s="2" t="s">
        <v>6175</v>
      </c>
      <c r="E1919" s="2" t="s">
        <v>6176</v>
      </c>
      <c r="F1919" s="2"/>
      <c r="G1919" s="2" t="s">
        <v>9</v>
      </c>
      <c r="H1919" s="7"/>
      <c r="I1919" s="2" t="s">
        <v>9</v>
      </c>
      <c r="K1919" t="e">
        <v>#N/A</v>
      </c>
      <c r="L1919" s="2" t="s">
        <v>8743</v>
      </c>
      <c r="M1919" t="s">
        <v>8282</v>
      </c>
      <c r="N1919" s="4"/>
    </row>
    <row r="1920" spans="1:14" ht="26" x14ac:dyDescent="0.3">
      <c r="A1920" s="1" t="str">
        <f>HYPERLINK("https://ipmanager.doe.gov/IPManager//ExternalLink.aspx?6ibkph2k9yi6F%2B0Vz7YoTq6RR9BlGHHijOQtRae33pE%3D","Link")</f>
        <v>Link</v>
      </c>
      <c r="B1920" s="2" t="s">
        <v>6177</v>
      </c>
      <c r="C1920" s="2" t="s">
        <v>6174</v>
      </c>
      <c r="D1920" s="2" t="s">
        <v>6175</v>
      </c>
      <c r="E1920" s="2" t="s">
        <v>6178</v>
      </c>
      <c r="F1920" s="2"/>
      <c r="G1920" s="2" t="s">
        <v>9</v>
      </c>
      <c r="H1920" s="7"/>
      <c r="I1920" s="2" t="s">
        <v>9</v>
      </c>
      <c r="K1920" t="e">
        <v>#N/A</v>
      </c>
      <c r="L1920" s="2" t="s">
        <v>8743</v>
      </c>
      <c r="M1920" t="s">
        <v>8282</v>
      </c>
      <c r="N1920" s="4"/>
    </row>
    <row r="1921" spans="1:14" ht="65" x14ac:dyDescent="0.3">
      <c r="A1921" s="1" t="str">
        <f>HYPERLINK("https://ipmanager.doe.gov/IPManager//ExternalLink.aspx?6ibkph2k9yi6F%2B0Vz7YoTp68px7nSN2g6x68WvXV6ZE%3D","Link")</f>
        <v>Link</v>
      </c>
      <c r="B1921" s="2" t="s">
        <v>6180</v>
      </c>
      <c r="C1921" s="2" t="s">
        <v>6181</v>
      </c>
      <c r="D1921" s="2" t="s">
        <v>770</v>
      </c>
      <c r="E1921" s="2" t="s">
        <v>6182</v>
      </c>
      <c r="F1921" s="2"/>
      <c r="G1921" s="2" t="s">
        <v>9</v>
      </c>
      <c r="H1921" s="7"/>
      <c r="I1921" s="2" t="s">
        <v>9</v>
      </c>
      <c r="K1921" t="e">
        <v>#N/A</v>
      </c>
      <c r="L1921" s="2" t="s">
        <v>8744</v>
      </c>
      <c r="M1921" t="s">
        <v>8283</v>
      </c>
      <c r="N1921" s="4"/>
    </row>
    <row r="1922" spans="1:14" ht="52" x14ac:dyDescent="0.3">
      <c r="A1922" s="1" t="str">
        <f>HYPERLINK("https://ipmanager.doe.gov/IPManager//ExternalLink.aspx?6ibkph2k9yi6F%2B0Vz7YoTvE8yjoHgvp6ublugInadwQ%3D","Link")</f>
        <v>Link</v>
      </c>
      <c r="B1922" s="2" t="s">
        <v>6183</v>
      </c>
      <c r="C1922" s="2" t="s">
        <v>6184</v>
      </c>
      <c r="D1922" s="2" t="s">
        <v>3527</v>
      </c>
      <c r="E1922" s="2" t="s">
        <v>6185</v>
      </c>
      <c r="F1922" s="2"/>
      <c r="G1922" s="2" t="s">
        <v>9</v>
      </c>
      <c r="H1922" s="7"/>
      <c r="I1922" s="2" t="s">
        <v>9</v>
      </c>
      <c r="K1922" t="e">
        <v>#N/A</v>
      </c>
      <c r="L1922" s="2" t="s">
        <v>8745</v>
      </c>
      <c r="M1922" t="s">
        <v>8284</v>
      </c>
      <c r="N1922" s="4"/>
    </row>
    <row r="1923" spans="1:14" ht="26" x14ac:dyDescent="0.3">
      <c r="A1923" s="1" t="str">
        <f>HYPERLINK("https://ipmanager.doe.gov/IPManager//ExternalLink.aspx?6ibkph2k9yi6F%2B0Vz7YoTp68px7nSN2g5RK7iFUw8EQ%3D","Link")</f>
        <v>Link</v>
      </c>
      <c r="B1923" s="2" t="s">
        <v>6186</v>
      </c>
      <c r="C1923" s="2" t="s">
        <v>6184</v>
      </c>
      <c r="D1923" s="2" t="s">
        <v>3527</v>
      </c>
      <c r="E1923" s="2" t="s">
        <v>6187</v>
      </c>
      <c r="F1923" s="2"/>
      <c r="G1923" s="2" t="s">
        <v>9</v>
      </c>
      <c r="H1923" s="7"/>
      <c r="I1923" s="2" t="s">
        <v>9</v>
      </c>
      <c r="K1923" t="e">
        <v>#N/A</v>
      </c>
      <c r="L1923" s="2" t="s">
        <v>8745</v>
      </c>
      <c r="M1923" t="s">
        <v>8284</v>
      </c>
      <c r="N1923" s="4"/>
    </row>
    <row r="1924" spans="1:14" ht="26" x14ac:dyDescent="0.3">
      <c r="A1924" s="1" t="str">
        <f>HYPERLINK("https://ipmanager.doe.gov/IPManager//ExternalLink.aspx?6ibkph2k9yi6F%2B0Vz7YoTvPUg%2FVZPl3igOzhma%2Byld4%3D","Link")</f>
        <v>Link</v>
      </c>
      <c r="B1924" s="2" t="s">
        <v>6188</v>
      </c>
      <c r="C1924" s="2" t="s">
        <v>6184</v>
      </c>
      <c r="D1924" s="2" t="s">
        <v>3527</v>
      </c>
      <c r="E1924" s="2" t="s">
        <v>6189</v>
      </c>
      <c r="F1924" s="2"/>
      <c r="G1924" s="2" t="s">
        <v>9</v>
      </c>
      <c r="H1924" s="7"/>
      <c r="I1924" s="2" t="s">
        <v>9</v>
      </c>
      <c r="K1924" t="e">
        <v>#N/A</v>
      </c>
      <c r="L1924" s="2" t="s">
        <v>8745</v>
      </c>
      <c r="M1924" t="s">
        <v>8284</v>
      </c>
      <c r="N1924" s="4"/>
    </row>
    <row r="1925" spans="1:14" ht="26" x14ac:dyDescent="0.3">
      <c r="A1925" s="1" t="str">
        <f>HYPERLINK("https://ipmanager.doe.gov/IPManager//ExternalLink.aspx?6ibkph2k9yi6F%2B0Vz7YoTvPUg%2FVZPl3iKHn2O0LCHv8%3D","Link")</f>
        <v>Link</v>
      </c>
      <c r="B1925" s="2" t="s">
        <v>6190</v>
      </c>
      <c r="C1925" s="2" t="s">
        <v>6184</v>
      </c>
      <c r="D1925" s="2" t="s">
        <v>3527</v>
      </c>
      <c r="E1925" s="2" t="s">
        <v>6191</v>
      </c>
      <c r="F1925" s="2"/>
      <c r="G1925" s="2" t="s">
        <v>9</v>
      </c>
      <c r="H1925" s="7"/>
      <c r="I1925" s="2" t="s">
        <v>9</v>
      </c>
      <c r="K1925" t="e">
        <v>#N/A</v>
      </c>
      <c r="L1925" s="2" t="s">
        <v>8745</v>
      </c>
      <c r="M1925" t="s">
        <v>8284</v>
      </c>
      <c r="N1925" s="4"/>
    </row>
    <row r="1926" spans="1:14" ht="26" x14ac:dyDescent="0.3">
      <c r="A1926" s="1" t="str">
        <f>HYPERLINK("https://ipmanager.doe.gov/IPManager//ExternalLink.aspx?6ibkph2k9yi6F%2B0Vz7YoTvPUg%2FVZPl3iiEww%2Fx2oZyY%3D","Link")</f>
        <v>Link</v>
      </c>
      <c r="B1926" s="2" t="s">
        <v>6192</v>
      </c>
      <c r="C1926" s="2" t="s">
        <v>6184</v>
      </c>
      <c r="D1926" s="2" t="s">
        <v>3527</v>
      </c>
      <c r="E1926" s="2" t="s">
        <v>6193</v>
      </c>
      <c r="F1926" s="2"/>
      <c r="G1926" s="2" t="s">
        <v>9</v>
      </c>
      <c r="H1926" s="7"/>
      <c r="I1926" s="2" t="s">
        <v>9</v>
      </c>
      <c r="K1926" t="e">
        <v>#N/A</v>
      </c>
      <c r="L1926" s="2" t="s">
        <v>8745</v>
      </c>
      <c r="M1926" t="s">
        <v>8284</v>
      </c>
      <c r="N1926" s="4"/>
    </row>
    <row r="1927" spans="1:14" ht="26" x14ac:dyDescent="0.3">
      <c r="A1927" s="1" t="str">
        <f>HYPERLINK("https://ipmanager.doe.gov/IPManager//ExternalLink.aspx?6ibkph2k9yi6F%2B0Vz7YoTvPUg%2FVZPl3ieXCwJPCvuiM%3D","Link")</f>
        <v>Link</v>
      </c>
      <c r="B1927" s="2" t="s">
        <v>6194</v>
      </c>
      <c r="C1927" s="2" t="s">
        <v>6195</v>
      </c>
      <c r="D1927" s="2" t="s">
        <v>1901</v>
      </c>
      <c r="E1927" s="2" t="s">
        <v>6196</v>
      </c>
      <c r="F1927" s="2"/>
      <c r="G1927" s="2" t="s">
        <v>9</v>
      </c>
      <c r="H1927" s="7"/>
      <c r="I1927" s="2" t="s">
        <v>9</v>
      </c>
      <c r="K1927" t="e">
        <v>#N/A</v>
      </c>
      <c r="L1927" s="2" t="s">
        <v>8746</v>
      </c>
      <c r="M1927" t="s">
        <v>8285</v>
      </c>
      <c r="N1927" s="4"/>
    </row>
    <row r="1928" spans="1:14" ht="65" x14ac:dyDescent="0.3">
      <c r="A1928" s="1" t="str">
        <f>HYPERLINK("https://ipmanager.doe.gov/IPManager//ExternalLink.aspx?6ibkph2k9yi6F%2B0Vz7YoTvPUg%2FVZPl3iHGA2Wqdp1j8%3D","Link")</f>
        <v>Link</v>
      </c>
      <c r="B1928" s="2" t="s">
        <v>6198</v>
      </c>
      <c r="C1928" s="2" t="s">
        <v>6199</v>
      </c>
      <c r="D1928" s="2" t="s">
        <v>6200</v>
      </c>
      <c r="E1928" s="2" t="s">
        <v>6201</v>
      </c>
      <c r="F1928" s="2" t="s">
        <v>7659</v>
      </c>
      <c r="G1928" s="2" t="s">
        <v>4052</v>
      </c>
      <c r="H1928" s="7" t="s">
        <v>6202</v>
      </c>
      <c r="I1928" s="2" t="s">
        <v>2419</v>
      </c>
      <c r="K1928" t="e">
        <v>#N/A</v>
      </c>
      <c r="L1928" s="2" t="s">
        <v>8747</v>
      </c>
      <c r="M1928" t="s">
        <v>8286</v>
      </c>
    </row>
    <row r="1929" spans="1:14" ht="39" x14ac:dyDescent="0.3">
      <c r="A1929" s="1" t="str">
        <f>HYPERLINK("https://ipmanager.doe.gov/IPManager//ExternalLink.aspx?6ibkph2k9yi6F%2B0Vz7YoThEBhkR3uHVrGqghe7ZkpbM%3D","Link")</f>
        <v>Link</v>
      </c>
      <c r="B1929" s="2" t="s">
        <v>6203</v>
      </c>
      <c r="C1929" s="2" t="s">
        <v>6204</v>
      </c>
      <c r="D1929" s="2" t="s">
        <v>6205</v>
      </c>
      <c r="E1929" s="2" t="s">
        <v>6206</v>
      </c>
      <c r="F1929" s="2" t="s">
        <v>6207</v>
      </c>
      <c r="G1929" s="2" t="s">
        <v>5162</v>
      </c>
      <c r="H1929" s="7"/>
      <c r="I1929" s="2" t="s">
        <v>9</v>
      </c>
      <c r="J1929" t="s">
        <v>6207</v>
      </c>
      <c r="K1929" t="s">
        <v>7693</v>
      </c>
      <c r="L1929" s="2" t="s">
        <v>8748</v>
      </c>
      <c r="M1929" t="s">
        <v>8287</v>
      </c>
      <c r="N1929" s="4"/>
    </row>
    <row r="1930" spans="1:14" ht="39" x14ac:dyDescent="0.3">
      <c r="A1930" s="1" t="str">
        <f>HYPERLINK("https://ipmanager.doe.gov/IPManager//ExternalLink.aspx?6ibkph2k9yi6F%2B0Vz7YoTgZwfmYxrNyK83GdTrFTP3c%3D","Link")</f>
        <v>Link</v>
      </c>
      <c r="B1930" s="2" t="s">
        <v>6209</v>
      </c>
      <c r="C1930" s="2" t="s">
        <v>6204</v>
      </c>
      <c r="D1930" s="2" t="s">
        <v>1474</v>
      </c>
      <c r="E1930" s="2" t="s">
        <v>6210</v>
      </c>
      <c r="F1930" s="2" t="s">
        <v>6211</v>
      </c>
      <c r="G1930" s="2" t="s">
        <v>5162</v>
      </c>
      <c r="H1930" s="7"/>
      <c r="I1930" s="2" t="s">
        <v>9</v>
      </c>
      <c r="K1930" t="e">
        <v>#N/A</v>
      </c>
      <c r="L1930" s="2" t="s">
        <v>8748</v>
      </c>
      <c r="M1930" t="s">
        <v>8287</v>
      </c>
      <c r="N1930" s="4"/>
    </row>
    <row r="1931" spans="1:14" ht="52" x14ac:dyDescent="0.3">
      <c r="A1931" s="1" t="str">
        <f>HYPERLINK("https://ipmanager.doe.gov/IPManager//ExternalLink.aspx?6ibkph2k9yi6F%2B0Vz7YoTsTAnuFk5EoAr1iOEIQTblk%3D","Link")</f>
        <v>Link</v>
      </c>
      <c r="B1931" s="2" t="s">
        <v>6213</v>
      </c>
      <c r="C1931" s="2" t="s">
        <v>6204</v>
      </c>
      <c r="D1931" s="2" t="s">
        <v>1474</v>
      </c>
      <c r="E1931" s="2" t="s">
        <v>6214</v>
      </c>
      <c r="F1931" s="2" t="s">
        <v>6215</v>
      </c>
      <c r="G1931" s="2" t="s">
        <v>6216</v>
      </c>
      <c r="H1931" s="7"/>
      <c r="I1931" s="2" t="s">
        <v>9</v>
      </c>
      <c r="J1931" t="s">
        <v>6215</v>
      </c>
      <c r="K1931" t="s">
        <v>7961</v>
      </c>
      <c r="L1931" s="2" t="s">
        <v>8748</v>
      </c>
      <c r="M1931" t="s">
        <v>8287</v>
      </c>
      <c r="N1931" s="4"/>
    </row>
    <row r="1932" spans="1:14" ht="39" x14ac:dyDescent="0.3">
      <c r="A1932" s="1" t="str">
        <f>HYPERLINK("https://ipmanager.doe.gov/IPManager//ExternalLink.aspx?6ibkph2k9yi6F%2B0Vz7YoTsTAnuFk5EoAbQuXYls%2BJ%2Bc%3D","Link")</f>
        <v>Link</v>
      </c>
      <c r="B1932" s="2" t="s">
        <v>6217</v>
      </c>
      <c r="C1932" s="2" t="s">
        <v>6204</v>
      </c>
      <c r="D1932" s="2" t="s">
        <v>1474</v>
      </c>
      <c r="E1932" s="2" t="s">
        <v>6218</v>
      </c>
      <c r="F1932" s="2" t="s">
        <v>6219</v>
      </c>
      <c r="G1932" s="2" t="s">
        <v>6220</v>
      </c>
      <c r="H1932" s="7"/>
      <c r="I1932" s="2" t="s">
        <v>9</v>
      </c>
      <c r="K1932" t="e">
        <v>#N/A</v>
      </c>
      <c r="L1932" s="2" t="s">
        <v>8748</v>
      </c>
      <c r="M1932" t="s">
        <v>8287</v>
      </c>
      <c r="N1932" s="4"/>
    </row>
    <row r="1933" spans="1:14" ht="39" x14ac:dyDescent="0.3">
      <c r="A1933" s="1" t="str">
        <f>HYPERLINK("https://ipmanager.doe.gov/IPManager//ExternalLink.aspx?6ibkph2k9yi6F%2B0Vz7YoTvPUg%2FVZPl3iC8qgdOdmq4M%3D","Link")</f>
        <v>Link</v>
      </c>
      <c r="B1933" s="2" t="s">
        <v>6221</v>
      </c>
      <c r="C1933" s="2" t="s">
        <v>6204</v>
      </c>
      <c r="D1933" s="2" t="s">
        <v>1474</v>
      </c>
      <c r="E1933" s="2" t="s">
        <v>6218</v>
      </c>
      <c r="F1933" s="2" t="s">
        <v>6222</v>
      </c>
      <c r="G1933" s="2" t="s">
        <v>6223</v>
      </c>
      <c r="H1933" s="7"/>
      <c r="I1933" s="2" t="s">
        <v>9</v>
      </c>
      <c r="J1933" t="s">
        <v>6222</v>
      </c>
      <c r="K1933" t="s">
        <v>7962</v>
      </c>
      <c r="L1933" s="2" t="s">
        <v>8748</v>
      </c>
      <c r="M1933" t="s">
        <v>8287</v>
      </c>
      <c r="N1933" s="4"/>
    </row>
    <row r="1934" spans="1:14" ht="39" x14ac:dyDescent="0.3">
      <c r="A1934" s="1" t="str">
        <f>HYPERLINK("https://ipmanager.doe.gov/IPManager//ExternalLink.aspx?6ibkph2k9yi6F%2B0Vz7YoTvPUg%2FVZPl3isqNN%2F5t3vbQ%3D","Link")</f>
        <v>Link</v>
      </c>
      <c r="B1934" s="2" t="s">
        <v>6224</v>
      </c>
      <c r="C1934" s="2" t="s">
        <v>6204</v>
      </c>
      <c r="D1934" s="2" t="s">
        <v>1474</v>
      </c>
      <c r="E1934" s="2" t="s">
        <v>6206</v>
      </c>
      <c r="F1934" s="2" t="s">
        <v>6208</v>
      </c>
      <c r="G1934" s="2" t="s">
        <v>5162</v>
      </c>
      <c r="H1934" s="7"/>
      <c r="I1934" s="2" t="s">
        <v>9</v>
      </c>
      <c r="K1934" t="e">
        <v>#N/A</v>
      </c>
      <c r="L1934" s="2" t="s">
        <v>8748</v>
      </c>
      <c r="M1934" t="s">
        <v>8287</v>
      </c>
      <c r="N1934" s="4"/>
    </row>
    <row r="1935" spans="1:14" ht="39" x14ac:dyDescent="0.3">
      <c r="A1935" s="1" t="str">
        <f>HYPERLINK("https://ipmanager.doe.gov/IPManager//ExternalLink.aspx?6ibkph2k9yi6F%2B0Vz7YoTvE8yjoHgvp6u5xQRwzaBkc%3D","Link")</f>
        <v>Link</v>
      </c>
      <c r="B1935" s="2" t="s">
        <v>6225</v>
      </c>
      <c r="C1935" s="2" t="s">
        <v>6204</v>
      </c>
      <c r="D1935" s="2" t="s">
        <v>1474</v>
      </c>
      <c r="E1935" s="2" t="s">
        <v>6210</v>
      </c>
      <c r="F1935" s="2" t="s">
        <v>6212</v>
      </c>
      <c r="G1935" s="2" t="s">
        <v>5162</v>
      </c>
      <c r="H1935" s="7"/>
      <c r="I1935" s="2" t="s">
        <v>9</v>
      </c>
      <c r="K1935" t="e">
        <v>#N/A</v>
      </c>
      <c r="L1935" s="2" t="s">
        <v>8748</v>
      </c>
      <c r="M1935" t="s">
        <v>8287</v>
      </c>
      <c r="N1935" s="4"/>
    </row>
    <row r="1936" spans="1:14" ht="52" x14ac:dyDescent="0.3">
      <c r="A1936" s="1" t="str">
        <f>HYPERLINK("https://ipmanager.doe.gov/IPManager//ExternalLink.aspx?6ibkph2k9yi6F%2B0Vz7YoTq6RR9BlGHHiU30Vp60k9Xs%3D","Link")</f>
        <v>Link</v>
      </c>
      <c r="B1936" s="2" t="s">
        <v>6229</v>
      </c>
      <c r="C1936" s="2" t="s">
        <v>6226</v>
      </c>
      <c r="D1936" s="2" t="s">
        <v>4169</v>
      </c>
      <c r="E1936" s="2" t="s">
        <v>6227</v>
      </c>
      <c r="F1936" s="2" t="s">
        <v>6228</v>
      </c>
      <c r="G1936" s="2" t="s">
        <v>5680</v>
      </c>
      <c r="H1936" s="7"/>
      <c r="I1936" s="2" t="s">
        <v>9</v>
      </c>
      <c r="K1936" t="e">
        <v>#N/A</v>
      </c>
      <c r="L1936" s="2" t="s">
        <v>8642</v>
      </c>
      <c r="M1936" t="s">
        <v>8183</v>
      </c>
      <c r="N1936" s="4"/>
    </row>
    <row r="1937" spans="1:14" ht="65" x14ac:dyDescent="0.3">
      <c r="A1937" s="1" t="str">
        <f>HYPERLINK("https://ipmanager.doe.gov/IPManager//ExternalLink.aspx?6ibkph2k9yi6F%2B0Vz7YoTo7DPLa3%2F%2FGgIvwmPFzwV%2Bc%3D","Link")</f>
        <v>Link</v>
      </c>
      <c r="B1937" s="2" t="s">
        <v>6230</v>
      </c>
      <c r="C1937" s="2" t="s">
        <v>6226</v>
      </c>
      <c r="D1937" s="2" t="s">
        <v>4169</v>
      </c>
      <c r="E1937" s="2" t="s">
        <v>6231</v>
      </c>
      <c r="F1937" s="2"/>
      <c r="G1937" s="2" t="s">
        <v>9</v>
      </c>
      <c r="H1937" s="7"/>
      <c r="I1937" s="2" t="s">
        <v>9</v>
      </c>
      <c r="K1937" t="e">
        <v>#N/A</v>
      </c>
      <c r="L1937" s="2" t="s">
        <v>8642</v>
      </c>
      <c r="M1937" t="s">
        <v>8183</v>
      </c>
      <c r="N1937" s="4"/>
    </row>
    <row r="1938" spans="1:14" ht="39" x14ac:dyDescent="0.3">
      <c r="A1938" s="1" t="str">
        <f>HYPERLINK("https://ipmanager.doe.gov/IPManager//ExternalLink.aspx?6ibkph2k9yi6F%2B0Vz7YoTvPUg%2FVZPl3iGA7Up7778yA%3D","Link")</f>
        <v>Link</v>
      </c>
      <c r="B1938" s="2" t="s">
        <v>6232</v>
      </c>
      <c r="C1938" s="2" t="s">
        <v>6233</v>
      </c>
      <c r="D1938" s="2" t="s">
        <v>1891</v>
      </c>
      <c r="E1938" s="2" t="s">
        <v>6234</v>
      </c>
      <c r="F1938" s="2" t="s">
        <v>6235</v>
      </c>
      <c r="G1938" s="2" t="s">
        <v>3391</v>
      </c>
      <c r="H1938" s="7"/>
      <c r="I1938" s="2" t="s">
        <v>9</v>
      </c>
      <c r="J1938" t="s">
        <v>6235</v>
      </c>
      <c r="K1938" t="s">
        <v>7724</v>
      </c>
      <c r="L1938" s="2" t="s">
        <v>8684</v>
      </c>
      <c r="M1938" t="s">
        <v>8224</v>
      </c>
      <c r="N1938" s="4"/>
    </row>
    <row r="1939" spans="1:14" ht="39" x14ac:dyDescent="0.3">
      <c r="A1939" s="1" t="str">
        <f>HYPERLINK("https://ipmanager.doe.gov/IPManager//ExternalLink.aspx?6ibkph2k9yi6F%2B0Vz7YoTvPUg%2FVZPl3ieCXGUOYm5jc%3D","Link")</f>
        <v>Link</v>
      </c>
      <c r="B1939" s="2" t="s">
        <v>6236</v>
      </c>
      <c r="C1939" s="2" t="s">
        <v>6233</v>
      </c>
      <c r="D1939" s="2" t="s">
        <v>1891</v>
      </c>
      <c r="E1939" s="2" t="s">
        <v>6234</v>
      </c>
      <c r="F1939" s="2" t="s">
        <v>6237</v>
      </c>
      <c r="G1939" s="2" t="s">
        <v>6179</v>
      </c>
      <c r="H1939" s="7"/>
      <c r="I1939" s="2" t="s">
        <v>9</v>
      </c>
      <c r="K1939" t="e">
        <v>#N/A</v>
      </c>
      <c r="L1939" s="2" t="s">
        <v>8684</v>
      </c>
      <c r="M1939" t="s">
        <v>8224</v>
      </c>
      <c r="N1939" s="4"/>
    </row>
    <row r="1940" spans="1:14" ht="39" x14ac:dyDescent="0.3">
      <c r="A1940" s="1" t="str">
        <f>HYPERLINK("https://ipmanager.doe.gov/IPManager//ExternalLink.aspx?6ibkph2k9yi6F%2B0Vz7YoTnXVN2REjGcWQ8l3WxFn5Bo%3D","Link")</f>
        <v>Link</v>
      </c>
      <c r="B1940" s="2" t="s">
        <v>6238</v>
      </c>
      <c r="C1940" s="2" t="s">
        <v>6239</v>
      </c>
      <c r="D1940" s="2" t="s">
        <v>1891</v>
      </c>
      <c r="E1940" s="2" t="s">
        <v>6240</v>
      </c>
      <c r="F1940" s="2"/>
      <c r="G1940" s="2" t="s">
        <v>9</v>
      </c>
      <c r="H1940" s="7"/>
      <c r="I1940" s="2" t="s">
        <v>9</v>
      </c>
      <c r="K1940" t="e">
        <v>#N/A</v>
      </c>
      <c r="L1940" s="2" t="s">
        <v>8749</v>
      </c>
      <c r="M1940" t="s">
        <v>8288</v>
      </c>
      <c r="N1940" s="4"/>
    </row>
    <row r="1941" spans="1:14" ht="26" x14ac:dyDescent="0.3">
      <c r="A1941" s="1" t="str">
        <f>HYPERLINK("https://ipmanager.doe.gov/IPManager//ExternalLink.aspx?6ibkph2k9yi6F%2B0Vz7YoTq6RR9BlGHHiZdLEfJtEGu8%3D","Link")</f>
        <v>Link</v>
      </c>
      <c r="B1941" s="2" t="s">
        <v>6241</v>
      </c>
      <c r="C1941" s="2" t="s">
        <v>6239</v>
      </c>
      <c r="D1941" s="2" t="s">
        <v>1891</v>
      </c>
      <c r="E1941" s="2" t="s">
        <v>6242</v>
      </c>
      <c r="F1941" s="2"/>
      <c r="G1941" s="2" t="s">
        <v>9</v>
      </c>
      <c r="H1941" s="7"/>
      <c r="I1941" s="2" t="s">
        <v>9</v>
      </c>
      <c r="K1941" t="e">
        <v>#N/A</v>
      </c>
      <c r="L1941" s="2" t="s">
        <v>8749</v>
      </c>
      <c r="M1941" t="s">
        <v>8288</v>
      </c>
      <c r="N1941" s="4"/>
    </row>
    <row r="1942" spans="1:14" ht="52" x14ac:dyDescent="0.3">
      <c r="A1942" s="1" t="str">
        <f>HYPERLINK("https://ipmanager.doe.gov/IPManager//ExternalLink.aspx?6ibkph2k9yi6F%2B0Vz7YoTsTAnuFk5EoADqW4uyf4gc4%3D","Link")</f>
        <v>Link</v>
      </c>
      <c r="B1942" s="2" t="s">
        <v>6246</v>
      </c>
      <c r="C1942" s="2" t="s">
        <v>6244</v>
      </c>
      <c r="D1942" s="2" t="s">
        <v>348</v>
      </c>
      <c r="E1942" s="2" t="s">
        <v>6247</v>
      </c>
      <c r="F1942" s="2" t="s">
        <v>6248</v>
      </c>
      <c r="G1942" s="2" t="s">
        <v>4575</v>
      </c>
      <c r="H1942" s="7"/>
      <c r="I1942" s="2" t="s">
        <v>9</v>
      </c>
      <c r="K1942" t="e">
        <v>#N/A</v>
      </c>
      <c r="L1942" s="2" t="s">
        <v>8613</v>
      </c>
      <c r="M1942" t="s">
        <v>8154</v>
      </c>
      <c r="N1942" s="4"/>
    </row>
    <row r="1943" spans="1:14" ht="52" x14ac:dyDescent="0.3">
      <c r="A1943" s="1" t="str">
        <f>HYPERLINK("https://ipmanager.doe.gov/IPManager//ExternalLink.aspx?6ibkph2k9yi6F%2B0Vz7YoTvPUg%2FVZPl3iIKdlxzhUOjI%3D","Link")</f>
        <v>Link</v>
      </c>
      <c r="B1943" s="2" t="s">
        <v>6243</v>
      </c>
      <c r="C1943" s="2" t="s">
        <v>6244</v>
      </c>
      <c r="D1943" s="2" t="s">
        <v>348</v>
      </c>
      <c r="E1943" s="2" t="s">
        <v>6245</v>
      </c>
      <c r="F1943" s="2"/>
      <c r="G1943" s="2" t="s">
        <v>9</v>
      </c>
      <c r="H1943" s="7"/>
      <c r="I1943" s="2" t="s">
        <v>9</v>
      </c>
      <c r="K1943" t="e">
        <v>#N/A</v>
      </c>
      <c r="L1943" s="2" t="s">
        <v>8613</v>
      </c>
      <c r="M1943" t="s">
        <v>8154</v>
      </c>
      <c r="N1943" s="4"/>
    </row>
    <row r="1944" spans="1:14" ht="39" x14ac:dyDescent="0.3">
      <c r="A1944" s="1" t="str">
        <f>HYPERLINK("https://ipmanager.doe.gov/IPManager//ExternalLink.aspx?6ibkph2k9yi6F%2B0Vz7YoTvE8yjoHgvp6upIacIi1KpU%3D","Link")</f>
        <v>Link</v>
      </c>
      <c r="B1944" s="2" t="s">
        <v>6249</v>
      </c>
      <c r="C1944" s="2" t="s">
        <v>6250</v>
      </c>
      <c r="D1944" s="2" t="s">
        <v>3527</v>
      </c>
      <c r="E1944" s="2" t="s">
        <v>6251</v>
      </c>
      <c r="F1944" s="2" t="s">
        <v>6252</v>
      </c>
      <c r="G1944" s="2" t="s">
        <v>4517</v>
      </c>
      <c r="H1944" s="7"/>
      <c r="I1944" s="2" t="s">
        <v>9</v>
      </c>
      <c r="K1944" t="e">
        <v>#N/A</v>
      </c>
      <c r="L1944" s="2" t="s">
        <v>8750</v>
      </c>
      <c r="M1944" t="s">
        <v>8289</v>
      </c>
      <c r="N1944" s="4"/>
    </row>
    <row r="1945" spans="1:14" ht="39" x14ac:dyDescent="0.3">
      <c r="A1945" s="1" t="str">
        <f>HYPERLINK("https://ipmanager.doe.gov/IPManager//ExternalLink.aspx?6ibkph2k9yi6F%2B0Vz7YoTvPUg%2FVZPl3iXXtvHobymoE%3D","Link")</f>
        <v>Link</v>
      </c>
      <c r="B1945" s="2" t="s">
        <v>6253</v>
      </c>
      <c r="C1945" s="2" t="s">
        <v>6250</v>
      </c>
      <c r="D1945" s="2" t="s">
        <v>3527</v>
      </c>
      <c r="E1945" s="2" t="s">
        <v>6254</v>
      </c>
      <c r="F1945" s="2" t="s">
        <v>6255</v>
      </c>
      <c r="G1945" s="2" t="s">
        <v>5307</v>
      </c>
      <c r="H1945" s="7"/>
      <c r="I1945" s="2" t="s">
        <v>9</v>
      </c>
      <c r="K1945" t="e">
        <v>#N/A</v>
      </c>
      <c r="L1945" s="2" t="s">
        <v>8750</v>
      </c>
      <c r="M1945" t="s">
        <v>8289</v>
      </c>
      <c r="N1945" s="4"/>
    </row>
    <row r="1946" spans="1:14" ht="26" x14ac:dyDescent="0.3">
      <c r="A1946" s="1" t="str">
        <f>HYPERLINK("https://ipmanager.doe.gov/IPManager//ExternalLink.aspx?6ibkph2k9yi6F%2B0Vz7YoTo7DPLa3%2F%2FGgJuazBBlAs%2FU%3D","Link")</f>
        <v>Link</v>
      </c>
      <c r="B1946" s="2" t="s">
        <v>6256</v>
      </c>
      <c r="C1946" s="2" t="s">
        <v>6250</v>
      </c>
      <c r="D1946" s="2" t="s">
        <v>3527</v>
      </c>
      <c r="E1946" s="2" t="s">
        <v>6257</v>
      </c>
      <c r="F1946" s="2"/>
      <c r="G1946" s="2" t="s">
        <v>9</v>
      </c>
      <c r="H1946" s="7"/>
      <c r="I1946" s="2" t="s">
        <v>9</v>
      </c>
      <c r="K1946" t="e">
        <v>#N/A</v>
      </c>
      <c r="L1946" s="2" t="s">
        <v>8750</v>
      </c>
      <c r="M1946" t="s">
        <v>8289</v>
      </c>
      <c r="N1946" s="4"/>
    </row>
    <row r="1947" spans="1:14" ht="39" x14ac:dyDescent="0.3">
      <c r="A1947" s="1" t="str">
        <f>HYPERLINK("https://ipmanager.doe.gov/IPManager//ExternalLink.aspx?6ibkph2k9yi6F%2B0Vz7YoTo7DPLa3%2F%2FGg3IOxqLYUCAA%3D","Link")</f>
        <v>Link</v>
      </c>
      <c r="B1947" s="2" t="s">
        <v>6258</v>
      </c>
      <c r="C1947" s="2" t="s">
        <v>6250</v>
      </c>
      <c r="D1947" s="2" t="s">
        <v>3527</v>
      </c>
      <c r="E1947" s="2" t="s">
        <v>6259</v>
      </c>
      <c r="F1947" s="2"/>
      <c r="G1947" s="2" t="s">
        <v>9</v>
      </c>
      <c r="H1947" s="7"/>
      <c r="I1947" s="2" t="s">
        <v>9</v>
      </c>
      <c r="K1947" t="e">
        <v>#N/A</v>
      </c>
      <c r="L1947" s="2" t="s">
        <v>8750</v>
      </c>
      <c r="M1947" t="s">
        <v>8289</v>
      </c>
      <c r="N1947" s="4"/>
    </row>
    <row r="1948" spans="1:14" ht="39" x14ac:dyDescent="0.3">
      <c r="A1948" s="1" t="str">
        <f>HYPERLINK("https://ipmanager.doe.gov/IPManager//ExternalLink.aspx?6ibkph2k9yi6F%2B0Vz7YoTp68px7nSN2gh4xpZDIQybc%3D","Link")</f>
        <v>Link</v>
      </c>
      <c r="B1948" s="2" t="s">
        <v>6260</v>
      </c>
      <c r="C1948" s="2" t="s">
        <v>6261</v>
      </c>
      <c r="D1948" s="2" t="s">
        <v>6262</v>
      </c>
      <c r="E1948" s="2" t="s">
        <v>6263</v>
      </c>
      <c r="F1948" s="2" t="s">
        <v>6264</v>
      </c>
      <c r="G1948" s="2" t="s">
        <v>6265</v>
      </c>
      <c r="H1948" s="2"/>
      <c r="I1948" s="2" t="s">
        <v>9</v>
      </c>
      <c r="K1948" t="e">
        <v>#N/A</v>
      </c>
      <c r="L1948" s="2" t="s">
        <v>8751</v>
      </c>
      <c r="M1948" t="s">
        <v>8290</v>
      </c>
      <c r="N1948" s="4"/>
    </row>
    <row r="1949" spans="1:14" ht="39" x14ac:dyDescent="0.3">
      <c r="A1949" s="1" t="str">
        <f>HYPERLINK("https://ipmanager.doe.gov/IPManager//ExternalLink.aspx?6ibkph2k9yi6F%2B0Vz7YoThEBhkR3uHVr8giZD%2F5AmUw%3D","Link")</f>
        <v>Link</v>
      </c>
      <c r="B1949" s="2" t="s">
        <v>6266</v>
      </c>
      <c r="C1949" s="2" t="s">
        <v>6261</v>
      </c>
      <c r="D1949" s="2" t="s">
        <v>6262</v>
      </c>
      <c r="E1949" s="2" t="s">
        <v>6263</v>
      </c>
      <c r="F1949" s="2" t="s">
        <v>6264</v>
      </c>
      <c r="G1949" s="2" t="s">
        <v>6265</v>
      </c>
      <c r="H1949" s="2"/>
      <c r="I1949" s="2" t="s">
        <v>9</v>
      </c>
      <c r="K1949" t="e">
        <v>#N/A</v>
      </c>
      <c r="L1949" s="2" t="s">
        <v>8751</v>
      </c>
      <c r="M1949" t="s">
        <v>8290</v>
      </c>
      <c r="N1949" s="4"/>
    </row>
    <row r="1950" spans="1:14" ht="39" x14ac:dyDescent="0.3">
      <c r="A1950" s="1" t="str">
        <f>HYPERLINK("https://ipmanager.doe.gov/IPManager//ExternalLink.aspx?6ibkph2k9yi6F%2B0Vz7YoTkqAgjuWMa9Q3pKAJDtbYpU%3D","Link")</f>
        <v>Link</v>
      </c>
      <c r="B1950" s="2" t="s">
        <v>6267</v>
      </c>
      <c r="C1950" s="2" t="s">
        <v>6268</v>
      </c>
      <c r="D1950" s="2" t="s">
        <v>5761</v>
      </c>
      <c r="E1950" s="2" t="s">
        <v>6269</v>
      </c>
      <c r="F1950" s="2"/>
      <c r="G1950" s="2" t="s">
        <v>9</v>
      </c>
      <c r="H1950" s="7"/>
      <c r="I1950" s="2" t="s">
        <v>9</v>
      </c>
      <c r="K1950" t="e">
        <v>#N/A</v>
      </c>
      <c r="L1950" s="2" t="s">
        <v>8632</v>
      </c>
      <c r="M1950" t="s">
        <v>8291</v>
      </c>
      <c r="N1950" s="4"/>
    </row>
    <row r="1951" spans="1:14" ht="26" x14ac:dyDescent="0.3">
      <c r="A1951" s="1" t="str">
        <f>HYPERLINK("https://ipmanager.doe.gov/IPManager//ExternalLink.aspx?6ibkph2k9yi6F%2B0Vz7YoTo7DPLa3%2F%2FGgwjJ6JvghT9w%3D","Link")</f>
        <v>Link</v>
      </c>
      <c r="B1951" s="2" t="s">
        <v>6270</v>
      </c>
      <c r="C1951" s="2" t="s">
        <v>6268</v>
      </c>
      <c r="D1951" s="2" t="s">
        <v>5761</v>
      </c>
      <c r="E1951" s="2" t="s">
        <v>6271</v>
      </c>
      <c r="F1951" s="2"/>
      <c r="G1951" s="2" t="s">
        <v>9</v>
      </c>
      <c r="H1951" s="7"/>
      <c r="I1951" s="2" t="s">
        <v>9</v>
      </c>
      <c r="K1951" t="e">
        <v>#N/A</v>
      </c>
      <c r="L1951" s="2" t="s">
        <v>8632</v>
      </c>
      <c r="M1951" t="s">
        <v>8291</v>
      </c>
      <c r="N1951" s="4"/>
    </row>
    <row r="1952" spans="1:14" ht="39" x14ac:dyDescent="0.3">
      <c r="A1952" s="1" t="str">
        <f>HYPERLINK("https://ipmanager.doe.gov/IPManager//ExternalLink.aspx?6ibkph2k9yi6F%2B0Vz7YoTo7DPLa3%2F%2FGget93gOyrLv4%3D","Link")</f>
        <v>Link</v>
      </c>
      <c r="B1952" s="2" t="s">
        <v>6272</v>
      </c>
      <c r="C1952" s="2" t="s">
        <v>6273</v>
      </c>
      <c r="D1952" s="2" t="s">
        <v>6274</v>
      </c>
      <c r="E1952" s="2" t="s">
        <v>6275</v>
      </c>
      <c r="F1952" s="2"/>
      <c r="G1952" s="2" t="s">
        <v>9</v>
      </c>
      <c r="H1952" s="7"/>
      <c r="I1952" s="2" t="s">
        <v>9</v>
      </c>
      <c r="K1952" t="e">
        <v>#N/A</v>
      </c>
      <c r="L1952" s="2" t="s">
        <v>8752</v>
      </c>
      <c r="M1952" t="s">
        <v>8292</v>
      </c>
      <c r="N1952" s="4"/>
    </row>
    <row r="1953" spans="1:14" ht="52" x14ac:dyDescent="0.3">
      <c r="A1953" s="1" t="str">
        <f>HYPERLINK("https://ipmanager.doe.gov/IPManager//ExternalLink.aspx?6ibkph2k9yi6F%2B0Vz7YoTgZwfmYxrNyKoYfUl0J3MgY%3D","Link")</f>
        <v>Link</v>
      </c>
      <c r="B1953" s="2" t="s">
        <v>6277</v>
      </c>
      <c r="C1953" s="2" t="s">
        <v>6273</v>
      </c>
      <c r="D1953" s="2" t="s">
        <v>6274</v>
      </c>
      <c r="E1953" s="2" t="s">
        <v>6278</v>
      </c>
      <c r="F1953" s="2"/>
      <c r="G1953" s="2" t="s">
        <v>9</v>
      </c>
      <c r="H1953" s="7"/>
      <c r="I1953" s="2" t="s">
        <v>9</v>
      </c>
      <c r="K1953" t="e">
        <v>#N/A</v>
      </c>
      <c r="L1953" s="2" t="s">
        <v>8752</v>
      </c>
      <c r="M1953" t="s">
        <v>8292</v>
      </c>
      <c r="N1953" s="4"/>
    </row>
    <row r="1954" spans="1:14" ht="39" x14ac:dyDescent="0.3">
      <c r="A1954" s="1" t="str">
        <f>HYPERLINK("https://ipmanager.doe.gov/IPManager//ExternalLink.aspx?6ibkph2k9yi6F%2B0Vz7YoTu0g4zH%2BOsvy9VqAbejl38o%3D","Link")</f>
        <v>Link</v>
      </c>
      <c r="B1954" s="2" t="s">
        <v>6279</v>
      </c>
      <c r="C1954" s="2" t="s">
        <v>6280</v>
      </c>
      <c r="D1954" s="2" t="s">
        <v>5538</v>
      </c>
      <c r="E1954" s="2" t="s">
        <v>6281</v>
      </c>
      <c r="F1954" s="2"/>
      <c r="G1954" s="2" t="s">
        <v>9</v>
      </c>
      <c r="H1954" s="7"/>
      <c r="I1954" s="2" t="s">
        <v>9</v>
      </c>
      <c r="K1954" t="e">
        <v>#N/A</v>
      </c>
      <c r="L1954" s="2" t="s">
        <v>8753</v>
      </c>
      <c r="M1954" t="s">
        <v>8293</v>
      </c>
      <c r="N1954" s="4"/>
    </row>
    <row r="1955" spans="1:14" ht="52" x14ac:dyDescent="0.3">
      <c r="A1955" s="1" t="str">
        <f>HYPERLINK("https://ipmanager.doe.gov/IPManager//ExternalLink.aspx?6ibkph2k9yi6F%2B0Vz7YoTu0g4zH%2BOsvyfQDdJZkWJss%3D","Link")</f>
        <v>Link</v>
      </c>
      <c r="B1955" s="2" t="s">
        <v>6282</v>
      </c>
      <c r="C1955" s="2" t="s">
        <v>6280</v>
      </c>
      <c r="D1955" s="2" t="s">
        <v>5538</v>
      </c>
      <c r="E1955" s="2" t="s">
        <v>6283</v>
      </c>
      <c r="F1955" s="2"/>
      <c r="G1955" s="2" t="s">
        <v>9</v>
      </c>
      <c r="H1955" s="7"/>
      <c r="I1955" s="2" t="s">
        <v>9</v>
      </c>
      <c r="K1955" t="e">
        <v>#N/A</v>
      </c>
      <c r="L1955" s="2" t="s">
        <v>8753</v>
      </c>
      <c r="M1955" t="s">
        <v>8293</v>
      </c>
      <c r="N1955" s="4"/>
    </row>
    <row r="1956" spans="1:14" ht="39" x14ac:dyDescent="0.3">
      <c r="A1956" s="1" t="str">
        <f>HYPERLINK("https://ipmanager.doe.gov/IPManager//ExternalLink.aspx?6ibkph2k9yi6F%2B0Vz7YoTnXVN2REjGcWf9hupEzuExU%3D","Link")</f>
        <v>Link</v>
      </c>
      <c r="B1956" s="2" t="s">
        <v>6284</v>
      </c>
      <c r="C1956" s="2" t="s">
        <v>6285</v>
      </c>
      <c r="D1956" s="2" t="s">
        <v>6286</v>
      </c>
      <c r="E1956" s="2" t="s">
        <v>6287</v>
      </c>
      <c r="F1956" s="2" t="s">
        <v>6288</v>
      </c>
      <c r="G1956" s="2" t="s">
        <v>6289</v>
      </c>
      <c r="H1956" s="7"/>
      <c r="I1956" s="2" t="s">
        <v>9</v>
      </c>
      <c r="K1956" t="e">
        <v>#N/A</v>
      </c>
      <c r="L1956" s="2" t="s">
        <v>8754</v>
      </c>
      <c r="M1956" t="s">
        <v>8294</v>
      </c>
      <c r="N1956" s="4"/>
    </row>
    <row r="1957" spans="1:14" ht="52" x14ac:dyDescent="0.3">
      <c r="A1957" s="1" t="str">
        <f>HYPERLINK("https://ipmanager.doe.gov/IPManager//ExternalLink.aspx?6ibkph2k9yi6F%2B0Vz7YoTnXVN2REjGcW5t6IOXwNlog%3D","Link")</f>
        <v>Link</v>
      </c>
      <c r="B1957" s="2" t="s">
        <v>6290</v>
      </c>
      <c r="C1957" s="2" t="s">
        <v>6285</v>
      </c>
      <c r="D1957" s="2" t="s">
        <v>6286</v>
      </c>
      <c r="E1957" s="2" t="s">
        <v>6291</v>
      </c>
      <c r="F1957" s="2" t="s">
        <v>6292</v>
      </c>
      <c r="G1957" s="2" t="s">
        <v>6289</v>
      </c>
      <c r="H1957" s="7"/>
      <c r="I1957" s="2" t="s">
        <v>9</v>
      </c>
      <c r="K1957" t="e">
        <v>#N/A</v>
      </c>
      <c r="L1957" s="2" t="s">
        <v>8754</v>
      </c>
      <c r="M1957" t="s">
        <v>8294</v>
      </c>
      <c r="N1957" s="4"/>
    </row>
    <row r="1958" spans="1:14" ht="39" x14ac:dyDescent="0.3">
      <c r="A1958" s="1" t="str">
        <f>HYPERLINK("https://ipmanager.doe.gov/IPManager//ExternalLink.aspx?6ibkph2k9yi6F%2B0Vz7YoTvE8yjoHgvp6ptmrEvnHbIE%3D","Link")</f>
        <v>Link</v>
      </c>
      <c r="B1958" s="2" t="s">
        <v>6293</v>
      </c>
      <c r="C1958" s="2" t="s">
        <v>6294</v>
      </c>
      <c r="D1958" s="2" t="s">
        <v>6262</v>
      </c>
      <c r="E1958" s="2" t="s">
        <v>6295</v>
      </c>
      <c r="F1958" s="2"/>
      <c r="G1958" s="2" t="s">
        <v>9</v>
      </c>
      <c r="H1958" s="7"/>
      <c r="I1958" s="2" t="s">
        <v>9</v>
      </c>
      <c r="K1958" t="e">
        <v>#N/A</v>
      </c>
      <c r="L1958" s="2" t="s">
        <v>8755</v>
      </c>
      <c r="M1958" t="s">
        <v>8295</v>
      </c>
      <c r="N1958" s="4"/>
    </row>
    <row r="1959" spans="1:14" ht="78" x14ac:dyDescent="0.3">
      <c r="A1959" s="1" t="str">
        <f>HYPERLINK("https://ipmanager.doe.gov/IPManager//ExternalLink.aspx?6ibkph2k9yi6F%2B0Vz7YoTvE8yjoHgvp6K86En8MNeYQ%3D","Link")</f>
        <v>Link</v>
      </c>
      <c r="B1959" s="2" t="s">
        <v>6296</v>
      </c>
      <c r="C1959" s="2" t="s">
        <v>6294</v>
      </c>
      <c r="D1959" s="2" t="s">
        <v>6262</v>
      </c>
      <c r="E1959" s="2" t="s">
        <v>6297</v>
      </c>
      <c r="F1959" s="2" t="s">
        <v>6298</v>
      </c>
      <c r="G1959" s="2" t="s">
        <v>6299</v>
      </c>
      <c r="H1959" s="2"/>
      <c r="I1959" s="2" t="s">
        <v>9</v>
      </c>
      <c r="K1959" t="e">
        <v>#N/A</v>
      </c>
      <c r="L1959" s="2" t="s">
        <v>8755</v>
      </c>
      <c r="M1959" t="s">
        <v>8295</v>
      </c>
      <c r="N1959" s="4"/>
    </row>
    <row r="1960" spans="1:14" ht="39" x14ac:dyDescent="0.3">
      <c r="A1960" s="1" t="str">
        <f>HYPERLINK("https://ipmanager.doe.gov/IPManager//ExternalLink.aspx?6ibkph2k9yi6F%2B0Vz7YoTnXVN2REjGcWUgmQo%2BisfAk%3D","Link")</f>
        <v>Link</v>
      </c>
      <c r="B1960" s="2" t="s">
        <v>6300</v>
      </c>
      <c r="C1960" s="2" t="s">
        <v>6301</v>
      </c>
      <c r="D1960" s="2" t="s">
        <v>1995</v>
      </c>
      <c r="E1960" s="2" t="s">
        <v>6302</v>
      </c>
      <c r="F1960" s="2"/>
      <c r="G1960" s="2" t="s">
        <v>9</v>
      </c>
      <c r="H1960" s="7"/>
      <c r="I1960" s="2" t="s">
        <v>9</v>
      </c>
      <c r="K1960" t="e">
        <v>#N/A</v>
      </c>
      <c r="L1960" s="2" t="s">
        <v>8756</v>
      </c>
      <c r="M1960" t="s">
        <v>8296</v>
      </c>
      <c r="N1960" s="4"/>
    </row>
    <row r="1961" spans="1:14" ht="39" x14ac:dyDescent="0.3">
      <c r="A1961" s="1" t="str">
        <f>HYPERLINK("https://ipmanager.doe.gov/IPManager//ExternalLink.aspx?6ibkph2k9yi6F%2B0Vz7YoTnXVN2REjGcWt4SQNyYxeqQ%3D","Link")</f>
        <v>Link</v>
      </c>
      <c r="B1961" s="2" t="s">
        <v>6303</v>
      </c>
      <c r="C1961" s="2" t="s">
        <v>6304</v>
      </c>
      <c r="D1961" s="2" t="s">
        <v>6305</v>
      </c>
      <c r="E1961" s="2" t="s">
        <v>6306</v>
      </c>
      <c r="F1961" s="2" t="s">
        <v>6307</v>
      </c>
      <c r="G1961" s="2" t="s">
        <v>3340</v>
      </c>
      <c r="H1961" s="7"/>
      <c r="I1961" s="2" t="s">
        <v>9</v>
      </c>
      <c r="K1961" t="e">
        <v>#N/A</v>
      </c>
      <c r="L1961" s="2" t="s">
        <v>8757</v>
      </c>
      <c r="M1961" t="s">
        <v>8297</v>
      </c>
      <c r="N1961" s="4"/>
    </row>
    <row r="1962" spans="1:14" ht="52" x14ac:dyDescent="0.3">
      <c r="A1962" s="1" t="str">
        <f>HYPERLINK("https://ipmanager.doe.gov/IPManager//ExternalLink.aspx?6ibkph2k9yi6F%2B0Vz7YoTp68px7nSN2g0YHqawxCEns%3D","Link")</f>
        <v>Link</v>
      </c>
      <c r="B1962" s="2" t="s">
        <v>6308</v>
      </c>
      <c r="C1962" s="2" t="s">
        <v>6304</v>
      </c>
      <c r="D1962" s="2" t="s">
        <v>6305</v>
      </c>
      <c r="E1962" s="2" t="s">
        <v>6309</v>
      </c>
      <c r="F1962" s="2"/>
      <c r="G1962" s="2" t="s">
        <v>9</v>
      </c>
      <c r="H1962" s="7"/>
      <c r="I1962" s="2" t="s">
        <v>9</v>
      </c>
      <c r="K1962" t="e">
        <v>#N/A</v>
      </c>
      <c r="L1962" s="2" t="s">
        <v>8757</v>
      </c>
      <c r="M1962" t="s">
        <v>8297</v>
      </c>
      <c r="N1962" s="4"/>
    </row>
    <row r="1963" spans="1:14" ht="26" x14ac:dyDescent="0.3">
      <c r="A1963" s="1" t="str">
        <f>HYPERLINK("https://ipmanager.doe.gov/IPManager//ExternalLink.aspx?6ibkph2k9yi6F%2B0Vz7YoTnXVN2REjGcWwtKoTTBy3FI%3D","Link")</f>
        <v>Link</v>
      </c>
      <c r="B1963" s="2" t="s">
        <v>6310</v>
      </c>
      <c r="C1963" s="2" t="s">
        <v>6304</v>
      </c>
      <c r="D1963" s="2" t="s">
        <v>6305</v>
      </c>
      <c r="E1963" s="2" t="s">
        <v>6311</v>
      </c>
      <c r="F1963" s="2"/>
      <c r="G1963" s="2" t="s">
        <v>9</v>
      </c>
      <c r="H1963" s="7"/>
      <c r="I1963" s="2" t="s">
        <v>9</v>
      </c>
      <c r="K1963" t="e">
        <v>#N/A</v>
      </c>
      <c r="L1963" s="2" t="s">
        <v>8757</v>
      </c>
      <c r="M1963" t="s">
        <v>8297</v>
      </c>
      <c r="N1963" s="4"/>
    </row>
    <row r="1964" spans="1:14" ht="39" x14ac:dyDescent="0.3">
      <c r="A1964" s="1" t="str">
        <f>HYPERLINK("https://ipmanager.doe.gov/IPManager//ExternalLink.aspx?6ibkph2k9yi6F%2B0Vz7YoTq6RR9BlGHHiCmjmhr0yXYA%3D","Link")</f>
        <v>Link</v>
      </c>
      <c r="B1964" s="2" t="s">
        <v>6312</v>
      </c>
      <c r="C1964" s="2" t="s">
        <v>6304</v>
      </c>
      <c r="D1964" s="2" t="s">
        <v>6305</v>
      </c>
      <c r="E1964" s="2" t="s">
        <v>6313</v>
      </c>
      <c r="F1964" s="2"/>
      <c r="G1964" s="2" t="s">
        <v>9</v>
      </c>
      <c r="H1964" s="7"/>
      <c r="I1964" s="2" t="s">
        <v>9</v>
      </c>
      <c r="K1964" t="e">
        <v>#N/A</v>
      </c>
      <c r="L1964" s="2" t="s">
        <v>8757</v>
      </c>
      <c r="M1964" t="s">
        <v>8297</v>
      </c>
      <c r="N1964" s="4"/>
    </row>
    <row r="1965" spans="1:14" ht="52" x14ac:dyDescent="0.3">
      <c r="A1965" s="1" t="str">
        <f>HYPERLINK("https://ipmanager.doe.gov/IPManager//ExternalLink.aspx?6ibkph2k9yi6F%2B0Vz7YoTq6RR9BlGHHipBUENJbPml8%3D","Link")</f>
        <v>Link</v>
      </c>
      <c r="B1965" s="2" t="s">
        <v>6314</v>
      </c>
      <c r="C1965" s="2" t="s">
        <v>6304</v>
      </c>
      <c r="D1965" s="2" t="s">
        <v>6305</v>
      </c>
      <c r="E1965" s="2" t="s">
        <v>6315</v>
      </c>
      <c r="F1965" s="2"/>
      <c r="G1965" s="2" t="s">
        <v>9</v>
      </c>
      <c r="H1965" s="7"/>
      <c r="I1965" s="2" t="s">
        <v>9</v>
      </c>
      <c r="K1965" t="e">
        <v>#N/A</v>
      </c>
      <c r="L1965" s="2" t="s">
        <v>8757</v>
      </c>
      <c r="M1965" t="s">
        <v>8297</v>
      </c>
      <c r="N1965" s="4"/>
    </row>
    <row r="1966" spans="1:14" ht="52" x14ac:dyDescent="0.3">
      <c r="A1966" s="1" t="str">
        <f>HYPERLINK("https://ipmanager.doe.gov/IPManager//ExternalLink.aspx?6ibkph2k9yi6F%2B0Vz7YoTq6RR9BlGHHi51kT9j2gI8U%3D","Link")</f>
        <v>Link</v>
      </c>
      <c r="B1966" s="2" t="s">
        <v>6314</v>
      </c>
      <c r="C1966" s="2" t="s">
        <v>6304</v>
      </c>
      <c r="D1966" s="2" t="s">
        <v>6305</v>
      </c>
      <c r="E1966" s="2" t="s">
        <v>6315</v>
      </c>
      <c r="F1966" s="2"/>
      <c r="G1966" s="2" t="s">
        <v>9</v>
      </c>
      <c r="H1966" s="7"/>
      <c r="I1966" s="2" t="s">
        <v>9</v>
      </c>
      <c r="K1966" t="e">
        <v>#N/A</v>
      </c>
      <c r="L1966" s="2" t="s">
        <v>8757</v>
      </c>
      <c r="M1966" t="s">
        <v>8297</v>
      </c>
      <c r="N1966" s="4"/>
    </row>
    <row r="1967" spans="1:14" ht="39" x14ac:dyDescent="0.3">
      <c r="A1967" s="1" t="str">
        <f>HYPERLINK("https://ipmanager.doe.gov/IPManager//ExternalLink.aspx?6ibkph2k9yi6F%2B0Vz7YoTq6RR9BlGHHi6mu8ANVg4uE%3D","Link")</f>
        <v>Link</v>
      </c>
      <c r="B1967" s="2" t="s">
        <v>6348</v>
      </c>
      <c r="C1967" s="2" t="s">
        <v>6317</v>
      </c>
      <c r="D1967" s="2" t="s">
        <v>6318</v>
      </c>
      <c r="E1967" s="2" t="s">
        <v>6349</v>
      </c>
      <c r="F1967" s="2" t="s">
        <v>6350</v>
      </c>
      <c r="G1967" s="2" t="s">
        <v>6351</v>
      </c>
      <c r="H1967" s="7"/>
      <c r="I1967" s="2" t="s">
        <v>9</v>
      </c>
      <c r="K1967" t="e">
        <v>#N/A</v>
      </c>
      <c r="L1967" s="2" t="s">
        <v>8758</v>
      </c>
      <c r="M1967" t="s">
        <v>8298</v>
      </c>
      <c r="N1967" s="4"/>
    </row>
    <row r="1968" spans="1:14" ht="26" x14ac:dyDescent="0.3">
      <c r="A1968" s="1" t="str">
        <f>HYPERLINK("https://ipmanager.doe.gov/IPManager//ExternalLink.aspx?6ibkph2k9yi6F%2B0Vz7YoTq6RR9BlGHHijpUN5b9pqcg%3D","Link")</f>
        <v>Link</v>
      </c>
      <c r="B1968" s="2" t="s">
        <v>6352</v>
      </c>
      <c r="C1968" s="2" t="s">
        <v>6317</v>
      </c>
      <c r="D1968" s="2" t="s">
        <v>6318</v>
      </c>
      <c r="E1968" s="2" t="s">
        <v>6353</v>
      </c>
      <c r="F1968" s="2" t="s">
        <v>6354</v>
      </c>
      <c r="G1968" s="2" t="s">
        <v>6355</v>
      </c>
      <c r="H1968" s="7"/>
      <c r="I1968" s="2" t="s">
        <v>9</v>
      </c>
      <c r="K1968" t="e">
        <v>#N/A</v>
      </c>
      <c r="L1968" s="2" t="s">
        <v>8758</v>
      </c>
      <c r="M1968" t="s">
        <v>8298</v>
      </c>
      <c r="N1968" s="4"/>
    </row>
    <row r="1969" spans="1:14" ht="26" x14ac:dyDescent="0.3">
      <c r="A1969" s="1" t="str">
        <f>HYPERLINK("https://ipmanager.doe.gov/IPManager//ExternalLink.aspx?6ibkph2k9yi6F%2B0Vz7YoTp68px7nSN2g3Zz9gaRbBrs%3D","Link")</f>
        <v>Link</v>
      </c>
      <c r="B1969" s="2" t="s">
        <v>6356</v>
      </c>
      <c r="C1969" s="2" t="s">
        <v>6317</v>
      </c>
      <c r="D1969" s="2" t="s">
        <v>6318</v>
      </c>
      <c r="E1969" s="2" t="s">
        <v>6357</v>
      </c>
      <c r="F1969" s="2" t="s">
        <v>6358</v>
      </c>
      <c r="G1969" s="2" t="s">
        <v>3235</v>
      </c>
      <c r="H1969" s="7"/>
      <c r="I1969" s="2" t="s">
        <v>9</v>
      </c>
      <c r="J1969" t="s">
        <v>6358</v>
      </c>
      <c r="K1969" t="s">
        <v>7968</v>
      </c>
      <c r="L1969" s="2" t="s">
        <v>8758</v>
      </c>
      <c r="M1969" t="s">
        <v>8298</v>
      </c>
      <c r="N1969" s="4"/>
    </row>
    <row r="1970" spans="1:14" ht="26" x14ac:dyDescent="0.3">
      <c r="A1970" s="1" t="str">
        <f>HYPERLINK("https://ipmanager.doe.gov/IPManager//ExternalLink.aspx?6ibkph2k9yi6F%2B0Vz7YoThEBhkR3uHVrbZDF4XBZeaY%3D","Link")</f>
        <v>Link</v>
      </c>
      <c r="B1970" s="2" t="s">
        <v>6359</v>
      </c>
      <c r="C1970" s="2" t="s">
        <v>6317</v>
      </c>
      <c r="D1970" s="2" t="s">
        <v>6318</v>
      </c>
      <c r="E1970" s="2" t="s">
        <v>6357</v>
      </c>
      <c r="F1970" s="2" t="s">
        <v>6360</v>
      </c>
      <c r="G1970" s="2" t="s">
        <v>6361</v>
      </c>
      <c r="H1970" s="7"/>
      <c r="I1970" s="2" t="s">
        <v>9</v>
      </c>
      <c r="J1970" t="s">
        <v>1454</v>
      </c>
      <c r="K1970" t="s">
        <v>7813</v>
      </c>
      <c r="L1970" s="2" t="s">
        <v>8758</v>
      </c>
      <c r="M1970" t="s">
        <v>8298</v>
      </c>
      <c r="N1970" s="4"/>
    </row>
    <row r="1971" spans="1:14" ht="26" x14ac:dyDescent="0.3">
      <c r="A1971" s="1" t="str">
        <f>HYPERLINK("https://ipmanager.doe.gov/IPManager//ExternalLink.aspx?6ibkph2k9yi6F%2B0Vz7YoTp68px7nSN2gz0OJkpKbMyw%3D","Link")</f>
        <v>Link</v>
      </c>
      <c r="B1971" s="2" t="s">
        <v>6362</v>
      </c>
      <c r="C1971" s="2" t="s">
        <v>6317</v>
      </c>
      <c r="D1971" s="2" t="s">
        <v>6318</v>
      </c>
      <c r="E1971" s="2" t="s">
        <v>6363</v>
      </c>
      <c r="F1971" s="2" t="s">
        <v>6364</v>
      </c>
      <c r="G1971" s="2" t="s">
        <v>6365</v>
      </c>
      <c r="H1971" s="7"/>
      <c r="I1971" s="2" t="s">
        <v>9</v>
      </c>
      <c r="J1971" t="s">
        <v>1458</v>
      </c>
      <c r="K1971" t="s">
        <v>7814</v>
      </c>
      <c r="L1971" s="2" t="s">
        <v>8758</v>
      </c>
      <c r="M1971" t="s">
        <v>8298</v>
      </c>
      <c r="N1971" s="4"/>
    </row>
    <row r="1972" spans="1:14" ht="39" x14ac:dyDescent="0.3">
      <c r="A1972" s="1" t="str">
        <f>HYPERLINK("https://ipmanager.doe.gov/IPManager//ExternalLink.aspx?6ibkph2k9yi6F%2B0Vz7YoTq6RR9BlGHHi3Vg08UXnGNk%3D","Link")</f>
        <v>Link</v>
      </c>
      <c r="B1972" s="2" t="s">
        <v>6366</v>
      </c>
      <c r="C1972" s="2" t="s">
        <v>6317</v>
      </c>
      <c r="D1972" s="2" t="s">
        <v>6318</v>
      </c>
      <c r="E1972" s="2" t="s">
        <v>6349</v>
      </c>
      <c r="F1972" s="2" t="s">
        <v>6367</v>
      </c>
      <c r="G1972" s="2" t="s">
        <v>6351</v>
      </c>
      <c r="H1972" s="7"/>
      <c r="I1972" s="2" t="s">
        <v>9</v>
      </c>
      <c r="J1972" t="s">
        <v>7663</v>
      </c>
      <c r="K1972" t="s">
        <v>7678</v>
      </c>
      <c r="L1972" s="2" t="s">
        <v>8758</v>
      </c>
      <c r="M1972" t="s">
        <v>8298</v>
      </c>
      <c r="N1972" s="4"/>
    </row>
    <row r="1973" spans="1:14" ht="52" x14ac:dyDescent="0.3">
      <c r="A1973" s="1" t="str">
        <f>HYPERLINK("https://ipmanager.doe.gov/IPManager//ExternalLink.aspx?6ibkph2k9yi6F%2B0Vz7YoTnXVN2REjGcWIGG2pb0vIYw%3D","Link")</f>
        <v>Link</v>
      </c>
      <c r="B1973" s="2" t="s">
        <v>6316</v>
      </c>
      <c r="C1973" s="2" t="s">
        <v>6317</v>
      </c>
      <c r="D1973" s="2" t="s">
        <v>6318</v>
      </c>
      <c r="E1973" s="2" t="s">
        <v>6319</v>
      </c>
      <c r="F1973" s="2"/>
      <c r="G1973" s="2" t="s">
        <v>9</v>
      </c>
      <c r="H1973" s="7"/>
      <c r="I1973" s="2" t="s">
        <v>9</v>
      </c>
      <c r="K1973" t="e">
        <v>#N/A</v>
      </c>
      <c r="L1973" s="2" t="s">
        <v>8758</v>
      </c>
      <c r="M1973" t="s">
        <v>8298</v>
      </c>
      <c r="N1973" s="4"/>
    </row>
    <row r="1974" spans="1:14" ht="26" x14ac:dyDescent="0.3">
      <c r="A1974" s="1" t="str">
        <f>HYPERLINK("https://ipmanager.doe.gov/IPManager//ExternalLink.aspx?6ibkph2k9yi6F%2B0Vz7YoThEBhkR3uHVr%2BjVMOwjk2hk%3D","Link")</f>
        <v>Link</v>
      </c>
      <c r="B1974" s="2" t="s">
        <v>6321</v>
      </c>
      <c r="C1974" s="2" t="s">
        <v>6317</v>
      </c>
      <c r="D1974" s="2" t="s">
        <v>6318</v>
      </c>
      <c r="E1974" s="2" t="s">
        <v>6322</v>
      </c>
      <c r="F1974" s="2"/>
      <c r="G1974" s="2" t="s">
        <v>9</v>
      </c>
      <c r="H1974" s="7"/>
      <c r="I1974" s="2" t="s">
        <v>9</v>
      </c>
      <c r="K1974" t="e">
        <v>#N/A</v>
      </c>
      <c r="L1974" s="2" t="s">
        <v>8758</v>
      </c>
      <c r="M1974" t="s">
        <v>8298</v>
      </c>
      <c r="N1974" s="4"/>
    </row>
    <row r="1975" spans="1:14" ht="26" x14ac:dyDescent="0.3">
      <c r="A1975" s="1" t="str">
        <f>HYPERLINK("https://ipmanager.doe.gov/IPManager//ExternalLink.aspx?6ibkph2k9yi6F%2B0Vz7YoTvE8yjoHgvp6wtz0Rrio7MU%3D","Link")</f>
        <v>Link</v>
      </c>
      <c r="B1975" s="2" t="s">
        <v>6324</v>
      </c>
      <c r="C1975" s="2" t="s">
        <v>6317</v>
      </c>
      <c r="D1975" s="2" t="s">
        <v>6318</v>
      </c>
      <c r="E1975" s="2" t="s">
        <v>6325</v>
      </c>
      <c r="F1975" s="2"/>
      <c r="G1975" s="2" t="s">
        <v>9</v>
      </c>
      <c r="H1975" s="7"/>
      <c r="I1975" s="2" t="s">
        <v>9</v>
      </c>
      <c r="K1975" t="e">
        <v>#N/A</v>
      </c>
      <c r="L1975" s="2" t="s">
        <v>8758</v>
      </c>
      <c r="M1975" t="s">
        <v>8298</v>
      </c>
      <c r="N1975" s="4"/>
    </row>
    <row r="1976" spans="1:14" ht="39" x14ac:dyDescent="0.3">
      <c r="A1976" s="1" t="str">
        <f>HYPERLINK("https://ipmanager.doe.gov/IPManager//ExternalLink.aspx?6ibkph2k9yi6F%2B0Vz7YoTvE8yjoHgvp6K02Ra2DojSU%3D","Link")</f>
        <v>Link</v>
      </c>
      <c r="B1976" s="2" t="s">
        <v>6326</v>
      </c>
      <c r="C1976" s="2" t="s">
        <v>6317</v>
      </c>
      <c r="D1976" s="2" t="s">
        <v>6318</v>
      </c>
      <c r="E1976" s="2" t="s">
        <v>6327</v>
      </c>
      <c r="F1976" s="2"/>
      <c r="G1976" s="2" t="s">
        <v>9</v>
      </c>
      <c r="H1976" s="7"/>
      <c r="I1976" s="2" t="s">
        <v>9</v>
      </c>
      <c r="K1976" t="e">
        <v>#N/A</v>
      </c>
      <c r="L1976" s="2" t="s">
        <v>8758</v>
      </c>
      <c r="M1976" t="s">
        <v>8298</v>
      </c>
      <c r="N1976" s="4"/>
    </row>
    <row r="1977" spans="1:14" ht="52" x14ac:dyDescent="0.3">
      <c r="A1977" s="1" t="str">
        <f>HYPERLINK("https://ipmanager.doe.gov/IPManager//ExternalLink.aspx?6ibkph2k9yi6F%2B0Vz7YoTvPUg%2FVZPl3inC2pmwTZri4%3D","Link")</f>
        <v>Link</v>
      </c>
      <c r="B1977" s="2" t="s">
        <v>6328</v>
      </c>
      <c r="C1977" s="2" t="s">
        <v>6317</v>
      </c>
      <c r="D1977" s="2" t="s">
        <v>6318</v>
      </c>
      <c r="E1977" s="2" t="s">
        <v>6329</v>
      </c>
      <c r="F1977" s="2"/>
      <c r="G1977" s="2" t="s">
        <v>9</v>
      </c>
      <c r="H1977" s="7"/>
      <c r="I1977" s="2" t="s">
        <v>9</v>
      </c>
      <c r="K1977" t="e">
        <v>#N/A</v>
      </c>
      <c r="L1977" s="2" t="s">
        <v>8758</v>
      </c>
      <c r="M1977" t="s">
        <v>8298</v>
      </c>
      <c r="N1977" s="4"/>
    </row>
    <row r="1978" spans="1:14" ht="26" x14ac:dyDescent="0.3">
      <c r="A1978" s="1" t="str">
        <f>HYPERLINK("https://ipmanager.doe.gov/IPManager//ExternalLink.aspx?6ibkph2k9yi6F%2B0Vz7YoTvPUg%2FVZPl3ik%2BN4ghuq0AY%3D","Link")</f>
        <v>Link</v>
      </c>
      <c r="B1978" s="2" t="s">
        <v>6330</v>
      </c>
      <c r="C1978" s="2" t="s">
        <v>6317</v>
      </c>
      <c r="D1978" s="2" t="s">
        <v>6318</v>
      </c>
      <c r="E1978" s="2" t="s">
        <v>6331</v>
      </c>
      <c r="F1978" s="2"/>
      <c r="G1978" s="2" t="s">
        <v>9</v>
      </c>
      <c r="H1978" s="7"/>
      <c r="I1978" s="2" t="s">
        <v>9</v>
      </c>
      <c r="K1978" t="e">
        <v>#N/A</v>
      </c>
      <c r="L1978" s="2" t="s">
        <v>8758</v>
      </c>
      <c r="M1978" t="s">
        <v>8298</v>
      </c>
      <c r="N1978" s="4"/>
    </row>
    <row r="1979" spans="1:14" ht="26" x14ac:dyDescent="0.3">
      <c r="A1979" s="1" t="str">
        <f>HYPERLINK("https://ipmanager.doe.gov/IPManager//ExternalLink.aspx?6ibkph2k9yi6F%2B0Vz7YoTq6RR9BlGHHivhUyzMG8%2BVQ%3D","Link")</f>
        <v>Link</v>
      </c>
      <c r="B1979" s="2" t="s">
        <v>6332</v>
      </c>
      <c r="C1979" s="2" t="s">
        <v>6317</v>
      </c>
      <c r="D1979" s="2" t="s">
        <v>6318</v>
      </c>
      <c r="E1979" s="2" t="s">
        <v>6333</v>
      </c>
      <c r="F1979" s="2"/>
      <c r="G1979" s="2" t="s">
        <v>9</v>
      </c>
      <c r="H1979" s="7"/>
      <c r="I1979" s="2" t="s">
        <v>9</v>
      </c>
      <c r="K1979" t="e">
        <v>#N/A</v>
      </c>
      <c r="L1979" s="2" t="s">
        <v>8758</v>
      </c>
      <c r="M1979" t="s">
        <v>8298</v>
      </c>
      <c r="N1979" s="4"/>
    </row>
    <row r="1980" spans="1:14" ht="39" x14ac:dyDescent="0.3">
      <c r="A1980" s="1" t="str">
        <f>HYPERLINK("https://ipmanager.doe.gov/IPManager//ExternalLink.aspx?6ibkph2k9yi6F%2B0Vz7YoTq6RR9BlGHHi5ZYVmxeDfW4%3D","Link")</f>
        <v>Link</v>
      </c>
      <c r="B1980" s="2" t="s">
        <v>6334</v>
      </c>
      <c r="C1980" s="2" t="s">
        <v>6317</v>
      </c>
      <c r="D1980" s="2" t="s">
        <v>6318</v>
      </c>
      <c r="E1980" s="2" t="s">
        <v>6335</v>
      </c>
      <c r="F1980" s="2"/>
      <c r="G1980" s="2" t="s">
        <v>9</v>
      </c>
      <c r="H1980" s="7"/>
      <c r="I1980" s="2" t="s">
        <v>9</v>
      </c>
      <c r="K1980" t="e">
        <v>#N/A</v>
      </c>
      <c r="L1980" s="2" t="s">
        <v>8758</v>
      </c>
      <c r="M1980" t="s">
        <v>8298</v>
      </c>
      <c r="N1980" s="4"/>
    </row>
    <row r="1981" spans="1:14" ht="39" x14ac:dyDescent="0.3">
      <c r="A1981" s="1" t="str">
        <f>HYPERLINK("https://ipmanager.doe.gov/IPManager//ExternalLink.aspx?6ibkph2k9yi6F%2B0Vz7YoTq6RR9BlGHHidm6NAuZt%2Fbw%3D","Link")</f>
        <v>Link</v>
      </c>
      <c r="B1981" s="2" t="s">
        <v>6336</v>
      </c>
      <c r="C1981" s="2" t="s">
        <v>6317</v>
      </c>
      <c r="D1981" s="2" t="s">
        <v>6318</v>
      </c>
      <c r="E1981" s="2" t="s">
        <v>6337</v>
      </c>
      <c r="F1981" s="2"/>
      <c r="G1981" s="2" t="s">
        <v>9</v>
      </c>
      <c r="H1981" s="7"/>
      <c r="I1981" s="2" t="s">
        <v>9</v>
      </c>
      <c r="K1981" t="e">
        <v>#N/A</v>
      </c>
      <c r="L1981" s="2" t="s">
        <v>8758</v>
      </c>
      <c r="M1981" t="s">
        <v>8298</v>
      </c>
      <c r="N1981" s="4"/>
    </row>
    <row r="1982" spans="1:14" ht="26" x14ac:dyDescent="0.3">
      <c r="A1982" s="1" t="str">
        <f>HYPERLINK("https://ipmanager.doe.gov/IPManager//ExternalLink.aspx?6ibkph2k9yi6F%2B0Vz7YoTp68px7nSN2gUTdpE0JyemI%3D","Link")</f>
        <v>Link</v>
      </c>
      <c r="B1982" s="2" t="s">
        <v>6338</v>
      </c>
      <c r="C1982" s="2" t="s">
        <v>6317</v>
      </c>
      <c r="D1982" s="2" t="s">
        <v>6318</v>
      </c>
      <c r="E1982" s="2" t="s">
        <v>6339</v>
      </c>
      <c r="F1982" s="2"/>
      <c r="G1982" s="2" t="s">
        <v>9</v>
      </c>
      <c r="H1982" s="7"/>
      <c r="I1982" s="2" t="s">
        <v>9</v>
      </c>
      <c r="K1982" t="e">
        <v>#N/A</v>
      </c>
      <c r="L1982" s="2" t="s">
        <v>8758</v>
      </c>
      <c r="M1982" t="s">
        <v>8298</v>
      </c>
      <c r="N1982" s="4"/>
    </row>
    <row r="1983" spans="1:14" ht="26" x14ac:dyDescent="0.3">
      <c r="A1983" s="1" t="str">
        <f>HYPERLINK("https://ipmanager.doe.gov/IPManager//ExternalLink.aspx?6ibkph2k9yi6F%2B0Vz7YoTp68px7nSN2gOe41i3wRoHY%3D","Link")</f>
        <v>Link</v>
      </c>
      <c r="B1983" s="2" t="s">
        <v>6340</v>
      </c>
      <c r="C1983" s="2" t="s">
        <v>6317</v>
      </c>
      <c r="D1983" s="2" t="s">
        <v>6318</v>
      </c>
      <c r="E1983" s="2" t="s">
        <v>6341</v>
      </c>
      <c r="F1983" s="2"/>
      <c r="G1983" s="2" t="s">
        <v>9</v>
      </c>
      <c r="H1983" s="7"/>
      <c r="I1983" s="2" t="s">
        <v>9</v>
      </c>
      <c r="K1983" t="e">
        <v>#N/A</v>
      </c>
      <c r="L1983" s="2" t="s">
        <v>8758</v>
      </c>
      <c r="M1983" t="s">
        <v>8298</v>
      </c>
      <c r="N1983" s="4"/>
    </row>
    <row r="1984" spans="1:14" ht="52" x14ac:dyDescent="0.3">
      <c r="A1984" s="1" t="str">
        <f>HYPERLINK("https://ipmanager.doe.gov/IPManager//ExternalLink.aspx?6ibkph2k9yi6F%2B0Vz7YoTp68px7nSN2gxjrMX8jlV4A%3D","Link")</f>
        <v>Link</v>
      </c>
      <c r="B1984" s="2" t="s">
        <v>6342</v>
      </c>
      <c r="C1984" s="2" t="s">
        <v>6317</v>
      </c>
      <c r="D1984" s="2" t="s">
        <v>6318</v>
      </c>
      <c r="E1984" s="2" t="s">
        <v>6343</v>
      </c>
      <c r="F1984" s="2"/>
      <c r="G1984" s="2" t="s">
        <v>9</v>
      </c>
      <c r="H1984" s="7"/>
      <c r="I1984" s="2" t="s">
        <v>9</v>
      </c>
      <c r="K1984" t="e">
        <v>#N/A</v>
      </c>
      <c r="L1984" s="2" t="s">
        <v>8758</v>
      </c>
      <c r="M1984" t="s">
        <v>8298</v>
      </c>
      <c r="N1984" s="4"/>
    </row>
    <row r="1985" spans="1:14" ht="26" x14ac:dyDescent="0.3">
      <c r="A1985" s="1" t="str">
        <f>HYPERLINK("https://ipmanager.doe.gov/IPManager//ExternalLink.aspx?6ibkph2k9yi6F%2B0Vz7YoTp68px7nSN2gKspahsGdtHI%3D","Link")</f>
        <v>Link</v>
      </c>
      <c r="B1985" s="2" t="s">
        <v>6344</v>
      </c>
      <c r="C1985" s="2" t="s">
        <v>6317</v>
      </c>
      <c r="D1985" s="2" t="s">
        <v>6318</v>
      </c>
      <c r="E1985" s="2" t="s">
        <v>6345</v>
      </c>
      <c r="F1985" s="2"/>
      <c r="G1985" s="2" t="s">
        <v>9</v>
      </c>
      <c r="H1985" s="7"/>
      <c r="I1985" s="2" t="s">
        <v>9</v>
      </c>
      <c r="K1985" t="e">
        <v>#N/A</v>
      </c>
      <c r="L1985" s="2" t="s">
        <v>8758</v>
      </c>
      <c r="M1985" t="s">
        <v>8298</v>
      </c>
      <c r="N1985" s="4"/>
    </row>
    <row r="1986" spans="1:14" ht="39" x14ac:dyDescent="0.3">
      <c r="A1986" s="1" t="str">
        <f>HYPERLINK("https://ipmanager.doe.gov/IPManager//ExternalLink.aspx?6ibkph2k9yi6F%2B0Vz7YoTo7DPLa3%2F%2FGgID16geSX7BE%3D","Link")</f>
        <v>Link</v>
      </c>
      <c r="B1986" s="2" t="s">
        <v>6346</v>
      </c>
      <c r="C1986" s="2" t="s">
        <v>6317</v>
      </c>
      <c r="D1986" s="2" t="s">
        <v>6318</v>
      </c>
      <c r="E1986" s="2" t="s">
        <v>6347</v>
      </c>
      <c r="F1986" s="2"/>
      <c r="G1986" s="2" t="s">
        <v>9</v>
      </c>
      <c r="H1986" s="7"/>
      <c r="I1986" s="2" t="s">
        <v>9</v>
      </c>
      <c r="K1986" t="e">
        <v>#N/A</v>
      </c>
      <c r="L1986" s="2" t="s">
        <v>8758</v>
      </c>
      <c r="M1986" t="s">
        <v>8298</v>
      </c>
      <c r="N1986" s="4"/>
    </row>
    <row r="1987" spans="1:14" ht="26" x14ac:dyDescent="0.3">
      <c r="A1987" s="1" t="str">
        <f>HYPERLINK("https://ipmanager.doe.gov/IPManager//ExternalLink.aspx?6ibkph2k9yi6F%2B0Vz7YoTvE8yjoHgvp69xGfnwJuuA8%3D","Link")</f>
        <v>Link</v>
      </c>
      <c r="B1987" s="2" t="s">
        <v>6372</v>
      </c>
      <c r="C1987" s="2" t="s">
        <v>6369</v>
      </c>
      <c r="D1987" s="2" t="s">
        <v>6370</v>
      </c>
      <c r="E1987" s="2" t="s">
        <v>6373</v>
      </c>
      <c r="F1987" s="2" t="s">
        <v>6374</v>
      </c>
      <c r="G1987" s="2" t="s">
        <v>6375</v>
      </c>
      <c r="H1987" s="7"/>
      <c r="I1987" s="2" t="s">
        <v>9</v>
      </c>
      <c r="K1987" t="e">
        <v>#N/A</v>
      </c>
      <c r="L1987" s="2" t="s">
        <v>8759</v>
      </c>
      <c r="M1987" t="s">
        <v>8299</v>
      </c>
      <c r="N1987" s="4"/>
    </row>
    <row r="1988" spans="1:14" ht="26" x14ac:dyDescent="0.3">
      <c r="A1988" s="1" t="str">
        <f>HYPERLINK("https://ipmanager.doe.gov/IPManager//ExternalLink.aspx?6ibkph2k9yi6F%2B0Vz7YoTq6RR9BlGHHihEWz3Ws7OrQ%3D","Link")</f>
        <v>Link</v>
      </c>
      <c r="B1988" s="2" t="s">
        <v>6368</v>
      </c>
      <c r="C1988" s="2" t="s">
        <v>6369</v>
      </c>
      <c r="D1988" s="2" t="s">
        <v>6370</v>
      </c>
      <c r="E1988" s="2" t="s">
        <v>6371</v>
      </c>
      <c r="F1988" s="2"/>
      <c r="G1988" s="2" t="s">
        <v>9</v>
      </c>
      <c r="H1988" s="7"/>
      <c r="I1988" s="2" t="s">
        <v>9</v>
      </c>
      <c r="K1988" t="e">
        <v>#N/A</v>
      </c>
      <c r="L1988" s="2" t="s">
        <v>8759</v>
      </c>
      <c r="M1988" t="s">
        <v>8299</v>
      </c>
      <c r="N1988" s="4"/>
    </row>
    <row r="1989" spans="1:14" ht="52" x14ac:dyDescent="0.3">
      <c r="A1989" s="1" t="str">
        <f>HYPERLINK("https://ipmanager.doe.gov/IPManager//ExternalLink.aspx?6ibkph2k9yi6F%2B0Vz7YoTnXVN2REjGcWXxFK64oafS8%3D","Link")</f>
        <v>Link</v>
      </c>
      <c r="B1989" s="2" t="s">
        <v>6376</v>
      </c>
      <c r="C1989" s="2" t="s">
        <v>6369</v>
      </c>
      <c r="D1989" s="2" t="s">
        <v>1891</v>
      </c>
      <c r="E1989" s="2" t="s">
        <v>6377</v>
      </c>
      <c r="F1989" s="2"/>
      <c r="G1989" s="2" t="s">
        <v>9</v>
      </c>
      <c r="H1989" s="7"/>
      <c r="I1989" s="2" t="s">
        <v>9</v>
      </c>
      <c r="K1989" t="e">
        <v>#N/A</v>
      </c>
      <c r="L1989" s="2" t="s">
        <v>8759</v>
      </c>
      <c r="M1989" t="s">
        <v>8299</v>
      </c>
      <c r="N1989" s="4"/>
    </row>
    <row r="1990" spans="1:14" ht="52" x14ac:dyDescent="0.3">
      <c r="A1990" s="1" t="str">
        <f>HYPERLINK("https://ipmanager.doe.gov/IPManager//ExternalLink.aspx?6ibkph2k9yi6F%2B0Vz7YoTnXVN2REjGcWrVTCmusRPeo%3D","Link")</f>
        <v>Link</v>
      </c>
      <c r="B1990" s="2" t="s">
        <v>6378</v>
      </c>
      <c r="C1990" s="2" t="s">
        <v>6379</v>
      </c>
      <c r="D1990" s="2" t="s">
        <v>6380</v>
      </c>
      <c r="E1990" s="2" t="s">
        <v>6381</v>
      </c>
      <c r="F1990" s="2"/>
      <c r="G1990" s="2" t="s">
        <v>9</v>
      </c>
      <c r="H1990" s="7"/>
      <c r="I1990" s="2" t="s">
        <v>9</v>
      </c>
      <c r="K1990" t="e">
        <v>#N/A</v>
      </c>
      <c r="L1990" s="2" t="s">
        <v>8601</v>
      </c>
      <c r="M1990" t="s">
        <v>8143</v>
      </c>
      <c r="N1990" s="4"/>
    </row>
    <row r="1991" spans="1:14" ht="39" x14ac:dyDescent="0.3">
      <c r="A1991" s="1" t="str">
        <f>HYPERLINK("https://ipmanager.doe.gov/IPManager//ExternalLink.aspx?6ibkph2k9yi6F%2B0Vz7YoTvPUg%2FVZPl3iRA5u2bysgMY%3D","Link")</f>
        <v>Link</v>
      </c>
      <c r="B1991" s="2" t="s">
        <v>6391</v>
      </c>
      <c r="C1991" s="2" t="s">
        <v>6383</v>
      </c>
      <c r="D1991" s="2" t="s">
        <v>4148</v>
      </c>
      <c r="E1991" s="2" t="s">
        <v>6392</v>
      </c>
      <c r="F1991" s="2" t="s">
        <v>6393</v>
      </c>
      <c r="G1991" s="2" t="s">
        <v>6394</v>
      </c>
      <c r="H1991" s="7"/>
      <c r="I1991" s="2" t="s">
        <v>9</v>
      </c>
      <c r="K1991" t="e">
        <v>#N/A</v>
      </c>
      <c r="L1991" s="2" t="s">
        <v>8760</v>
      </c>
      <c r="M1991" t="s">
        <v>8300</v>
      </c>
      <c r="N1991" s="4"/>
    </row>
    <row r="1992" spans="1:14" ht="39" x14ac:dyDescent="0.3">
      <c r="A1992" s="1" t="str">
        <f>HYPERLINK("https://ipmanager.doe.gov/IPManager//ExternalLink.aspx?6ibkph2k9yi6F%2B0Vz7YoTvPUg%2FVZPl3iEZb8g3EasRE%3D","Link")</f>
        <v>Link</v>
      </c>
      <c r="B1992" s="2" t="s">
        <v>6398</v>
      </c>
      <c r="C1992" s="2" t="s">
        <v>6383</v>
      </c>
      <c r="D1992" s="2" t="s">
        <v>4148</v>
      </c>
      <c r="E1992" s="2" t="s">
        <v>6399</v>
      </c>
      <c r="F1992" s="2" t="s">
        <v>6400</v>
      </c>
      <c r="G1992" s="2" t="s">
        <v>3113</v>
      </c>
      <c r="H1992" s="7"/>
      <c r="I1992" s="2" t="s">
        <v>9</v>
      </c>
      <c r="K1992" t="e">
        <v>#N/A</v>
      </c>
      <c r="L1992" s="2" t="s">
        <v>8760</v>
      </c>
      <c r="M1992" t="s">
        <v>8300</v>
      </c>
      <c r="N1992" s="4"/>
    </row>
    <row r="1993" spans="1:14" ht="39" x14ac:dyDescent="0.3">
      <c r="A1993" s="1" t="str">
        <f>HYPERLINK("https://ipmanager.doe.gov/IPManager//ExternalLink.aspx?6ibkph2k9yi6F%2B0Vz7YoTvPUg%2FVZPl3i03jFFObqQ%2FQ%3D","Link")</f>
        <v>Link</v>
      </c>
      <c r="B1993" s="2" t="s">
        <v>6401</v>
      </c>
      <c r="C1993" s="2" t="s">
        <v>6383</v>
      </c>
      <c r="D1993" s="2" t="s">
        <v>4148</v>
      </c>
      <c r="E1993" s="2" t="s">
        <v>6399</v>
      </c>
      <c r="F1993" s="2" t="s">
        <v>6402</v>
      </c>
      <c r="G1993" s="2" t="s">
        <v>3113</v>
      </c>
      <c r="H1993" s="7"/>
      <c r="I1993" s="2" t="s">
        <v>9</v>
      </c>
      <c r="J1993" t="s">
        <v>6402</v>
      </c>
      <c r="K1993" t="s">
        <v>7729</v>
      </c>
      <c r="L1993" s="2" t="s">
        <v>8760</v>
      </c>
      <c r="M1993" t="s">
        <v>8300</v>
      </c>
      <c r="N1993" s="4"/>
    </row>
    <row r="1994" spans="1:14" ht="39" x14ac:dyDescent="0.3">
      <c r="A1994" s="1" t="str">
        <f>HYPERLINK("https://ipmanager.doe.gov/IPManager//ExternalLink.aspx?6ibkph2k9yi6F%2B0Vz7YoThEBhkR3uHVrN%2FUtRst%2BHVs%3D","Link")</f>
        <v>Link</v>
      </c>
      <c r="B1994" s="2" t="s">
        <v>6403</v>
      </c>
      <c r="C1994" s="2" t="s">
        <v>6383</v>
      </c>
      <c r="D1994" s="2" t="s">
        <v>4148</v>
      </c>
      <c r="E1994" s="2" t="s">
        <v>6399</v>
      </c>
      <c r="F1994" s="2" t="s">
        <v>6404</v>
      </c>
      <c r="G1994" s="2" t="s">
        <v>288</v>
      </c>
      <c r="H1994" s="7"/>
      <c r="I1994" s="2" t="s">
        <v>9</v>
      </c>
      <c r="K1994" t="e">
        <v>#N/A</v>
      </c>
      <c r="L1994" s="2" t="s">
        <v>8760</v>
      </c>
      <c r="M1994" t="s">
        <v>8300</v>
      </c>
      <c r="N1994" s="4"/>
    </row>
    <row r="1995" spans="1:14" ht="26" x14ac:dyDescent="0.3">
      <c r="A1995" s="1" t="str">
        <f>HYPERLINK("https://ipmanager.doe.gov/IPManager//ExternalLink.aspx?6ibkph2k9yi6F%2B0Vz7YoTvE8yjoHgvp6YYVZ87w5zlg%3D","Link")</f>
        <v>Link</v>
      </c>
      <c r="B1995" s="2" t="s">
        <v>6382</v>
      </c>
      <c r="C1995" s="2" t="s">
        <v>6383</v>
      </c>
      <c r="D1995" s="2" t="s">
        <v>4148</v>
      </c>
      <c r="E1995" s="2" t="s">
        <v>6384</v>
      </c>
      <c r="F1995" s="2"/>
      <c r="G1995" s="2" t="s">
        <v>9</v>
      </c>
      <c r="H1995" s="7"/>
      <c r="I1995" s="2" t="s">
        <v>9</v>
      </c>
      <c r="K1995" t="e">
        <v>#N/A</v>
      </c>
      <c r="L1995" s="2" t="s">
        <v>8760</v>
      </c>
      <c r="M1995" t="s">
        <v>8300</v>
      </c>
      <c r="N1995" s="4"/>
    </row>
    <row r="1996" spans="1:14" ht="39" x14ac:dyDescent="0.3">
      <c r="A1996" s="1" t="str">
        <f>HYPERLINK("https://ipmanager.doe.gov/IPManager//ExternalLink.aspx?6ibkph2k9yi6F%2B0Vz7YoThEBhkR3uHVrPUldl2HH1xU%3D","Link")</f>
        <v>Link</v>
      </c>
      <c r="B1996" s="2" t="s">
        <v>6385</v>
      </c>
      <c r="C1996" s="2" t="s">
        <v>6383</v>
      </c>
      <c r="D1996" s="2" t="s">
        <v>4148</v>
      </c>
      <c r="E1996" s="2" t="s">
        <v>6386</v>
      </c>
      <c r="F1996" s="2"/>
      <c r="G1996" s="2" t="s">
        <v>9</v>
      </c>
      <c r="H1996" s="7"/>
      <c r="I1996" s="2" t="s">
        <v>9</v>
      </c>
      <c r="K1996" t="e">
        <v>#N/A</v>
      </c>
      <c r="L1996" s="2" t="s">
        <v>8760</v>
      </c>
      <c r="M1996" t="s">
        <v>8300</v>
      </c>
      <c r="N1996" s="4"/>
    </row>
    <row r="1997" spans="1:14" ht="26" x14ac:dyDescent="0.3">
      <c r="A1997" s="1" t="str">
        <f>HYPERLINK("https://ipmanager.doe.gov/IPManager//ExternalLink.aspx?6ibkph2k9yi6F%2B0Vz7YoTvPUg%2FVZPl3iMdC9IHH5ve4%3D","Link")</f>
        <v>Link</v>
      </c>
      <c r="B1997" s="2" t="s">
        <v>6387</v>
      </c>
      <c r="C1997" s="2" t="s">
        <v>6383</v>
      </c>
      <c r="D1997" s="2" t="s">
        <v>4148</v>
      </c>
      <c r="E1997" s="2" t="s">
        <v>6388</v>
      </c>
      <c r="F1997" s="2"/>
      <c r="G1997" s="2" t="s">
        <v>9</v>
      </c>
      <c r="H1997" s="7"/>
      <c r="I1997" s="2" t="s">
        <v>9</v>
      </c>
      <c r="K1997" t="e">
        <v>#N/A</v>
      </c>
      <c r="L1997" s="2" t="s">
        <v>8760</v>
      </c>
      <c r="M1997" t="s">
        <v>8300</v>
      </c>
      <c r="N1997" s="4"/>
    </row>
    <row r="1998" spans="1:14" ht="39" x14ac:dyDescent="0.3">
      <c r="A1998" s="1" t="str">
        <f>HYPERLINK("https://ipmanager.doe.gov/IPManager//ExternalLink.aspx?6ibkph2k9yi6F%2B0Vz7YoTvPUg%2FVZPl3iiomco6ggwwQ%3D","Link")</f>
        <v>Link</v>
      </c>
      <c r="B1998" s="2" t="s">
        <v>6389</v>
      </c>
      <c r="C1998" s="2" t="s">
        <v>6383</v>
      </c>
      <c r="D1998" s="2" t="s">
        <v>4148</v>
      </c>
      <c r="E1998" s="2" t="s">
        <v>6390</v>
      </c>
      <c r="F1998" s="2"/>
      <c r="G1998" s="2" t="s">
        <v>9</v>
      </c>
      <c r="H1998" s="7"/>
      <c r="I1998" s="2" t="s">
        <v>9</v>
      </c>
      <c r="K1998" t="e">
        <v>#N/A</v>
      </c>
      <c r="L1998" s="2" t="s">
        <v>8760</v>
      </c>
      <c r="M1998" t="s">
        <v>8300</v>
      </c>
      <c r="N1998" s="4"/>
    </row>
    <row r="1999" spans="1:14" ht="52" x14ac:dyDescent="0.3">
      <c r="A1999" s="1" t="str">
        <f>HYPERLINK("https://ipmanager.doe.gov/IPManager//ExternalLink.aspx?6ibkph2k9yi6F%2B0Vz7YoTvE8yjoHgvp6r0qe5B2RMgA%3D","Link")</f>
        <v>Link</v>
      </c>
      <c r="B1999" s="2" t="s">
        <v>6395</v>
      </c>
      <c r="C1999" s="2" t="s">
        <v>6383</v>
      </c>
      <c r="D1999" s="2" t="s">
        <v>6396</v>
      </c>
      <c r="E1999" s="2" t="s">
        <v>6397</v>
      </c>
      <c r="F1999" s="2"/>
      <c r="G1999" s="2" t="s">
        <v>9</v>
      </c>
      <c r="H1999" s="7"/>
      <c r="I1999" s="2" t="s">
        <v>9</v>
      </c>
      <c r="K1999" t="e">
        <v>#N/A</v>
      </c>
      <c r="L1999" s="2" t="s">
        <v>8760</v>
      </c>
      <c r="M1999" t="s">
        <v>8300</v>
      </c>
      <c r="N1999" s="4"/>
    </row>
    <row r="2000" spans="1:14" ht="52" x14ac:dyDescent="0.3">
      <c r="A2000" s="1" t="str">
        <f>HYPERLINK("https://ipmanager.doe.gov/IPManager//ExternalLink.aspx?6ibkph2k9yi6F%2B0Vz7YoThEBhkR3uHVr%2Fe4Zz0e6xJY%3D","Link")</f>
        <v>Link</v>
      </c>
      <c r="B2000" s="2" t="s">
        <v>6405</v>
      </c>
      <c r="C2000" s="2" t="s">
        <v>6383</v>
      </c>
      <c r="D2000" s="2" t="s">
        <v>6396</v>
      </c>
      <c r="E2000" s="2" t="s">
        <v>6397</v>
      </c>
      <c r="F2000" s="2"/>
      <c r="G2000" s="2" t="s">
        <v>9</v>
      </c>
      <c r="H2000" s="7"/>
      <c r="I2000" s="2" t="s">
        <v>9</v>
      </c>
      <c r="K2000" t="e">
        <v>#N/A</v>
      </c>
      <c r="L2000" s="2" t="s">
        <v>8760</v>
      </c>
      <c r="M2000" t="s">
        <v>8300</v>
      </c>
      <c r="N2000" s="4"/>
    </row>
    <row r="2001" spans="1:14" ht="52" x14ac:dyDescent="0.3">
      <c r="A2001" s="1" t="str">
        <f>HYPERLINK("https://ipmanager.doe.gov/IPManager//ExternalLink.aspx?6ibkph2k9yi6F%2B0Vz7YoThEBhkR3uHVrxnahw5X%2F6wI%3D","Link")</f>
        <v>Link</v>
      </c>
      <c r="B2001" s="2" t="s">
        <v>6406</v>
      </c>
      <c r="C2001" s="2" t="s">
        <v>6407</v>
      </c>
      <c r="D2001" s="2" t="s">
        <v>4136</v>
      </c>
      <c r="E2001" s="2" t="s">
        <v>6408</v>
      </c>
      <c r="F2001" s="2"/>
      <c r="G2001" s="2" t="s">
        <v>9</v>
      </c>
      <c r="H2001" s="7"/>
      <c r="I2001" s="2" t="s">
        <v>9</v>
      </c>
      <c r="K2001" t="e">
        <v>#N/A</v>
      </c>
      <c r="L2001" s="2" t="s">
        <v>8761</v>
      </c>
      <c r="M2001" t="s">
        <v>8301</v>
      </c>
      <c r="N2001" s="4"/>
    </row>
    <row r="2002" spans="1:14" ht="52" x14ac:dyDescent="0.3">
      <c r="A2002" s="1" t="str">
        <f>HYPERLINK("https://ipmanager.doe.gov/IPManager//ExternalLink.aspx?6ibkph2k9yi6F%2B0Vz7YoTnXVN2REjGcWmgKcGJjZXvk%3D","Link")</f>
        <v>Link</v>
      </c>
      <c r="B2002" s="2" t="s">
        <v>6409</v>
      </c>
      <c r="C2002" s="2" t="s">
        <v>6407</v>
      </c>
      <c r="D2002" s="2" t="s">
        <v>4136</v>
      </c>
      <c r="E2002" s="2" t="s">
        <v>6410</v>
      </c>
      <c r="F2002" s="2"/>
      <c r="G2002" s="2" t="s">
        <v>9</v>
      </c>
      <c r="H2002" s="7"/>
      <c r="I2002" s="2" t="s">
        <v>9</v>
      </c>
      <c r="K2002" t="e">
        <v>#N/A</v>
      </c>
      <c r="L2002" s="2" t="s">
        <v>8761</v>
      </c>
      <c r="M2002" t="s">
        <v>8301</v>
      </c>
      <c r="N2002" s="4"/>
    </row>
    <row r="2003" spans="1:14" ht="52" x14ac:dyDescent="0.3">
      <c r="A2003" s="1" t="str">
        <f>HYPERLINK("https://ipmanager.doe.gov/IPManager//ExternalLink.aspx?6ibkph2k9yi6F%2B0Vz7YoTnXVN2REjGcWq2vwCS3M%2Fwk%3D","Link")</f>
        <v>Link</v>
      </c>
      <c r="B2003" s="2" t="s">
        <v>6411</v>
      </c>
      <c r="C2003" s="2" t="s">
        <v>6407</v>
      </c>
      <c r="D2003" s="2" t="s">
        <v>6380</v>
      </c>
      <c r="E2003" s="2" t="s">
        <v>6412</v>
      </c>
      <c r="F2003" s="2"/>
      <c r="G2003" s="2" t="s">
        <v>9</v>
      </c>
      <c r="H2003" s="7"/>
      <c r="I2003" s="2" t="s">
        <v>9</v>
      </c>
      <c r="K2003" t="e">
        <v>#N/A</v>
      </c>
      <c r="L2003" s="2" t="s">
        <v>8761</v>
      </c>
      <c r="M2003" t="s">
        <v>8301</v>
      </c>
      <c r="N2003" s="4"/>
    </row>
    <row r="2004" spans="1:14" ht="52" x14ac:dyDescent="0.3">
      <c r="A2004" s="1" t="str">
        <f>HYPERLINK("https://ipmanager.doe.gov/IPManager//ExternalLink.aspx?6ibkph2k9yi6F%2B0Vz7YoTvPUg%2FVZPl3iYEhuRU6oJDc%3D","Link")</f>
        <v>Link</v>
      </c>
      <c r="B2004" s="2" t="s">
        <v>6409</v>
      </c>
      <c r="C2004" s="2" t="s">
        <v>6407</v>
      </c>
      <c r="D2004" s="2" t="s">
        <v>4136</v>
      </c>
      <c r="E2004" s="2" t="s">
        <v>6410</v>
      </c>
      <c r="F2004" s="2"/>
      <c r="G2004" s="2" t="s">
        <v>9</v>
      </c>
      <c r="H2004" s="7"/>
      <c r="I2004" s="2" t="s">
        <v>9</v>
      </c>
      <c r="K2004" t="e">
        <v>#N/A</v>
      </c>
      <c r="L2004" s="2" t="s">
        <v>8761</v>
      </c>
      <c r="M2004" t="s">
        <v>8301</v>
      </c>
      <c r="N2004" s="4"/>
    </row>
    <row r="2005" spans="1:14" ht="39" x14ac:dyDescent="0.3">
      <c r="A2005" s="1" t="str">
        <f>HYPERLINK("https://ipmanager.doe.gov/IPManager//ExternalLink.aspx?6ibkph2k9yi6F%2B0Vz7YoTvE8yjoHgvp6azuLuKEnwr8%3D","Link")</f>
        <v>Link</v>
      </c>
      <c r="B2005" s="2" t="s">
        <v>6413</v>
      </c>
      <c r="C2005" s="2" t="s">
        <v>6407</v>
      </c>
      <c r="D2005" s="2" t="s">
        <v>4136</v>
      </c>
      <c r="E2005" s="2" t="s">
        <v>6414</v>
      </c>
      <c r="F2005" s="2"/>
      <c r="G2005" s="2" t="s">
        <v>9</v>
      </c>
      <c r="H2005" s="7"/>
      <c r="I2005" s="2" t="s">
        <v>9</v>
      </c>
      <c r="K2005" t="e">
        <v>#N/A</v>
      </c>
      <c r="L2005" s="2" t="s">
        <v>8761</v>
      </c>
      <c r="M2005" t="s">
        <v>8301</v>
      </c>
      <c r="N2005" s="4"/>
    </row>
    <row r="2006" spans="1:14" ht="39" x14ac:dyDescent="0.3">
      <c r="A2006" s="1" t="str">
        <f>HYPERLINK("https://ipmanager.doe.gov/IPManager//ExternalLink.aspx?6ibkph2k9yi6F%2B0Vz7YoTvE8yjoHgvp6yz%2Fcm8LzgGg%3D","Link")</f>
        <v>Link</v>
      </c>
      <c r="B2006" s="2" t="s">
        <v>6415</v>
      </c>
      <c r="C2006" s="2" t="s">
        <v>6416</v>
      </c>
      <c r="D2006" s="2" t="s">
        <v>6417</v>
      </c>
      <c r="E2006" s="2" t="s">
        <v>6418</v>
      </c>
      <c r="F2006" s="2"/>
      <c r="G2006" s="2" t="s">
        <v>9</v>
      </c>
      <c r="H2006" s="7"/>
      <c r="I2006" s="2" t="s">
        <v>9</v>
      </c>
      <c r="K2006" t="e">
        <v>#N/A</v>
      </c>
      <c r="L2006" s="2" t="s">
        <v>8762</v>
      </c>
      <c r="M2006" t="s">
        <v>8302</v>
      </c>
      <c r="N2006" s="4"/>
    </row>
    <row r="2007" spans="1:14" ht="52" x14ac:dyDescent="0.3">
      <c r="A2007" s="1" t="str">
        <f>HYPERLINK("https://ipmanager.doe.gov/IPManager//ExternalLink.aspx?6ibkph2k9yi6F%2B0Vz7YoTo7DPLa3%2F%2FGgmO1GSgE%2FZWs%3D","Link")</f>
        <v>Link</v>
      </c>
      <c r="B2007" s="2" t="s">
        <v>6419</v>
      </c>
      <c r="C2007" s="2" t="s">
        <v>6420</v>
      </c>
      <c r="D2007" s="2" t="s">
        <v>1775</v>
      </c>
      <c r="E2007" s="2" t="s">
        <v>6421</v>
      </c>
      <c r="F2007" s="2" t="s">
        <v>6422</v>
      </c>
      <c r="G2007" s="2" t="s">
        <v>6423</v>
      </c>
      <c r="H2007" s="7"/>
      <c r="I2007" s="2" t="s">
        <v>9</v>
      </c>
      <c r="K2007" t="e">
        <v>#N/A</v>
      </c>
      <c r="L2007" s="2" t="s">
        <v>8763</v>
      </c>
      <c r="M2007" t="s">
        <v>8303</v>
      </c>
      <c r="N2007" s="4"/>
    </row>
    <row r="2008" spans="1:14" ht="39" x14ac:dyDescent="0.3">
      <c r="A2008" s="1" t="str">
        <f>HYPERLINK("https://ipmanager.doe.gov/IPManager//ExternalLink.aspx?6ibkph2k9yi6F%2B0Vz7YoTvE8yjoHgvp6VyHrbMvwd4c%3D","Link")</f>
        <v>Link</v>
      </c>
      <c r="B2008" s="2" t="s">
        <v>6430</v>
      </c>
      <c r="C2008" s="2" t="s">
        <v>6425</v>
      </c>
      <c r="D2008" s="2" t="s">
        <v>4404</v>
      </c>
      <c r="E2008" s="2" t="s">
        <v>6431</v>
      </c>
      <c r="F2008" s="2" t="s">
        <v>6432</v>
      </c>
      <c r="G2008" s="2" t="s">
        <v>6433</v>
      </c>
      <c r="H2008" s="7"/>
      <c r="I2008" s="2" t="s">
        <v>9</v>
      </c>
      <c r="K2008" t="e">
        <v>#N/A</v>
      </c>
      <c r="L2008" s="2" t="s">
        <v>8764</v>
      </c>
      <c r="M2008" t="s">
        <v>8304</v>
      </c>
      <c r="N2008" s="4"/>
    </row>
    <row r="2009" spans="1:14" ht="39" x14ac:dyDescent="0.3">
      <c r="A2009" s="1" t="str">
        <f>HYPERLINK("https://ipmanager.doe.gov/IPManager//ExternalLink.aspx?6ibkph2k9yi6F%2B0Vz7YoTvE8yjoHgvp6lDyih5ukgSk%3D","Link")</f>
        <v>Link</v>
      </c>
      <c r="B2009" s="2" t="s">
        <v>6434</v>
      </c>
      <c r="C2009" s="2" t="s">
        <v>6425</v>
      </c>
      <c r="D2009" s="2" t="s">
        <v>4404</v>
      </c>
      <c r="E2009" s="2" t="s">
        <v>6435</v>
      </c>
      <c r="F2009" s="2" t="s">
        <v>6436</v>
      </c>
      <c r="G2009" s="2" t="s">
        <v>5825</v>
      </c>
      <c r="H2009" s="7"/>
      <c r="I2009" s="2" t="s">
        <v>9</v>
      </c>
      <c r="J2009" t="s">
        <v>6436</v>
      </c>
      <c r="K2009" t="s">
        <v>7747</v>
      </c>
      <c r="L2009" s="2" t="s">
        <v>8764</v>
      </c>
      <c r="M2009" t="s">
        <v>8304</v>
      </c>
      <c r="N2009" s="4"/>
    </row>
    <row r="2010" spans="1:14" ht="39" x14ac:dyDescent="0.3">
      <c r="A2010" s="1" t="str">
        <f>HYPERLINK("https://ipmanager.doe.gov/IPManager//ExternalLink.aspx?6ibkph2k9yi6F%2B0Vz7YoTq6RR9BlGHHiuruxKIz5VEw%3D","Link")</f>
        <v>Link</v>
      </c>
      <c r="B2010" s="2" t="s">
        <v>6439</v>
      </c>
      <c r="C2010" s="2" t="s">
        <v>6425</v>
      </c>
      <c r="D2010" s="2" t="s">
        <v>4404</v>
      </c>
      <c r="E2010" s="2" t="s">
        <v>6435</v>
      </c>
      <c r="F2010" s="2" t="s">
        <v>6440</v>
      </c>
      <c r="G2010" s="2" t="s">
        <v>6441</v>
      </c>
      <c r="H2010" s="7"/>
      <c r="I2010" s="2" t="s">
        <v>9</v>
      </c>
      <c r="K2010" t="e">
        <v>#N/A</v>
      </c>
      <c r="L2010" s="2" t="s">
        <v>8764</v>
      </c>
      <c r="M2010" t="s">
        <v>8304</v>
      </c>
      <c r="N2010" s="4"/>
    </row>
    <row r="2011" spans="1:14" ht="52" x14ac:dyDescent="0.3">
      <c r="A2011" s="1" t="str">
        <f>HYPERLINK("https://ipmanager.doe.gov/IPManager//ExternalLink.aspx?6ibkph2k9yi6F%2B0Vz7YoTvE8yjoHgvp69Nw9Mv8CBbM%3D","Link")</f>
        <v>Link</v>
      </c>
      <c r="B2011" s="2" t="s">
        <v>6444</v>
      </c>
      <c r="C2011" s="2" t="s">
        <v>6425</v>
      </c>
      <c r="D2011" s="2" t="s">
        <v>4404</v>
      </c>
      <c r="E2011" s="2" t="s">
        <v>6445</v>
      </c>
      <c r="F2011" s="2" t="s">
        <v>6446</v>
      </c>
      <c r="G2011" s="2" t="s">
        <v>6447</v>
      </c>
      <c r="H2011" s="7"/>
      <c r="I2011" s="2" t="s">
        <v>9</v>
      </c>
      <c r="J2011" t="s">
        <v>6446</v>
      </c>
      <c r="K2011" t="s">
        <v>7947</v>
      </c>
      <c r="L2011" s="2" t="s">
        <v>8764</v>
      </c>
      <c r="M2011" t="s">
        <v>8304</v>
      </c>
      <c r="N2011" s="4"/>
    </row>
    <row r="2012" spans="1:14" ht="52" x14ac:dyDescent="0.3">
      <c r="A2012" s="1" t="str">
        <f>HYPERLINK("https://ipmanager.doe.gov/IPManager//ExternalLink.aspx?6ibkph2k9yi6F%2B0Vz7YoTvPUg%2FVZPl3ihJVHCEdZtBs%3D","Link")</f>
        <v>Link</v>
      </c>
      <c r="B2012" s="2" t="s">
        <v>6450</v>
      </c>
      <c r="C2012" s="2" t="s">
        <v>6425</v>
      </c>
      <c r="D2012" s="2" t="s">
        <v>4404</v>
      </c>
      <c r="E2012" s="2" t="s">
        <v>6445</v>
      </c>
      <c r="F2012" s="2" t="s">
        <v>6448</v>
      </c>
      <c r="G2012" s="2" t="s">
        <v>6449</v>
      </c>
      <c r="H2012" s="7"/>
      <c r="I2012" s="2" t="s">
        <v>9</v>
      </c>
      <c r="K2012" t="e">
        <v>#N/A</v>
      </c>
      <c r="L2012" s="2" t="s">
        <v>8764</v>
      </c>
      <c r="M2012" t="s">
        <v>8304</v>
      </c>
      <c r="N2012" s="4"/>
    </row>
    <row r="2013" spans="1:14" ht="39" x14ac:dyDescent="0.3">
      <c r="A2013" s="1" t="str">
        <f>HYPERLINK("https://ipmanager.doe.gov/IPManager//ExternalLink.aspx?6ibkph2k9yi6F%2B0Vz7YoTkqAgjuWMa9QrPY18ClwMl8%3D","Link")</f>
        <v>Link</v>
      </c>
      <c r="B2013" s="2" t="s">
        <v>6424</v>
      </c>
      <c r="C2013" s="2" t="s">
        <v>6425</v>
      </c>
      <c r="D2013" s="2" t="s">
        <v>4404</v>
      </c>
      <c r="E2013" s="2" t="s">
        <v>6426</v>
      </c>
      <c r="F2013" s="2"/>
      <c r="G2013" s="2" t="s">
        <v>9</v>
      </c>
      <c r="H2013" s="7"/>
      <c r="I2013" s="2" t="s">
        <v>9</v>
      </c>
      <c r="K2013" t="e">
        <v>#N/A</v>
      </c>
      <c r="L2013" s="2" t="s">
        <v>8764</v>
      </c>
      <c r="M2013" t="s">
        <v>8304</v>
      </c>
      <c r="N2013" s="4"/>
    </row>
    <row r="2014" spans="1:14" ht="39" x14ac:dyDescent="0.3">
      <c r="A2014" s="1" t="str">
        <f>HYPERLINK("https://ipmanager.doe.gov/IPManager//ExternalLink.aspx?6ibkph2k9yi6F%2B0Vz7YoTo7DPLa3%2F%2FGgDU%2FTFhgU9%2Fc%3D","Link")</f>
        <v>Link</v>
      </c>
      <c r="B2014" s="2" t="s">
        <v>6428</v>
      </c>
      <c r="C2014" s="2" t="s">
        <v>6425</v>
      </c>
      <c r="D2014" s="2" t="s">
        <v>4404</v>
      </c>
      <c r="E2014" s="2" t="s">
        <v>6429</v>
      </c>
      <c r="F2014" s="2"/>
      <c r="G2014" s="2" t="s">
        <v>9</v>
      </c>
      <c r="H2014" s="7"/>
      <c r="I2014" s="2" t="s">
        <v>9</v>
      </c>
      <c r="K2014" t="e">
        <v>#N/A</v>
      </c>
      <c r="L2014" s="2" t="s">
        <v>8764</v>
      </c>
      <c r="M2014" t="s">
        <v>8304</v>
      </c>
      <c r="N2014" s="4"/>
    </row>
    <row r="2015" spans="1:14" ht="39" x14ac:dyDescent="0.3">
      <c r="A2015" s="1" t="str">
        <f>HYPERLINK("https://ipmanager.doe.gov/IPManager//ExternalLink.aspx?6ibkph2k9yi6F%2B0Vz7YoTnXVN2REjGcWBoqWYLpLUwM%3D","Link")</f>
        <v>Link</v>
      </c>
      <c r="B2015" s="2" t="s">
        <v>6437</v>
      </c>
      <c r="C2015" s="2" t="s">
        <v>6425</v>
      </c>
      <c r="D2015" s="2" t="s">
        <v>4404</v>
      </c>
      <c r="E2015" s="2" t="s">
        <v>6438</v>
      </c>
      <c r="F2015" s="2"/>
      <c r="G2015" s="2" t="s">
        <v>9</v>
      </c>
      <c r="H2015" s="7"/>
      <c r="I2015" s="2" t="s">
        <v>9</v>
      </c>
      <c r="K2015" t="e">
        <v>#N/A</v>
      </c>
      <c r="L2015" s="2" t="s">
        <v>8764</v>
      </c>
      <c r="M2015" t="s">
        <v>8304</v>
      </c>
      <c r="N2015" s="4"/>
    </row>
    <row r="2016" spans="1:14" ht="52" x14ac:dyDescent="0.3">
      <c r="A2016" s="1" t="str">
        <f>HYPERLINK("https://ipmanager.doe.gov/IPManager//ExternalLink.aspx?6ibkph2k9yi6F%2B0Vz7YoTsTAnuFk5EoAhyC9Cdbyly8%3D","Link")</f>
        <v>Link</v>
      </c>
      <c r="B2016" s="2" t="s">
        <v>6442</v>
      </c>
      <c r="C2016" s="2" t="s">
        <v>6425</v>
      </c>
      <c r="D2016" s="2" t="s">
        <v>4404</v>
      </c>
      <c r="E2016" s="2" t="s">
        <v>6443</v>
      </c>
      <c r="F2016" s="2"/>
      <c r="G2016" s="2" t="s">
        <v>9</v>
      </c>
      <c r="H2016" s="7"/>
      <c r="I2016" s="2" t="s">
        <v>9</v>
      </c>
      <c r="K2016" t="e">
        <v>#N/A</v>
      </c>
      <c r="L2016" s="2" t="s">
        <v>8764</v>
      </c>
      <c r="M2016" t="s">
        <v>8304</v>
      </c>
      <c r="N2016" s="4"/>
    </row>
    <row r="2017" spans="1:14" ht="39" x14ac:dyDescent="0.3">
      <c r="A2017" s="1" t="str">
        <f>HYPERLINK("https://ipmanager.doe.gov/IPManager//ExternalLink.aspx?6ibkph2k9yi6F%2B0Vz7YoTsTAnuFk5EoAHuqBcnpBuOE%3D","Link")</f>
        <v>Link</v>
      </c>
      <c r="B2017" s="2" t="s">
        <v>6434</v>
      </c>
      <c r="C2017" s="2" t="s">
        <v>6425</v>
      </c>
      <c r="D2017" s="2" t="s">
        <v>4404</v>
      </c>
      <c r="E2017" s="2" t="s">
        <v>6435</v>
      </c>
      <c r="F2017" s="2"/>
      <c r="G2017" s="2" t="s">
        <v>9</v>
      </c>
      <c r="H2017" s="7"/>
      <c r="I2017" s="2" t="s">
        <v>9</v>
      </c>
      <c r="K2017" t="e">
        <v>#N/A</v>
      </c>
      <c r="L2017" s="2" t="s">
        <v>8764</v>
      </c>
      <c r="M2017" t="s">
        <v>8304</v>
      </c>
      <c r="N2017" s="4"/>
    </row>
    <row r="2018" spans="1:14" ht="39" x14ac:dyDescent="0.3">
      <c r="A2018" s="1" t="str">
        <f>HYPERLINK("https://ipmanager.doe.gov/IPManager//ExternalLink.aspx?6ibkph2k9yi6F%2B0Vz7YoTvPUg%2FVZPl3i16iUSgTU%2BMI%3D","Link")</f>
        <v>Link</v>
      </c>
      <c r="B2018" s="2" t="s">
        <v>6451</v>
      </c>
      <c r="C2018" s="2" t="s">
        <v>6425</v>
      </c>
      <c r="D2018" s="2" t="s">
        <v>4404</v>
      </c>
      <c r="E2018" s="2" t="s">
        <v>6452</v>
      </c>
      <c r="F2018" s="2"/>
      <c r="G2018" s="2" t="s">
        <v>9</v>
      </c>
      <c r="H2018" s="7"/>
      <c r="I2018" s="2" t="s">
        <v>9</v>
      </c>
      <c r="K2018" t="e">
        <v>#N/A</v>
      </c>
      <c r="L2018" s="2" t="s">
        <v>8764</v>
      </c>
      <c r="M2018" t="s">
        <v>8304</v>
      </c>
      <c r="N2018" s="4"/>
    </row>
    <row r="2019" spans="1:14" ht="39" x14ac:dyDescent="0.3">
      <c r="A2019" s="1" t="str">
        <f>HYPERLINK("https://ipmanager.doe.gov/IPManager//ExternalLink.aspx?6ibkph2k9yi6F%2B0Vz7YoTq6RR9BlGHHitBsufZAEEII%3D","Link")</f>
        <v>Link</v>
      </c>
      <c r="B2019" s="2" t="s">
        <v>6453</v>
      </c>
      <c r="C2019" s="2" t="s">
        <v>6454</v>
      </c>
      <c r="D2019" s="2" t="s">
        <v>4404</v>
      </c>
      <c r="E2019" s="2" t="s">
        <v>6455</v>
      </c>
      <c r="F2019" s="2" t="s">
        <v>6456</v>
      </c>
      <c r="G2019" s="2" t="s">
        <v>6457</v>
      </c>
      <c r="H2019" s="7"/>
      <c r="I2019" s="2" t="s">
        <v>9</v>
      </c>
      <c r="K2019" t="e">
        <v>#N/A</v>
      </c>
      <c r="L2019" s="2" t="s">
        <v>8765</v>
      </c>
      <c r="M2019" t="s">
        <v>8305</v>
      </c>
      <c r="N2019" s="4"/>
    </row>
    <row r="2020" spans="1:14" ht="39" x14ac:dyDescent="0.3">
      <c r="A2020" s="1" t="str">
        <f>HYPERLINK("https://ipmanager.doe.gov/IPManager//ExternalLink.aspx?6ibkph2k9yi6F%2B0Vz7YoTvPUg%2FVZPl3i2rZS0cErj4c%3D","Link")</f>
        <v>Link</v>
      </c>
      <c r="B2020" s="2" t="s">
        <v>6460</v>
      </c>
      <c r="C2020" s="2" t="s">
        <v>6454</v>
      </c>
      <c r="D2020" s="2" t="s">
        <v>4404</v>
      </c>
      <c r="E2020" s="2" t="s">
        <v>6461</v>
      </c>
      <c r="F2020" s="2" t="s">
        <v>6462</v>
      </c>
      <c r="G2020" s="2" t="s">
        <v>6457</v>
      </c>
      <c r="H2020" s="7"/>
      <c r="I2020" s="2" t="s">
        <v>9</v>
      </c>
      <c r="K2020" t="e">
        <v>#N/A</v>
      </c>
      <c r="L2020" s="2" t="s">
        <v>8765</v>
      </c>
      <c r="M2020" t="s">
        <v>8305</v>
      </c>
      <c r="N2020" s="4"/>
    </row>
    <row r="2021" spans="1:14" ht="39" x14ac:dyDescent="0.3">
      <c r="A2021" s="1" t="str">
        <f>HYPERLINK("https://ipmanager.doe.gov/IPManager//ExternalLink.aspx?6ibkph2k9yi6F%2B0Vz7YoTvE8yjoHgvp6zvZvGZfoVRM%3D","Link")</f>
        <v>Link</v>
      </c>
      <c r="B2021" s="2" t="s">
        <v>6464</v>
      </c>
      <c r="C2021" s="2" t="s">
        <v>6454</v>
      </c>
      <c r="D2021" s="2" t="s">
        <v>4404</v>
      </c>
      <c r="E2021" s="2" t="s">
        <v>6461</v>
      </c>
      <c r="F2021" s="2" t="s">
        <v>6463</v>
      </c>
      <c r="G2021" s="2" t="s">
        <v>6459</v>
      </c>
      <c r="H2021" s="7"/>
      <c r="I2021" s="2" t="s">
        <v>9</v>
      </c>
      <c r="K2021" t="e">
        <v>#N/A</v>
      </c>
      <c r="L2021" s="2" t="s">
        <v>8765</v>
      </c>
      <c r="M2021" t="s">
        <v>8305</v>
      </c>
      <c r="N2021" s="4"/>
    </row>
    <row r="2022" spans="1:14" ht="39" x14ac:dyDescent="0.3">
      <c r="A2022" s="1" t="str">
        <f>HYPERLINK("https://ipmanager.doe.gov/IPManager//ExternalLink.aspx?6ibkph2k9yi6F%2B0Vz7YoTvE8yjoHgvp6h3Vxy2%2BRfxM%3D","Link")</f>
        <v>Link</v>
      </c>
      <c r="B2022" s="2" t="s">
        <v>6465</v>
      </c>
      <c r="C2022" s="2" t="s">
        <v>6454</v>
      </c>
      <c r="D2022" s="2" t="s">
        <v>4404</v>
      </c>
      <c r="E2022" s="2" t="s">
        <v>6455</v>
      </c>
      <c r="F2022" s="2" t="s">
        <v>6458</v>
      </c>
      <c r="G2022" s="2" t="s">
        <v>6459</v>
      </c>
      <c r="H2022" s="7"/>
      <c r="I2022" s="2" t="s">
        <v>9</v>
      </c>
      <c r="K2022" t="e">
        <v>#N/A</v>
      </c>
      <c r="L2022" s="2" t="s">
        <v>8765</v>
      </c>
      <c r="M2022" t="s">
        <v>8305</v>
      </c>
      <c r="N2022" s="4"/>
    </row>
    <row r="2023" spans="1:14" ht="65" x14ac:dyDescent="0.3">
      <c r="A2023" s="1" t="str">
        <f>HYPERLINK("https://ipmanager.doe.gov/IPManager//ExternalLink.aspx?6ibkph2k9yi6F%2B0Vz7YoTp68px7nSN2glDE53hdqQy0%3D","Link")</f>
        <v>Link</v>
      </c>
      <c r="B2023" s="2" t="s">
        <v>6466</v>
      </c>
      <c r="C2023" s="2" t="s">
        <v>6467</v>
      </c>
      <c r="D2023" s="2" t="s">
        <v>1793</v>
      </c>
      <c r="E2023" s="2" t="s">
        <v>6468</v>
      </c>
      <c r="F2023" s="2" t="s">
        <v>6469</v>
      </c>
      <c r="G2023" s="2" t="s">
        <v>3377</v>
      </c>
      <c r="H2023" s="7"/>
      <c r="I2023" s="2" t="s">
        <v>9</v>
      </c>
      <c r="K2023" t="e">
        <v>#N/A</v>
      </c>
      <c r="L2023" s="2" t="s">
        <v>8766</v>
      </c>
      <c r="M2023" t="s">
        <v>8306</v>
      </c>
      <c r="N2023" s="4"/>
    </row>
    <row r="2024" spans="1:14" ht="65" x14ac:dyDescent="0.3">
      <c r="A2024" s="1" t="str">
        <f>HYPERLINK("https://ipmanager.doe.gov/IPManager//ExternalLink.aspx?6ibkph2k9yi6F%2B0Vz7YoTp68px7nSN2g0OLMogQUL04%3D","Link")</f>
        <v>Link</v>
      </c>
      <c r="B2024" s="2" t="s">
        <v>6470</v>
      </c>
      <c r="C2024" s="2" t="s">
        <v>6467</v>
      </c>
      <c r="D2024" s="2" t="s">
        <v>1793</v>
      </c>
      <c r="E2024" s="2" t="s">
        <v>6471</v>
      </c>
      <c r="F2024" s="2" t="s">
        <v>6472</v>
      </c>
      <c r="G2024" s="2" t="s">
        <v>6473</v>
      </c>
      <c r="H2024" s="7"/>
      <c r="I2024" s="2" t="s">
        <v>9</v>
      </c>
      <c r="K2024" t="e">
        <v>#N/A</v>
      </c>
      <c r="L2024" s="2" t="s">
        <v>8766</v>
      </c>
      <c r="M2024" t="s">
        <v>8306</v>
      </c>
      <c r="N2024" s="4"/>
    </row>
    <row r="2025" spans="1:14" ht="39" x14ac:dyDescent="0.3">
      <c r="A2025" s="1" t="str">
        <f>HYPERLINK("https://ipmanager.doe.gov/IPManager//ExternalLink.aspx?6ibkph2k9yi6F%2B0Vz7YoTo7DPLa3%2F%2FGg6bthB1LuCWU%3D","Link")</f>
        <v>Link</v>
      </c>
      <c r="B2025" s="2" t="s">
        <v>6474</v>
      </c>
      <c r="C2025" s="2" t="s">
        <v>6467</v>
      </c>
      <c r="D2025" s="2" t="s">
        <v>1793</v>
      </c>
      <c r="E2025" s="2" t="s">
        <v>6475</v>
      </c>
      <c r="F2025" s="2"/>
      <c r="G2025" s="2" t="s">
        <v>9</v>
      </c>
      <c r="H2025" s="7"/>
      <c r="I2025" s="2" t="s">
        <v>9</v>
      </c>
      <c r="K2025" t="e">
        <v>#N/A</v>
      </c>
      <c r="L2025" s="2" t="s">
        <v>8766</v>
      </c>
      <c r="M2025" t="s">
        <v>8306</v>
      </c>
      <c r="N2025" s="4"/>
    </row>
    <row r="2026" spans="1:14" ht="52" x14ac:dyDescent="0.3">
      <c r="A2026" s="1" t="str">
        <f>HYPERLINK("https://ipmanager.doe.gov/IPManager//ExternalLink.aspx?6ibkph2k9yi6F%2B0Vz7YoTvPUg%2FVZPl3i1QfP4Th5Dwk%3D","Link")</f>
        <v>Link</v>
      </c>
      <c r="B2026" s="2" t="s">
        <v>6476</v>
      </c>
      <c r="C2026" s="2" t="s">
        <v>6477</v>
      </c>
      <c r="D2026" s="2" t="s">
        <v>1474</v>
      </c>
      <c r="E2026" s="2" t="s">
        <v>6478</v>
      </c>
      <c r="F2026" s="2" t="s">
        <v>6479</v>
      </c>
      <c r="G2026" s="2" t="s">
        <v>6480</v>
      </c>
      <c r="H2026" s="7"/>
      <c r="I2026" s="2" t="s">
        <v>9</v>
      </c>
      <c r="K2026" t="e">
        <v>#N/A</v>
      </c>
      <c r="L2026" s="2" t="s">
        <v>8767</v>
      </c>
      <c r="M2026" t="s">
        <v>8307</v>
      </c>
      <c r="N2026" s="4"/>
    </row>
    <row r="2027" spans="1:14" ht="26" x14ac:dyDescent="0.3">
      <c r="A2027" s="1" t="str">
        <f>HYPERLINK("https://ipmanager.doe.gov/IPManager//ExternalLink.aspx?6ibkph2k9yi6F%2B0Vz7YoTp68px7nSN2g%2FaU9d7OZBaM%3D","Link")</f>
        <v>Link</v>
      </c>
      <c r="B2027" s="2" t="s">
        <v>6481</v>
      </c>
      <c r="C2027" s="2" t="s">
        <v>6477</v>
      </c>
      <c r="D2027" s="2" t="s">
        <v>1064</v>
      </c>
      <c r="E2027" s="2" t="s">
        <v>6482</v>
      </c>
      <c r="F2027" s="2"/>
      <c r="G2027" s="2" t="s">
        <v>9</v>
      </c>
      <c r="H2027" s="7"/>
      <c r="I2027" s="2" t="s">
        <v>9</v>
      </c>
      <c r="K2027" t="e">
        <v>#N/A</v>
      </c>
      <c r="L2027" s="2" t="s">
        <v>8767</v>
      </c>
      <c r="M2027" t="s">
        <v>8307</v>
      </c>
      <c r="N2027" s="4"/>
    </row>
    <row r="2028" spans="1:14" ht="39" x14ac:dyDescent="0.3">
      <c r="A2028" s="1" t="str">
        <f>HYPERLINK("https://ipmanager.doe.gov/IPManager//ExternalLink.aspx?6ibkph2k9yi6F%2B0Vz7YoTvE8yjoHgvp61PEOWg%2BvVBE%3D","Link")</f>
        <v>Link</v>
      </c>
      <c r="B2028" s="2" t="s">
        <v>6483</v>
      </c>
      <c r="C2028" s="2" t="s">
        <v>6477</v>
      </c>
      <c r="D2028" s="2" t="s">
        <v>1064</v>
      </c>
      <c r="E2028" s="2" t="s">
        <v>6484</v>
      </c>
      <c r="F2028" s="2"/>
      <c r="G2028" s="2" t="s">
        <v>9</v>
      </c>
      <c r="H2028" s="7"/>
      <c r="I2028" s="2" t="s">
        <v>9</v>
      </c>
      <c r="K2028" t="e">
        <v>#N/A</v>
      </c>
      <c r="L2028" s="2" t="s">
        <v>8767</v>
      </c>
      <c r="M2028" t="s">
        <v>8307</v>
      </c>
      <c r="N2028" s="4"/>
    </row>
    <row r="2029" spans="1:14" ht="26" x14ac:dyDescent="0.3">
      <c r="A2029" s="1" t="str">
        <f>HYPERLINK("https://ipmanager.doe.gov/IPManager//ExternalLink.aspx?6ibkph2k9yi6F%2B0Vz7YoTvPUg%2FVZPl3iWiJhu1qH38k%3D","Link")</f>
        <v>Link</v>
      </c>
      <c r="B2029" s="2" t="s">
        <v>6485</v>
      </c>
      <c r="C2029" s="2" t="s">
        <v>6486</v>
      </c>
      <c r="D2029" s="2" t="s">
        <v>6487</v>
      </c>
      <c r="E2029" s="2" t="s">
        <v>6488</v>
      </c>
      <c r="F2029" s="2" t="s">
        <v>6489</v>
      </c>
      <c r="G2029" s="2" t="s">
        <v>1256</v>
      </c>
      <c r="H2029" s="7"/>
      <c r="I2029" s="2" t="s">
        <v>9</v>
      </c>
      <c r="K2029" t="e">
        <v>#N/A</v>
      </c>
      <c r="L2029" s="2" t="s">
        <v>8768</v>
      </c>
      <c r="M2029" t="s">
        <v>8308</v>
      </c>
      <c r="N2029" s="4"/>
    </row>
    <row r="2030" spans="1:14" ht="26" x14ac:dyDescent="0.3">
      <c r="A2030" s="1" t="str">
        <f>HYPERLINK("https://ipmanager.doe.gov/IPManager//ExternalLink.aspx?6ibkph2k9yi6F%2B0Vz7YoTkqAgjuWMa9QNETZ78ngnKY%3D","Link")</f>
        <v>Link</v>
      </c>
      <c r="B2030" s="2" t="s">
        <v>6491</v>
      </c>
      <c r="C2030" s="2" t="s">
        <v>6486</v>
      </c>
      <c r="D2030" s="2" t="s">
        <v>6487</v>
      </c>
      <c r="E2030" s="2" t="s">
        <v>6492</v>
      </c>
      <c r="F2030" s="2" t="s">
        <v>6493</v>
      </c>
      <c r="G2030" s="2" t="s">
        <v>940</v>
      </c>
      <c r="H2030" s="7"/>
      <c r="I2030" s="2" t="s">
        <v>9</v>
      </c>
      <c r="K2030" t="e">
        <v>#N/A</v>
      </c>
      <c r="L2030" s="2" t="s">
        <v>8768</v>
      </c>
      <c r="M2030" t="s">
        <v>8308</v>
      </c>
      <c r="N2030" s="4"/>
    </row>
    <row r="2031" spans="1:14" ht="39" x14ac:dyDescent="0.3">
      <c r="A2031" s="1" t="str">
        <f>HYPERLINK("https://ipmanager.doe.gov/IPManager//ExternalLink.aspx?6ibkph2k9yi6F%2B0Vz7YoTo7DPLa3%2F%2FGgC3irNfV%2FFKU%3D","Link")</f>
        <v>Link</v>
      </c>
      <c r="B2031" s="2" t="s">
        <v>6494</v>
      </c>
      <c r="C2031" s="2" t="s">
        <v>6486</v>
      </c>
      <c r="D2031" s="2" t="s">
        <v>6487</v>
      </c>
      <c r="E2031" s="2" t="s">
        <v>6495</v>
      </c>
      <c r="F2031" s="2" t="s">
        <v>6496</v>
      </c>
      <c r="G2031" s="2" t="s">
        <v>6497</v>
      </c>
      <c r="H2031" s="7"/>
      <c r="I2031" s="2" t="s">
        <v>9</v>
      </c>
      <c r="K2031" t="e">
        <v>#N/A</v>
      </c>
      <c r="L2031" s="2" t="s">
        <v>8768</v>
      </c>
      <c r="M2031" t="s">
        <v>8308</v>
      </c>
      <c r="N2031" s="4"/>
    </row>
    <row r="2032" spans="1:14" ht="26" x14ac:dyDescent="0.3">
      <c r="A2032" s="1" t="str">
        <f>HYPERLINK("https://ipmanager.doe.gov/IPManager//ExternalLink.aspx?6ibkph2k9yi6F%2B0Vz7YoTo7DPLa3%2F%2FGgBDq7XTSLw9Q%3D","Link")</f>
        <v>Link</v>
      </c>
      <c r="B2032" s="2" t="s">
        <v>6498</v>
      </c>
      <c r="C2032" s="2" t="s">
        <v>6486</v>
      </c>
      <c r="D2032" s="2" t="s">
        <v>6487</v>
      </c>
      <c r="E2032" s="2" t="s">
        <v>6499</v>
      </c>
      <c r="F2032" s="2" t="s">
        <v>6500</v>
      </c>
      <c r="G2032" s="2" t="s">
        <v>1483</v>
      </c>
      <c r="H2032" s="7"/>
      <c r="I2032" s="2" t="s">
        <v>9</v>
      </c>
      <c r="K2032" t="e">
        <v>#N/A</v>
      </c>
      <c r="L2032" s="2" t="s">
        <v>8768</v>
      </c>
      <c r="M2032" t="s">
        <v>8308</v>
      </c>
      <c r="N2032" s="4"/>
    </row>
    <row r="2033" spans="1:14" ht="26" x14ac:dyDescent="0.3">
      <c r="A2033" s="1" t="str">
        <f>HYPERLINK("https://ipmanager.doe.gov/IPManager//ExternalLink.aspx?6ibkph2k9yi6F%2B0Vz7YoTq6RR9BlGHHihPt8ChA8bn8%3D","Link")</f>
        <v>Link</v>
      </c>
      <c r="B2033" s="2" t="s">
        <v>6501</v>
      </c>
      <c r="C2033" s="2" t="s">
        <v>6486</v>
      </c>
      <c r="D2033" s="2" t="s">
        <v>6487</v>
      </c>
      <c r="E2033" s="2" t="s">
        <v>6502</v>
      </c>
      <c r="F2033" s="2" t="s">
        <v>6503</v>
      </c>
      <c r="G2033" s="2" t="s">
        <v>5107</v>
      </c>
      <c r="H2033" s="7"/>
      <c r="I2033" s="2" t="s">
        <v>9</v>
      </c>
      <c r="K2033" t="e">
        <v>#N/A</v>
      </c>
      <c r="L2033" s="2" t="s">
        <v>8768</v>
      </c>
      <c r="M2033" t="s">
        <v>8308</v>
      </c>
      <c r="N2033" s="4"/>
    </row>
    <row r="2034" spans="1:14" ht="26" x14ac:dyDescent="0.3">
      <c r="A2034" s="1" t="str">
        <f>HYPERLINK("https://ipmanager.doe.gov/IPManager//ExternalLink.aspx?6ibkph2k9yi6F%2B0Vz7YoTq6RR9BlGHHiCWGuMWXmq20%3D","Link")</f>
        <v>Link</v>
      </c>
      <c r="B2034" s="2" t="s">
        <v>6504</v>
      </c>
      <c r="C2034" s="2" t="s">
        <v>6505</v>
      </c>
      <c r="D2034" s="2" t="s">
        <v>3285</v>
      </c>
      <c r="E2034" s="2" t="s">
        <v>6506</v>
      </c>
      <c r="F2034" s="2" t="s">
        <v>6507</v>
      </c>
      <c r="G2034" s="2" t="s">
        <v>4451</v>
      </c>
      <c r="H2034" s="7"/>
      <c r="I2034" s="2" t="s">
        <v>9</v>
      </c>
      <c r="K2034" t="e">
        <v>#N/A</v>
      </c>
      <c r="L2034" s="2" t="s">
        <v>8769</v>
      </c>
      <c r="M2034" t="s">
        <v>8309</v>
      </c>
      <c r="N2034" s="4"/>
    </row>
    <row r="2035" spans="1:14" ht="39" x14ac:dyDescent="0.3">
      <c r="A2035" s="1" t="str">
        <f>HYPERLINK("https://ipmanager.doe.gov/IPManager//ExternalLink.aspx?6ibkph2k9yi6F%2B0Vz7YoTq6RR9BlGHHiLmVd32PzH1E%3D","Link")</f>
        <v>Link</v>
      </c>
      <c r="B2035" s="2" t="s">
        <v>6508</v>
      </c>
      <c r="C2035" s="2" t="s">
        <v>6509</v>
      </c>
      <c r="D2035" s="2" t="s">
        <v>3066</v>
      </c>
      <c r="E2035" s="2" t="s">
        <v>6510</v>
      </c>
      <c r="F2035" s="2"/>
      <c r="G2035" s="2" t="s">
        <v>9</v>
      </c>
      <c r="H2035" s="7"/>
      <c r="I2035" s="2" t="s">
        <v>9</v>
      </c>
      <c r="K2035" t="e">
        <v>#N/A</v>
      </c>
      <c r="L2035" s="2" t="s">
        <v>8770</v>
      </c>
      <c r="M2035" t="s">
        <v>8310</v>
      </c>
      <c r="N2035" s="4"/>
    </row>
    <row r="2036" spans="1:14" ht="52" x14ac:dyDescent="0.3">
      <c r="A2036" s="1" t="str">
        <f>HYPERLINK("https://ipmanager.doe.gov/IPManager//ExternalLink.aspx?6ibkph2k9yi6F%2B0Vz7YoTp68px7nSN2gwMAQUHskP04%3D","Link")</f>
        <v>Link</v>
      </c>
      <c r="B2036" s="2" t="s">
        <v>6526</v>
      </c>
      <c r="C2036" s="2" t="s">
        <v>6512</v>
      </c>
      <c r="D2036" s="2" t="s">
        <v>348</v>
      </c>
      <c r="E2036" s="2" t="s">
        <v>6527</v>
      </c>
      <c r="F2036" s="2" t="s">
        <v>6528</v>
      </c>
      <c r="G2036" s="2" t="s">
        <v>5856</v>
      </c>
      <c r="H2036" s="7"/>
      <c r="I2036" s="2" t="s">
        <v>9</v>
      </c>
      <c r="K2036" t="e">
        <v>#N/A</v>
      </c>
      <c r="L2036" s="2" t="s">
        <v>8430</v>
      </c>
      <c r="M2036" s="10" t="s">
        <v>8372</v>
      </c>
      <c r="N2036" s="4"/>
    </row>
    <row r="2037" spans="1:14" ht="39" x14ac:dyDescent="0.3">
      <c r="A2037" s="1" t="str">
        <f>HYPERLINK("https://ipmanager.doe.gov/IPManager//ExternalLink.aspx?6ibkph2k9yi6F%2B0Vz7YoTp68px7nSN2gOF6NIeh%2F7Uc%3D","Link")</f>
        <v>Link</v>
      </c>
      <c r="B2037" s="2" t="s">
        <v>6511</v>
      </c>
      <c r="C2037" s="2" t="s">
        <v>6512</v>
      </c>
      <c r="D2037" s="2" t="s">
        <v>1474</v>
      </c>
      <c r="E2037" s="2" t="s">
        <v>6513</v>
      </c>
      <c r="F2037" s="2" t="s">
        <v>6514</v>
      </c>
      <c r="G2037" s="2" t="s">
        <v>2673</v>
      </c>
      <c r="H2037" s="7"/>
      <c r="I2037" s="2" t="s">
        <v>9</v>
      </c>
      <c r="J2037" t="s">
        <v>6514</v>
      </c>
      <c r="K2037" t="s">
        <v>7749</v>
      </c>
      <c r="L2037" s="2" t="s">
        <v>8430</v>
      </c>
      <c r="M2037" s="10" t="s">
        <v>8372</v>
      </c>
      <c r="N2037" s="4"/>
    </row>
    <row r="2038" spans="1:14" ht="39" x14ac:dyDescent="0.3">
      <c r="A2038" s="1" t="str">
        <f>HYPERLINK("https://ipmanager.doe.gov/IPManager//ExternalLink.aspx?6ibkph2k9yi6F%2B0Vz7YoTo7DPLa3%2F%2FGgNQS0wGmGaII%3D","Link")</f>
        <v>Link</v>
      </c>
      <c r="B2038" s="2" t="s">
        <v>6517</v>
      </c>
      <c r="C2038" s="2" t="s">
        <v>6512</v>
      </c>
      <c r="D2038" s="2" t="s">
        <v>1474</v>
      </c>
      <c r="E2038" s="2" t="s">
        <v>6518</v>
      </c>
      <c r="F2038" s="2" t="s">
        <v>6519</v>
      </c>
      <c r="G2038" s="2" t="s">
        <v>6520</v>
      </c>
      <c r="H2038" s="7"/>
      <c r="I2038" s="2" t="s">
        <v>9</v>
      </c>
      <c r="K2038" t="e">
        <v>#N/A</v>
      </c>
      <c r="L2038" s="2" t="s">
        <v>8430</v>
      </c>
      <c r="M2038" s="10" t="s">
        <v>8372</v>
      </c>
      <c r="N2038" s="4"/>
    </row>
    <row r="2039" spans="1:14" ht="39" x14ac:dyDescent="0.3">
      <c r="A2039" s="1" t="str">
        <f>HYPERLINK("https://ipmanager.doe.gov/IPManager//ExternalLink.aspx?6ibkph2k9yi6F%2B0Vz7YoTnXVN2REjGcWdKnNkMr3uLI%3D","Link")</f>
        <v>Link</v>
      </c>
      <c r="B2039" s="2" t="s">
        <v>6521</v>
      </c>
      <c r="C2039" s="2" t="s">
        <v>6512</v>
      </c>
      <c r="D2039" s="2" t="s">
        <v>1474</v>
      </c>
      <c r="E2039" s="2" t="s">
        <v>6518</v>
      </c>
      <c r="F2039" s="2" t="s">
        <v>6514</v>
      </c>
      <c r="G2039" s="2" t="s">
        <v>2673</v>
      </c>
      <c r="H2039" s="7"/>
      <c r="I2039" s="2" t="s">
        <v>9</v>
      </c>
      <c r="J2039" t="s">
        <v>6514</v>
      </c>
      <c r="K2039" t="s">
        <v>7749</v>
      </c>
      <c r="L2039" s="2" t="s">
        <v>8430</v>
      </c>
      <c r="M2039" s="10" t="s">
        <v>8372</v>
      </c>
      <c r="N2039" s="4"/>
    </row>
    <row r="2040" spans="1:14" ht="39" x14ac:dyDescent="0.3">
      <c r="A2040" s="1" t="str">
        <f>HYPERLINK("https://ipmanager.doe.gov/IPManager//ExternalLink.aspx?6ibkph2k9yi6F%2B0Vz7YoTq6RR9BlGHHiORD7OalB7iw%3D","Link")</f>
        <v>Link</v>
      </c>
      <c r="B2040" s="2" t="s">
        <v>6522</v>
      </c>
      <c r="C2040" s="2" t="s">
        <v>6512</v>
      </c>
      <c r="D2040" s="2" t="s">
        <v>1474</v>
      </c>
      <c r="E2040" s="2" t="s">
        <v>6523</v>
      </c>
      <c r="F2040" s="2" t="s">
        <v>6524</v>
      </c>
      <c r="G2040" s="2" t="s">
        <v>6525</v>
      </c>
      <c r="H2040" s="7"/>
      <c r="I2040" s="2" t="s">
        <v>9</v>
      </c>
      <c r="K2040" t="e">
        <v>#N/A</v>
      </c>
      <c r="L2040" s="2" t="s">
        <v>8430</v>
      </c>
      <c r="M2040" s="10" t="s">
        <v>8372</v>
      </c>
      <c r="N2040" s="4"/>
    </row>
    <row r="2041" spans="1:14" ht="39" x14ac:dyDescent="0.3">
      <c r="A2041" s="1" t="str">
        <f>HYPERLINK("https://ipmanager.doe.gov/IPManager//ExternalLink.aspx?6ibkph2k9yi6F%2B0Vz7YoTnXVN2REjGcW2Uhfnl4nv0w%3D","Link")</f>
        <v>Link</v>
      </c>
      <c r="B2041" s="2" t="s">
        <v>6511</v>
      </c>
      <c r="C2041" s="2" t="s">
        <v>6512</v>
      </c>
      <c r="D2041" s="2" t="s">
        <v>1474</v>
      </c>
      <c r="E2041" s="2" t="s">
        <v>6518</v>
      </c>
      <c r="F2041" s="2" t="s">
        <v>6514</v>
      </c>
      <c r="G2041" s="2" t="s">
        <v>2673</v>
      </c>
      <c r="H2041" s="7"/>
      <c r="I2041" s="2" t="s">
        <v>9</v>
      </c>
      <c r="J2041" t="s">
        <v>6514</v>
      </c>
      <c r="K2041" t="s">
        <v>7749</v>
      </c>
      <c r="L2041" s="2" t="s">
        <v>8430</v>
      </c>
      <c r="M2041" s="10" t="s">
        <v>8372</v>
      </c>
      <c r="N2041" s="4"/>
    </row>
    <row r="2042" spans="1:14" ht="65" x14ac:dyDescent="0.3">
      <c r="A2042" s="1" t="str">
        <f>HYPERLINK("https://ipmanager.doe.gov/IPManager//ExternalLink.aspx?6ibkph2k9yi6F%2B0Vz7YoTq6RR9BlGHHipp2kNMJQfeM%3D","Link")</f>
        <v>Link</v>
      </c>
      <c r="B2042" s="2" t="s">
        <v>6515</v>
      </c>
      <c r="C2042" s="2" t="s">
        <v>6512</v>
      </c>
      <c r="D2042" s="2" t="s">
        <v>1474</v>
      </c>
      <c r="E2042" s="2" t="s">
        <v>6516</v>
      </c>
      <c r="F2042" s="2"/>
      <c r="G2042" s="2" t="s">
        <v>9</v>
      </c>
      <c r="H2042" s="7"/>
      <c r="I2042" s="2" t="s">
        <v>9</v>
      </c>
      <c r="K2042" t="e">
        <v>#N/A</v>
      </c>
      <c r="L2042" s="2" t="s">
        <v>8430</v>
      </c>
      <c r="M2042" s="10" t="s">
        <v>8372</v>
      </c>
      <c r="N2042" s="4"/>
    </row>
    <row r="2043" spans="1:14" ht="39" x14ac:dyDescent="0.3">
      <c r="A2043" s="1" t="str">
        <f>HYPERLINK("https://ipmanager.doe.gov/IPManager//ExternalLink.aspx?6ibkph2k9yi6F%2B0Vz7YoTo7DPLa3%2F%2FGg%2FoYhEpZz9iI%3D","Link")</f>
        <v>Link</v>
      </c>
      <c r="B2043" s="2" t="s">
        <v>6533</v>
      </c>
      <c r="C2043" s="2" t="s">
        <v>6530</v>
      </c>
      <c r="D2043" s="2" t="s">
        <v>4419</v>
      </c>
      <c r="E2043" s="2" t="s">
        <v>6534</v>
      </c>
      <c r="F2043" s="2" t="s">
        <v>6535</v>
      </c>
      <c r="G2043" s="2" t="s">
        <v>4989</v>
      </c>
      <c r="H2043" s="7"/>
      <c r="I2043" s="2" t="s">
        <v>9</v>
      </c>
      <c r="K2043" t="e">
        <v>#N/A</v>
      </c>
      <c r="L2043" s="2" t="s">
        <v>8620</v>
      </c>
      <c r="M2043" t="s">
        <v>8161</v>
      </c>
      <c r="N2043" s="4"/>
    </row>
    <row r="2044" spans="1:14" ht="26" x14ac:dyDescent="0.3">
      <c r="A2044" s="1" t="str">
        <f>HYPERLINK("https://ipmanager.doe.gov/IPManager//ExternalLink.aspx?6ibkph2k9yi6F%2B0Vz7YoTo7DPLa3%2F%2FGgrxvFicVThh8%3D","Link")</f>
        <v>Link</v>
      </c>
      <c r="B2044" s="2" t="s">
        <v>6536</v>
      </c>
      <c r="C2044" s="2" t="s">
        <v>6530</v>
      </c>
      <c r="D2044" s="2" t="s">
        <v>4419</v>
      </c>
      <c r="E2044" s="2" t="s">
        <v>6537</v>
      </c>
      <c r="F2044" s="2" t="s">
        <v>6538</v>
      </c>
      <c r="G2044" s="2" t="s">
        <v>4975</v>
      </c>
      <c r="H2044" s="7"/>
      <c r="I2044" s="2" t="s">
        <v>9</v>
      </c>
      <c r="K2044" t="e">
        <v>#N/A</v>
      </c>
      <c r="L2044" s="2" t="s">
        <v>8620</v>
      </c>
      <c r="M2044" t="s">
        <v>8161</v>
      </c>
      <c r="N2044" s="4"/>
    </row>
    <row r="2045" spans="1:14" ht="39" x14ac:dyDescent="0.3">
      <c r="A2045" s="1" t="str">
        <f>HYPERLINK("https://ipmanager.doe.gov/IPManager//ExternalLink.aspx?6ibkph2k9yi6F%2B0Vz7YoTp68px7nSN2g0VZD%2BfSFMig%3D","Link")</f>
        <v>Link</v>
      </c>
      <c r="B2045" s="2" t="s">
        <v>6539</v>
      </c>
      <c r="C2045" s="2" t="s">
        <v>6530</v>
      </c>
      <c r="D2045" s="2" t="s">
        <v>4419</v>
      </c>
      <c r="E2045" s="2" t="s">
        <v>6540</v>
      </c>
      <c r="F2045" s="2" t="s">
        <v>6541</v>
      </c>
      <c r="G2045" s="2" t="s">
        <v>3348</v>
      </c>
      <c r="H2045" s="7"/>
      <c r="I2045" s="2" t="s">
        <v>9</v>
      </c>
      <c r="K2045" t="e">
        <v>#N/A</v>
      </c>
      <c r="L2045" s="2" t="s">
        <v>8620</v>
      </c>
      <c r="M2045" t="s">
        <v>8161</v>
      </c>
      <c r="N2045" s="4"/>
    </row>
    <row r="2046" spans="1:14" ht="26" x14ac:dyDescent="0.3">
      <c r="A2046" s="1" t="str">
        <f>HYPERLINK("https://ipmanager.doe.gov/IPManager//ExternalLink.aspx?6ibkph2k9yi6F%2B0Vz7YoTo7DPLa3%2F%2FGgeohQ6Urfar8%3D","Link")</f>
        <v>Link</v>
      </c>
      <c r="B2046" s="2" t="s">
        <v>6529</v>
      </c>
      <c r="C2046" s="2" t="s">
        <v>6530</v>
      </c>
      <c r="D2046" s="2" t="s">
        <v>4419</v>
      </c>
      <c r="E2046" s="2" t="s">
        <v>6531</v>
      </c>
      <c r="F2046" s="2"/>
      <c r="G2046" s="2" t="s">
        <v>9</v>
      </c>
      <c r="H2046" s="7"/>
      <c r="I2046" s="2" t="s">
        <v>9</v>
      </c>
      <c r="K2046" t="e">
        <v>#N/A</v>
      </c>
      <c r="L2046" s="2" t="s">
        <v>8620</v>
      </c>
      <c r="M2046" t="s">
        <v>8161</v>
      </c>
      <c r="N2046" s="4"/>
    </row>
    <row r="2047" spans="1:14" ht="26" x14ac:dyDescent="0.3">
      <c r="A2047" s="1" t="str">
        <f>HYPERLINK("https://ipmanager.doe.gov/IPManager//ExternalLink.aspx?6ibkph2k9yi6F%2B0Vz7YoTvPUg%2FVZPl3iI6qnh1cPmTo%3D","Link")</f>
        <v>Link</v>
      </c>
      <c r="B2047" s="2" t="s">
        <v>6532</v>
      </c>
      <c r="C2047" s="2" t="s">
        <v>6530</v>
      </c>
      <c r="D2047" s="2" t="s">
        <v>4419</v>
      </c>
      <c r="E2047" s="2" t="s">
        <v>4426</v>
      </c>
      <c r="F2047" s="2" t="s">
        <v>7661</v>
      </c>
      <c r="G2047" s="2" t="s">
        <v>2525</v>
      </c>
      <c r="H2047" s="8">
        <v>9815021</v>
      </c>
      <c r="I2047" s="2" t="s">
        <v>5958</v>
      </c>
      <c r="K2047" t="e">
        <v>#N/A</v>
      </c>
      <c r="L2047" s="2" t="s">
        <v>8620</v>
      </c>
      <c r="M2047" t="s">
        <v>8161</v>
      </c>
    </row>
    <row r="2048" spans="1:14" ht="26" x14ac:dyDescent="0.3">
      <c r="A2048" s="1" t="str">
        <f>HYPERLINK("https://ipmanager.doe.gov/IPManager//ExternalLink.aspx?6ibkph2k9yi6F%2B0Vz7YoTp68px7nSN2gDhXR24G8QNw%3D","Link")</f>
        <v>Link</v>
      </c>
      <c r="B2048" s="2" t="s">
        <v>6543</v>
      </c>
      <c r="C2048" s="2" t="s">
        <v>6530</v>
      </c>
      <c r="D2048" s="2" t="s">
        <v>4419</v>
      </c>
      <c r="E2048" s="2" t="s">
        <v>6544</v>
      </c>
      <c r="F2048" s="2"/>
      <c r="G2048" s="2" t="s">
        <v>9</v>
      </c>
      <c r="H2048" s="2"/>
      <c r="I2048" s="2" t="s">
        <v>9</v>
      </c>
      <c r="K2048" t="e">
        <v>#N/A</v>
      </c>
      <c r="L2048" s="2" t="s">
        <v>8620</v>
      </c>
      <c r="M2048" t="s">
        <v>8161</v>
      </c>
      <c r="N2048" s="4"/>
    </row>
    <row r="2049" spans="1:14" ht="52" x14ac:dyDescent="0.3">
      <c r="A2049" s="1" t="str">
        <f>HYPERLINK("https://ipmanager.doe.gov/IPManager//ExternalLink.aspx?6ibkph2k9yi6F%2B0Vz7YoTp68px7nSN2gvUUCY2FM9UY%3D","Link")</f>
        <v>Link</v>
      </c>
      <c r="B2049" s="2" t="s">
        <v>6545</v>
      </c>
      <c r="C2049" s="2" t="s">
        <v>6530</v>
      </c>
      <c r="D2049" s="2" t="s">
        <v>4419</v>
      </c>
      <c r="E2049" s="2" t="s">
        <v>6546</v>
      </c>
      <c r="F2049" s="2"/>
      <c r="G2049" s="2" t="s">
        <v>9</v>
      </c>
      <c r="H2049" s="2"/>
      <c r="I2049" s="2" t="s">
        <v>9</v>
      </c>
      <c r="K2049" t="e">
        <v>#N/A</v>
      </c>
      <c r="L2049" s="2" t="s">
        <v>8620</v>
      </c>
      <c r="M2049" t="s">
        <v>8161</v>
      </c>
      <c r="N2049" s="4"/>
    </row>
    <row r="2050" spans="1:14" ht="39" x14ac:dyDescent="0.3">
      <c r="A2050" s="1" t="str">
        <f>HYPERLINK("https://ipmanager.doe.gov/IPManager//ExternalLink.aspx?6ibkph2k9yi6F%2B0Vz7YoTvPUg%2FVZPl3ip8eWNM1Paww%3D","Link")</f>
        <v>Link</v>
      </c>
      <c r="B2050" s="2" t="s">
        <v>6554</v>
      </c>
      <c r="C2050" s="2" t="s">
        <v>6548</v>
      </c>
      <c r="D2050" s="2" t="s">
        <v>6555</v>
      </c>
      <c r="E2050" s="2" t="s">
        <v>6556</v>
      </c>
      <c r="F2050" s="2" t="s">
        <v>6557</v>
      </c>
      <c r="G2050" s="2" t="s">
        <v>6558</v>
      </c>
      <c r="H2050" s="7"/>
      <c r="I2050" s="2" t="s">
        <v>9</v>
      </c>
      <c r="J2050" t="s">
        <v>6557</v>
      </c>
      <c r="K2050" t="s">
        <v>7730</v>
      </c>
      <c r="L2050" s="2" t="s">
        <v>8771</v>
      </c>
      <c r="M2050" t="s">
        <v>8311</v>
      </c>
      <c r="N2050" s="4"/>
    </row>
    <row r="2051" spans="1:14" ht="52" x14ac:dyDescent="0.3">
      <c r="A2051" s="1" t="str">
        <f>HYPERLINK("https://ipmanager.doe.gov/IPManager//ExternalLink.aspx?6ibkph2k9yi6F%2B0Vz7YoThEBhkR3uHVrq1WUqGGdd1Q%3D","Link")</f>
        <v>Link</v>
      </c>
      <c r="B2051" s="2" t="s">
        <v>6562</v>
      </c>
      <c r="C2051" s="2" t="s">
        <v>6548</v>
      </c>
      <c r="D2051" s="2" t="s">
        <v>6555</v>
      </c>
      <c r="E2051" s="2" t="s">
        <v>6563</v>
      </c>
      <c r="F2051" s="2" t="s">
        <v>6564</v>
      </c>
      <c r="G2051" s="2" t="s">
        <v>4798</v>
      </c>
      <c r="H2051" s="7"/>
      <c r="I2051" s="2" t="s">
        <v>9</v>
      </c>
      <c r="J2051" t="s">
        <v>6564</v>
      </c>
      <c r="K2051" t="s">
        <v>7731</v>
      </c>
      <c r="L2051" s="2" t="s">
        <v>8771</v>
      </c>
      <c r="M2051" t="s">
        <v>8311</v>
      </c>
      <c r="N2051" s="4"/>
    </row>
    <row r="2052" spans="1:14" ht="39" x14ac:dyDescent="0.3">
      <c r="A2052" s="1" t="str">
        <f>HYPERLINK("https://ipmanager.doe.gov/IPManager//ExternalLink.aspx?6ibkph2k9yi6F%2B0Vz7YoTvE8yjoHgvp6SLHsPx2R3%2B8%3D","Link")</f>
        <v>Link</v>
      </c>
      <c r="B2052" s="2" t="s">
        <v>6567</v>
      </c>
      <c r="C2052" s="2" t="s">
        <v>6548</v>
      </c>
      <c r="D2052" s="2" t="s">
        <v>6555</v>
      </c>
      <c r="E2052" s="2" t="s">
        <v>6568</v>
      </c>
      <c r="F2052" s="2" t="s">
        <v>6569</v>
      </c>
      <c r="G2052" s="2" t="s">
        <v>6570</v>
      </c>
      <c r="H2052" s="7"/>
      <c r="I2052" s="2" t="s">
        <v>9</v>
      </c>
      <c r="K2052" t="e">
        <v>#N/A</v>
      </c>
      <c r="L2052" s="2" t="s">
        <v>8771</v>
      </c>
      <c r="M2052" t="s">
        <v>8311</v>
      </c>
      <c r="N2052" s="4"/>
    </row>
    <row r="2053" spans="1:14" ht="39" x14ac:dyDescent="0.3">
      <c r="A2053" s="1" t="str">
        <f>HYPERLINK("https://ipmanager.doe.gov/IPManager//ExternalLink.aspx?6ibkph2k9yi6F%2B0Vz7YoTvE8yjoHgvp6zeAZan9IREU%3D","Link")</f>
        <v>Link</v>
      </c>
      <c r="B2053" s="2" t="s">
        <v>6572</v>
      </c>
      <c r="C2053" s="2" t="s">
        <v>6548</v>
      </c>
      <c r="D2053" s="2" t="s">
        <v>6555</v>
      </c>
      <c r="E2053" s="2" t="s">
        <v>6556</v>
      </c>
      <c r="F2053" s="2" t="s">
        <v>6559</v>
      </c>
      <c r="G2053" s="2" t="s">
        <v>6573</v>
      </c>
      <c r="H2053" s="7"/>
      <c r="I2053" s="2" t="s">
        <v>9</v>
      </c>
      <c r="K2053" t="e">
        <v>#N/A</v>
      </c>
      <c r="L2053" s="2" t="s">
        <v>8771</v>
      </c>
      <c r="M2053" t="s">
        <v>8311</v>
      </c>
      <c r="N2053" s="4"/>
    </row>
    <row r="2054" spans="1:14" ht="52" x14ac:dyDescent="0.3">
      <c r="A2054" s="1" t="str">
        <f>HYPERLINK("https://ipmanager.doe.gov/IPManager//ExternalLink.aspx?6ibkph2k9yi6F%2B0Vz7YoTgZwfmYxrNyKM1RVoIPROJY%3D","Link")</f>
        <v>Link</v>
      </c>
      <c r="B2054" s="2" t="s">
        <v>6577</v>
      </c>
      <c r="C2054" s="2" t="s">
        <v>6548</v>
      </c>
      <c r="D2054" s="2" t="s">
        <v>6555</v>
      </c>
      <c r="E2054" s="2" t="s">
        <v>6563</v>
      </c>
      <c r="F2054" s="2" t="s">
        <v>6565</v>
      </c>
      <c r="G2054" s="2" t="s">
        <v>6578</v>
      </c>
      <c r="H2054" s="7"/>
      <c r="I2054" s="2" t="s">
        <v>9</v>
      </c>
      <c r="K2054" t="e">
        <v>#N/A</v>
      </c>
      <c r="L2054" s="2" t="s">
        <v>8771</v>
      </c>
      <c r="M2054" t="s">
        <v>8311</v>
      </c>
      <c r="N2054" s="4"/>
    </row>
    <row r="2055" spans="1:14" ht="39" x14ac:dyDescent="0.3">
      <c r="A2055" s="1" t="str">
        <f>HYPERLINK("https://ipmanager.doe.gov/IPManager//ExternalLink.aspx?6ibkph2k9yi6F%2B0Vz7YoTp68px7nSN2g5MtaCDjuzxQ%3D","Link")</f>
        <v>Link</v>
      </c>
      <c r="B2055" s="2" t="s">
        <v>6579</v>
      </c>
      <c r="C2055" s="2" t="s">
        <v>6548</v>
      </c>
      <c r="D2055" s="2" t="s">
        <v>6555</v>
      </c>
      <c r="E2055" s="2" t="s">
        <v>6580</v>
      </c>
      <c r="F2055" s="2" t="s">
        <v>6581</v>
      </c>
      <c r="G2055" s="2" t="s">
        <v>1271</v>
      </c>
      <c r="H2055" s="7"/>
      <c r="I2055" s="2" t="s">
        <v>9</v>
      </c>
      <c r="K2055" t="e">
        <v>#N/A</v>
      </c>
      <c r="L2055" s="2" t="s">
        <v>8771</v>
      </c>
      <c r="M2055" t="s">
        <v>8311</v>
      </c>
      <c r="N2055" s="4"/>
    </row>
    <row r="2056" spans="1:14" ht="52" x14ac:dyDescent="0.3">
      <c r="A2056" s="1" t="str">
        <f>HYPERLINK("https://ipmanager.doe.gov/IPManager//ExternalLink.aspx?6ibkph2k9yi6F%2B0Vz7YoTp68px7nSN2gKmzB6iveRqU%3D","Link")</f>
        <v>Link</v>
      </c>
      <c r="B2056" s="2" t="s">
        <v>6547</v>
      </c>
      <c r="C2056" s="2" t="s">
        <v>6548</v>
      </c>
      <c r="D2056" s="2" t="s">
        <v>6549</v>
      </c>
      <c r="E2056" s="2" t="s">
        <v>6550</v>
      </c>
      <c r="F2056" s="2" t="s">
        <v>6551</v>
      </c>
      <c r="G2056" s="2" t="s">
        <v>6552</v>
      </c>
      <c r="H2056" s="7"/>
      <c r="I2056" s="2" t="s">
        <v>9</v>
      </c>
      <c r="J2056" t="s">
        <v>6551</v>
      </c>
      <c r="K2056" t="s">
        <v>7732</v>
      </c>
      <c r="L2056" s="2" t="s">
        <v>8771</v>
      </c>
      <c r="M2056" t="s">
        <v>8311</v>
      </c>
      <c r="N2056" s="4"/>
    </row>
    <row r="2057" spans="1:14" ht="52" x14ac:dyDescent="0.3">
      <c r="A2057" s="1" t="str">
        <f>HYPERLINK("https://ipmanager.doe.gov/IPManager//ExternalLink.aspx?6ibkph2k9yi6F%2B0Vz7YoTo7DPLa3%2F%2FGgtMqhtJMSpOc%3D","Link")</f>
        <v>Link</v>
      </c>
      <c r="B2057" s="2" t="s">
        <v>6560</v>
      </c>
      <c r="C2057" s="2" t="s">
        <v>6548</v>
      </c>
      <c r="D2057" s="2" t="s">
        <v>6549</v>
      </c>
      <c r="E2057" s="2" t="s">
        <v>6550</v>
      </c>
      <c r="F2057" s="2" t="s">
        <v>6561</v>
      </c>
      <c r="G2057" s="2" t="s">
        <v>125</v>
      </c>
      <c r="H2057" s="7"/>
      <c r="I2057" s="2" t="s">
        <v>9</v>
      </c>
      <c r="K2057" t="e">
        <v>#N/A</v>
      </c>
      <c r="L2057" s="2" t="s">
        <v>8771</v>
      </c>
      <c r="M2057" t="s">
        <v>8311</v>
      </c>
      <c r="N2057" s="4"/>
    </row>
    <row r="2058" spans="1:14" ht="52" x14ac:dyDescent="0.3">
      <c r="A2058" s="1" t="str">
        <f>HYPERLINK("https://ipmanager.doe.gov/IPManager//ExternalLink.aspx?6ibkph2k9yi6F%2B0Vz7YoTvE8yjoHgvp61g0nAASxXGI%3D","Link")</f>
        <v>Link</v>
      </c>
      <c r="B2058" s="2" t="s">
        <v>6574</v>
      </c>
      <c r="C2058" s="2" t="s">
        <v>6548</v>
      </c>
      <c r="D2058" s="2" t="s">
        <v>6549</v>
      </c>
      <c r="E2058" s="2" t="s">
        <v>6550</v>
      </c>
      <c r="F2058" s="2" t="s">
        <v>6553</v>
      </c>
      <c r="G2058" s="2" t="s">
        <v>31</v>
      </c>
      <c r="H2058" s="7"/>
      <c r="I2058" s="2" t="s">
        <v>9</v>
      </c>
      <c r="K2058" t="e">
        <v>#N/A</v>
      </c>
      <c r="L2058" s="2" t="s">
        <v>8771</v>
      </c>
      <c r="M2058" t="s">
        <v>8311</v>
      </c>
      <c r="N2058" s="4"/>
    </row>
    <row r="2059" spans="1:14" ht="39" x14ac:dyDescent="0.3">
      <c r="A2059" s="1" t="str">
        <f>HYPERLINK("https://ipmanager.doe.gov/IPManager//ExternalLink.aspx?6ibkph2k9yi6F%2B0Vz7YoTvPUg%2FVZPl3i%2FKBPQXDqv7c%3D","Link")</f>
        <v>Link</v>
      </c>
      <c r="B2059" s="2" t="s">
        <v>6575</v>
      </c>
      <c r="C2059" s="2" t="s">
        <v>6548</v>
      </c>
      <c r="D2059" s="2" t="s">
        <v>6555</v>
      </c>
      <c r="E2059" s="2" t="s">
        <v>6576</v>
      </c>
      <c r="F2059" s="2"/>
      <c r="G2059" s="2" t="s">
        <v>9</v>
      </c>
      <c r="H2059" s="2"/>
      <c r="I2059" s="2" t="s">
        <v>9</v>
      </c>
      <c r="K2059" t="e">
        <v>#N/A</v>
      </c>
      <c r="L2059" s="2" t="s">
        <v>8771</v>
      </c>
      <c r="M2059" t="s">
        <v>8311</v>
      </c>
      <c r="N2059" s="4"/>
    </row>
    <row r="2060" spans="1:14" ht="65" x14ac:dyDescent="0.3">
      <c r="A2060" s="1" t="str">
        <f>HYPERLINK("https://ipmanager.doe.gov/IPManager//ExternalLink.aspx?6ibkph2k9yi6F%2B0Vz7YoTp68px7nSN2gqZiVIYa%2F%2Fb4%3D","Link")</f>
        <v>Link</v>
      </c>
      <c r="B2060" s="2" t="s">
        <v>6582</v>
      </c>
      <c r="C2060" s="2" t="s">
        <v>6583</v>
      </c>
      <c r="D2060" s="2" t="s">
        <v>4986</v>
      </c>
      <c r="E2060" s="2" t="s">
        <v>6584</v>
      </c>
      <c r="F2060" s="2" t="s">
        <v>6585</v>
      </c>
      <c r="G2060" s="2" t="s">
        <v>6586</v>
      </c>
      <c r="H2060" s="7"/>
      <c r="I2060" s="2" t="s">
        <v>9</v>
      </c>
      <c r="K2060" t="e">
        <v>#N/A</v>
      </c>
      <c r="L2060" s="2" t="s">
        <v>8649</v>
      </c>
      <c r="M2060" t="s">
        <v>8189</v>
      </c>
      <c r="N2060" s="4"/>
    </row>
    <row r="2061" spans="1:14" ht="39" x14ac:dyDescent="0.3">
      <c r="A2061" s="1" t="str">
        <f>HYPERLINK("https://ipmanager.doe.gov/IPManager//ExternalLink.aspx?6ibkph2k9yi6F%2B0Vz7YoTvE8yjoHgvp6eosuUifJEEU%3D","Link")</f>
        <v>Link</v>
      </c>
      <c r="B2061" s="2" t="s">
        <v>6587</v>
      </c>
      <c r="C2061" s="2" t="s">
        <v>6588</v>
      </c>
      <c r="D2061" s="2" t="s">
        <v>6589</v>
      </c>
      <c r="E2061" s="2" t="s">
        <v>6590</v>
      </c>
      <c r="F2061" s="2"/>
      <c r="G2061" s="2" t="s">
        <v>9</v>
      </c>
      <c r="H2061" s="2"/>
      <c r="I2061" s="2" t="s">
        <v>9</v>
      </c>
      <c r="K2061" t="e">
        <v>#N/A</v>
      </c>
      <c r="L2061" s="2" t="s">
        <v>8772</v>
      </c>
      <c r="M2061" t="s">
        <v>8312</v>
      </c>
      <c r="N2061" s="4"/>
    </row>
    <row r="2062" spans="1:14" ht="65" x14ac:dyDescent="0.3">
      <c r="A2062" s="1" t="str">
        <f>HYPERLINK("https://ipmanager.doe.gov/IPManager//ExternalLink.aspx?6ibkph2k9yi6F%2B0Vz7YoTnXVN2REjGcW420B%2B6aDlOE%3D","Link")</f>
        <v>Link</v>
      </c>
      <c r="B2062" s="2" t="s">
        <v>7310</v>
      </c>
      <c r="C2062" s="2" t="s">
        <v>7316</v>
      </c>
      <c r="D2062" s="2" t="s">
        <v>7305</v>
      </c>
      <c r="E2062" s="2" t="s">
        <v>7311</v>
      </c>
      <c r="F2062" s="2"/>
      <c r="G2062" s="2" t="s">
        <v>9</v>
      </c>
      <c r="H2062" s="2"/>
      <c r="I2062" s="2" t="s">
        <v>9</v>
      </c>
      <c r="K2062" t="e">
        <v>#N/A</v>
      </c>
      <c r="L2062" s="2" t="s">
        <v>8773</v>
      </c>
      <c r="M2062" t="s">
        <v>8313</v>
      </c>
      <c r="N2062" s="4"/>
    </row>
    <row r="2063" spans="1:14" ht="52" x14ac:dyDescent="0.3">
      <c r="A2063" s="1" t="str">
        <f>HYPERLINK("https://ipmanager.doe.gov/IPManager//ExternalLink.aspx?6ibkph2k9yi6F%2B0Vz7YoTvE8yjoHgvp6oIrs5u6FhAE%3D","Link")</f>
        <v>Link</v>
      </c>
      <c r="B2063" s="2" t="s">
        <v>6591</v>
      </c>
      <c r="C2063" s="2" t="s">
        <v>6592</v>
      </c>
      <c r="D2063" s="2" t="s">
        <v>135</v>
      </c>
      <c r="E2063" s="2" t="s">
        <v>6593</v>
      </c>
      <c r="F2063" s="2" t="s">
        <v>6594</v>
      </c>
      <c r="G2063" s="2" t="s">
        <v>6595</v>
      </c>
      <c r="H2063" s="2"/>
      <c r="I2063" s="2" t="s">
        <v>9</v>
      </c>
      <c r="J2063" t="s">
        <v>2672</v>
      </c>
      <c r="K2063" t="s">
        <v>7889</v>
      </c>
      <c r="L2063" s="2" t="s">
        <v>8774</v>
      </c>
      <c r="M2063" t="s">
        <v>8314</v>
      </c>
      <c r="N2063" s="4"/>
    </row>
    <row r="2064" spans="1:14" ht="52" x14ac:dyDescent="0.3">
      <c r="A2064" s="1" t="str">
        <f>HYPERLINK("https://ipmanager.doe.gov/IPManager//ExternalLink.aspx?6ibkph2k9yi6F%2B0Vz7YoTkqAgjuWMa9QM6xS3Ja2M%2Bk%3D","Link")</f>
        <v>Link</v>
      </c>
      <c r="B2064" s="2" t="s">
        <v>6596</v>
      </c>
      <c r="C2064" s="2" t="s">
        <v>6592</v>
      </c>
      <c r="D2064" s="2" t="s">
        <v>135</v>
      </c>
      <c r="E2064" s="2" t="s">
        <v>6593</v>
      </c>
      <c r="F2064" s="2" t="s">
        <v>6597</v>
      </c>
      <c r="G2064" s="2" t="s">
        <v>6598</v>
      </c>
      <c r="H2064" s="2"/>
      <c r="I2064" s="2" t="s">
        <v>9</v>
      </c>
      <c r="J2064" t="s">
        <v>2678</v>
      </c>
      <c r="K2064" t="s">
        <v>7890</v>
      </c>
      <c r="L2064" s="2" t="s">
        <v>8774</v>
      </c>
      <c r="M2064" t="s">
        <v>8314</v>
      </c>
      <c r="N2064" s="4"/>
    </row>
    <row r="2065" spans="1:14" ht="65" x14ac:dyDescent="0.3">
      <c r="A2065" s="1" t="str">
        <f>HYPERLINK("https://ipmanager.doe.gov/IPManager//ExternalLink.aspx?6ibkph2k9yi6F%2B0Vz7YoTvPUg%2FVZPl3iOWp0leDCLLY%3D","Link")</f>
        <v>Link</v>
      </c>
      <c r="B2065" s="2" t="s">
        <v>6599</v>
      </c>
      <c r="C2065" s="2" t="s">
        <v>6600</v>
      </c>
      <c r="D2065" s="2" t="s">
        <v>4148</v>
      </c>
      <c r="E2065" s="2" t="s">
        <v>6601</v>
      </c>
      <c r="F2065" s="2"/>
      <c r="G2065" s="2" t="s">
        <v>9</v>
      </c>
      <c r="H2065" s="2"/>
      <c r="I2065" s="2" t="s">
        <v>9</v>
      </c>
      <c r="K2065" t="e">
        <v>#N/A</v>
      </c>
      <c r="L2065" s="2" t="s">
        <v>8775</v>
      </c>
      <c r="M2065" t="s">
        <v>8315</v>
      </c>
      <c r="N2065" s="4"/>
    </row>
    <row r="2066" spans="1:14" ht="39" x14ac:dyDescent="0.3">
      <c r="A2066" s="1" t="str">
        <f>HYPERLINK("https://ipmanager.doe.gov/IPManager//ExternalLink.aspx?6ibkph2k9yi6F%2B0Vz7YoTo7DPLa3%2F%2FGgo3SKlDJTnIw%3D","Link")</f>
        <v>Link</v>
      </c>
      <c r="B2066" s="2" t="s">
        <v>6605</v>
      </c>
      <c r="C2066" s="2" t="s">
        <v>6603</v>
      </c>
      <c r="D2066" s="2" t="s">
        <v>1793</v>
      </c>
      <c r="E2066" s="2" t="s">
        <v>6606</v>
      </c>
      <c r="F2066" s="2" t="s">
        <v>6607</v>
      </c>
      <c r="G2066" s="2" t="s">
        <v>6608</v>
      </c>
      <c r="H2066" s="7"/>
      <c r="I2066" s="2" t="s">
        <v>9</v>
      </c>
      <c r="K2066" t="e">
        <v>#N/A</v>
      </c>
      <c r="L2066" s="2" t="s">
        <v>8776</v>
      </c>
      <c r="M2066" t="s">
        <v>8316</v>
      </c>
      <c r="N2066" s="4"/>
    </row>
    <row r="2067" spans="1:14" ht="39" x14ac:dyDescent="0.3">
      <c r="A2067" s="1" t="str">
        <f>HYPERLINK("https://ipmanager.doe.gov/IPManager//ExternalLink.aspx?6ibkph2k9yi6F%2B0Vz7YoTo7DPLa3%2F%2FGgl%2BM%2FxX705iM%3D","Link")</f>
        <v>Link</v>
      </c>
      <c r="B2067" s="2" t="s">
        <v>6612</v>
      </c>
      <c r="C2067" s="2" t="s">
        <v>6603</v>
      </c>
      <c r="D2067" s="2" t="s">
        <v>1793</v>
      </c>
      <c r="E2067" s="2" t="s">
        <v>6613</v>
      </c>
      <c r="F2067" s="2" t="s">
        <v>6614</v>
      </c>
      <c r="G2067" s="2" t="s">
        <v>5514</v>
      </c>
      <c r="H2067" s="7"/>
      <c r="I2067" s="2" t="s">
        <v>9</v>
      </c>
      <c r="K2067" t="e">
        <v>#N/A</v>
      </c>
      <c r="L2067" s="2" t="s">
        <v>8776</v>
      </c>
      <c r="M2067" t="s">
        <v>8316</v>
      </c>
      <c r="N2067" s="4"/>
    </row>
    <row r="2068" spans="1:14" ht="52" x14ac:dyDescent="0.3">
      <c r="A2068" s="1" t="str">
        <f>HYPERLINK("https://ipmanager.doe.gov/IPManager//ExternalLink.aspx?6ibkph2k9yi6F%2B0Vz7YoTp68px7nSN2gb1oO6tRwuKg%3D","Link")</f>
        <v>Link</v>
      </c>
      <c r="B2068" s="2" t="s">
        <v>6617</v>
      </c>
      <c r="C2068" s="2" t="s">
        <v>6603</v>
      </c>
      <c r="D2068" s="2" t="s">
        <v>1793</v>
      </c>
      <c r="E2068" s="2" t="s">
        <v>6618</v>
      </c>
      <c r="F2068" s="2" t="s">
        <v>6619</v>
      </c>
      <c r="G2068" s="2" t="s">
        <v>6197</v>
      </c>
      <c r="H2068" s="7"/>
      <c r="I2068" s="2" t="s">
        <v>9</v>
      </c>
      <c r="K2068" t="e">
        <v>#N/A</v>
      </c>
      <c r="L2068" s="2" t="s">
        <v>8776</v>
      </c>
      <c r="M2068" t="s">
        <v>8316</v>
      </c>
      <c r="N2068" s="4"/>
    </row>
    <row r="2069" spans="1:14" ht="52" x14ac:dyDescent="0.3">
      <c r="A2069" s="1" t="str">
        <f>HYPERLINK("https://ipmanager.doe.gov/IPManager//ExternalLink.aspx?6ibkph2k9yi6F%2B0Vz7YoTvPUg%2FVZPl3iREjt8GlSd9s%3D","Link")</f>
        <v>Link</v>
      </c>
      <c r="B2069" s="2" t="s">
        <v>6602</v>
      </c>
      <c r="C2069" s="2" t="s">
        <v>6603</v>
      </c>
      <c r="D2069" s="2" t="s">
        <v>1793</v>
      </c>
      <c r="E2069" s="2" t="s">
        <v>6604</v>
      </c>
      <c r="F2069" s="2"/>
      <c r="G2069" s="2" t="s">
        <v>9</v>
      </c>
      <c r="H2069" s="2"/>
      <c r="I2069" s="2" t="s">
        <v>9</v>
      </c>
      <c r="K2069" t="e">
        <v>#N/A</v>
      </c>
      <c r="L2069" s="2" t="s">
        <v>8776</v>
      </c>
      <c r="M2069" t="s">
        <v>8316</v>
      </c>
      <c r="N2069" s="4"/>
    </row>
    <row r="2070" spans="1:14" ht="65" x14ac:dyDescent="0.3">
      <c r="A2070" s="1" t="str">
        <f>HYPERLINK("https://ipmanager.doe.gov/IPManager//ExternalLink.aspx?6ibkph2k9yi6F%2B0Vz7YoTq6RR9BlGHHiA2V8D%2FmSxGE%3D","Link")</f>
        <v>Link</v>
      </c>
      <c r="B2070" s="2" t="s">
        <v>6610</v>
      </c>
      <c r="C2070" s="2" t="s">
        <v>6603</v>
      </c>
      <c r="D2070" s="2" t="s">
        <v>1793</v>
      </c>
      <c r="E2070" s="2" t="s">
        <v>6611</v>
      </c>
      <c r="F2070" s="2"/>
      <c r="G2070" s="2" t="s">
        <v>9</v>
      </c>
      <c r="H2070" s="2"/>
      <c r="I2070" s="2" t="s">
        <v>9</v>
      </c>
      <c r="K2070" t="e">
        <v>#N/A</v>
      </c>
      <c r="L2070" s="2" t="s">
        <v>8776</v>
      </c>
      <c r="M2070" t="s">
        <v>8316</v>
      </c>
      <c r="N2070" s="4"/>
    </row>
    <row r="2071" spans="1:14" ht="39" x14ac:dyDescent="0.3">
      <c r="A2071" s="1" t="str">
        <f>HYPERLINK("https://ipmanager.doe.gov/IPManager//ExternalLink.aspx?6ibkph2k9yi6F%2B0Vz7YoTo7DPLa3%2F%2FGgeyqMHYQJ8WY%3D","Link")</f>
        <v>Link</v>
      </c>
      <c r="B2071" s="2" t="s">
        <v>6615</v>
      </c>
      <c r="C2071" s="2" t="s">
        <v>6603</v>
      </c>
      <c r="D2071" s="2" t="s">
        <v>1793</v>
      </c>
      <c r="E2071" s="2" t="s">
        <v>6616</v>
      </c>
      <c r="F2071" s="2"/>
      <c r="G2071" s="2" t="s">
        <v>9</v>
      </c>
      <c r="H2071" s="2"/>
      <c r="I2071" s="2" t="s">
        <v>9</v>
      </c>
      <c r="K2071" t="e">
        <v>#N/A</v>
      </c>
      <c r="L2071" s="2" t="s">
        <v>8776</v>
      </c>
      <c r="M2071" t="s">
        <v>8316</v>
      </c>
      <c r="N2071" s="4"/>
    </row>
    <row r="2072" spans="1:14" ht="39" x14ac:dyDescent="0.3">
      <c r="A2072" s="1" t="str">
        <f>HYPERLINK("https://ipmanager.doe.gov/IPManager//ExternalLink.aspx?6ibkph2k9yi6F%2B0Vz7YoTu0g4zH%2BOsvylgITWBravnc%3D","Link")</f>
        <v>Link</v>
      </c>
      <c r="B2072" s="2" t="s">
        <v>6620</v>
      </c>
      <c r="C2072" s="2" t="s">
        <v>6621</v>
      </c>
      <c r="D2072" s="2" t="s">
        <v>2019</v>
      </c>
      <c r="E2072" s="2" t="s">
        <v>6622</v>
      </c>
      <c r="F2072" s="2"/>
      <c r="G2072" s="2" t="s">
        <v>9</v>
      </c>
      <c r="H2072" s="2"/>
      <c r="I2072" s="2" t="s">
        <v>9</v>
      </c>
      <c r="K2072" t="e">
        <v>#N/A</v>
      </c>
      <c r="L2072" s="2" t="e">
        <v>#N/A</v>
      </c>
      <c r="M2072" t="e">
        <v>#N/A</v>
      </c>
      <c r="N2072" s="4"/>
    </row>
    <row r="2073" spans="1:14" ht="26" x14ac:dyDescent="0.3">
      <c r="A2073" s="1" t="str">
        <f>HYPERLINK("https://ipmanager.doe.gov/IPManager//ExternalLink.aspx?6ibkph2k9yi6F%2B0Vz7YoTp68px7nSN2gtdsXqpMgsUA%3D","Link")</f>
        <v>Link</v>
      </c>
      <c r="B2073" s="2" t="s">
        <v>6623</v>
      </c>
      <c r="C2073" s="2" t="s">
        <v>6624</v>
      </c>
      <c r="D2073" s="2" t="s">
        <v>6625</v>
      </c>
      <c r="E2073" s="2" t="s">
        <v>6626</v>
      </c>
      <c r="F2073" s="2" t="s">
        <v>6627</v>
      </c>
      <c r="G2073" s="2" t="s">
        <v>6628</v>
      </c>
      <c r="H2073" s="7"/>
      <c r="I2073" s="2" t="s">
        <v>9</v>
      </c>
      <c r="K2073" t="e">
        <v>#N/A</v>
      </c>
      <c r="L2073" s="2" t="s">
        <v>8777</v>
      </c>
      <c r="M2073" t="s">
        <v>8317</v>
      </c>
      <c r="N2073" s="4"/>
    </row>
    <row r="2074" spans="1:14" ht="52" x14ac:dyDescent="0.3">
      <c r="A2074" s="1" t="str">
        <f>HYPERLINK("https://ipmanager.doe.gov/IPManager//ExternalLink.aspx?6ibkph2k9yi6F%2B0Vz7YoTsTAnuFk5EoAW%2FadbgVaV74%3D","Link")</f>
        <v>Link</v>
      </c>
      <c r="B2074" s="2" t="s">
        <v>6629</v>
      </c>
      <c r="C2074" s="2" t="s">
        <v>6630</v>
      </c>
      <c r="D2074" s="2" t="s">
        <v>3238</v>
      </c>
      <c r="E2074" s="2" t="s">
        <v>6631</v>
      </c>
      <c r="F2074" s="2"/>
      <c r="G2074" s="2" t="s">
        <v>9</v>
      </c>
      <c r="H2074" s="2"/>
      <c r="I2074" s="2" t="s">
        <v>9</v>
      </c>
      <c r="K2074" t="e">
        <v>#N/A</v>
      </c>
      <c r="L2074" s="2" t="s">
        <v>8778</v>
      </c>
      <c r="M2074" t="s">
        <v>8318</v>
      </c>
      <c r="N2074" s="4"/>
    </row>
    <row r="2075" spans="1:14" ht="52" x14ac:dyDescent="0.3">
      <c r="A2075" s="1" t="str">
        <f>HYPERLINK("https://ipmanager.doe.gov/IPManager//ExternalLink.aspx?6ibkph2k9yi6F%2B0Vz7YoTsTAnuFk5EoA30JUfP%2Fta8M%3D","Link")</f>
        <v>Link</v>
      </c>
      <c r="B2075" s="2" t="s">
        <v>6632</v>
      </c>
      <c r="C2075" s="2" t="s">
        <v>6630</v>
      </c>
      <c r="D2075" s="2" t="s">
        <v>3238</v>
      </c>
      <c r="E2075" s="2" t="s">
        <v>6633</v>
      </c>
      <c r="F2075" s="2"/>
      <c r="G2075" s="2" t="s">
        <v>9</v>
      </c>
      <c r="H2075" s="2"/>
      <c r="I2075" s="2" t="s">
        <v>9</v>
      </c>
      <c r="K2075" t="e">
        <v>#N/A</v>
      </c>
      <c r="L2075" s="2" t="s">
        <v>8778</v>
      </c>
      <c r="M2075" t="s">
        <v>8318</v>
      </c>
      <c r="N2075" s="4"/>
    </row>
    <row r="2076" spans="1:14" ht="39" x14ac:dyDescent="0.3">
      <c r="A2076" s="1" t="str">
        <f>HYPERLINK("https://ipmanager.doe.gov/IPManager//ExternalLink.aspx?6ibkph2k9yi6F%2B0Vz7YoThEBhkR3uHVrQY0YDeu1lss%3D","Link")</f>
        <v>Link</v>
      </c>
      <c r="B2076" s="2" t="s">
        <v>6634</v>
      </c>
      <c r="C2076" s="2" t="s">
        <v>6635</v>
      </c>
      <c r="D2076" s="2" t="s">
        <v>6636</v>
      </c>
      <c r="E2076" s="2" t="s">
        <v>6637</v>
      </c>
      <c r="F2076" s="2"/>
      <c r="G2076" s="2" t="s">
        <v>9</v>
      </c>
      <c r="H2076" s="2"/>
      <c r="I2076" s="2" t="s">
        <v>9</v>
      </c>
      <c r="K2076" t="e">
        <v>#N/A</v>
      </c>
      <c r="L2076" s="2" t="s">
        <v>8779</v>
      </c>
      <c r="M2076" t="s">
        <v>8319</v>
      </c>
      <c r="N2076" s="4"/>
    </row>
    <row r="2077" spans="1:14" ht="52" x14ac:dyDescent="0.3">
      <c r="A2077" s="1" t="str">
        <f>HYPERLINK("https://ipmanager.doe.gov/IPManager//ExternalLink.aspx?6ibkph2k9yi6F%2B0Vz7YoTo7DPLa3%2F%2FGg1bQYGOu0y%2Fk%3D","Link")</f>
        <v>Link</v>
      </c>
      <c r="B2077" s="2" t="s">
        <v>6638</v>
      </c>
      <c r="C2077" s="2" t="s">
        <v>6635</v>
      </c>
      <c r="D2077" s="2" t="s">
        <v>6636</v>
      </c>
      <c r="E2077" s="2" t="s">
        <v>6639</v>
      </c>
      <c r="F2077" s="2"/>
      <c r="G2077" s="2" t="s">
        <v>9</v>
      </c>
      <c r="H2077" s="2"/>
      <c r="I2077" s="2" t="s">
        <v>9</v>
      </c>
      <c r="K2077" t="e">
        <v>#N/A</v>
      </c>
      <c r="L2077" s="2" t="s">
        <v>8779</v>
      </c>
      <c r="M2077" t="s">
        <v>8319</v>
      </c>
      <c r="N2077" s="4"/>
    </row>
    <row r="2078" spans="1:14" ht="39" x14ac:dyDescent="0.3">
      <c r="A2078" s="1" t="str">
        <f>HYPERLINK("https://ipmanager.doe.gov/IPManager//ExternalLink.aspx?6ibkph2k9yi6F%2B0Vz7YoThEBhkR3uHVrOD74H%2BSHPvE%3D","Link")</f>
        <v>Link</v>
      </c>
      <c r="B2078" s="2" t="s">
        <v>6643</v>
      </c>
      <c r="C2078" s="2" t="s">
        <v>6641</v>
      </c>
      <c r="D2078" s="2" t="s">
        <v>6200</v>
      </c>
      <c r="E2078" s="2" t="s">
        <v>6644</v>
      </c>
      <c r="F2078" s="2" t="s">
        <v>6645</v>
      </c>
      <c r="G2078" s="2" t="s">
        <v>6646</v>
      </c>
      <c r="H2078" s="7"/>
      <c r="I2078" s="2" t="s">
        <v>9</v>
      </c>
      <c r="K2078" t="e">
        <v>#N/A</v>
      </c>
      <c r="L2078" s="2" t="s">
        <v>8780</v>
      </c>
      <c r="M2078" t="s">
        <v>8320</v>
      </c>
      <c r="N2078" s="4"/>
    </row>
    <row r="2079" spans="1:14" ht="52" x14ac:dyDescent="0.3">
      <c r="A2079" s="1" t="str">
        <f>HYPERLINK("https://ipmanager.doe.gov/IPManager//ExternalLink.aspx?6ibkph2k9yi6F%2B0Vz7YoThEBhkR3uHVrMgcw1mmMrVY%3D","Link")</f>
        <v>Link</v>
      </c>
      <c r="B2079" s="2" t="s">
        <v>6647</v>
      </c>
      <c r="C2079" s="2" t="s">
        <v>6641</v>
      </c>
      <c r="D2079" s="2" t="s">
        <v>6200</v>
      </c>
      <c r="E2079" s="2" t="s">
        <v>6648</v>
      </c>
      <c r="F2079" s="2" t="s">
        <v>6649</v>
      </c>
      <c r="G2079" s="2" t="s">
        <v>6650</v>
      </c>
      <c r="H2079" s="7"/>
      <c r="I2079" s="2" t="s">
        <v>9</v>
      </c>
      <c r="J2079" t="s">
        <v>6649</v>
      </c>
      <c r="K2079" t="s">
        <v>7969</v>
      </c>
      <c r="L2079" s="2" t="s">
        <v>8780</v>
      </c>
      <c r="M2079" t="s">
        <v>8320</v>
      </c>
      <c r="N2079" s="4"/>
    </row>
    <row r="2080" spans="1:14" ht="52" x14ac:dyDescent="0.3">
      <c r="A2080" s="1" t="str">
        <f>HYPERLINK("https://ipmanager.doe.gov/IPManager//ExternalLink.aspx?6ibkph2k9yi6F%2B0Vz7YoTsTAnuFk5EoALE4OrScshok%3D","Link")</f>
        <v>Link</v>
      </c>
      <c r="B2080" s="2" t="s">
        <v>6651</v>
      </c>
      <c r="C2080" s="2" t="s">
        <v>6641</v>
      </c>
      <c r="D2080" s="2" t="s">
        <v>6200</v>
      </c>
      <c r="E2080" s="2" t="s">
        <v>6648</v>
      </c>
      <c r="F2080" s="2" t="s">
        <v>6652</v>
      </c>
      <c r="G2080" s="2" t="s">
        <v>4674</v>
      </c>
      <c r="H2080" s="7"/>
      <c r="I2080" s="2" t="s">
        <v>9</v>
      </c>
      <c r="K2080" t="e">
        <v>#N/A</v>
      </c>
      <c r="L2080" s="2" t="s">
        <v>8780</v>
      </c>
      <c r="M2080" t="s">
        <v>8320</v>
      </c>
      <c r="N2080" s="4"/>
    </row>
    <row r="2081" spans="1:14" ht="78" x14ac:dyDescent="0.3">
      <c r="A2081" s="1" t="str">
        <f>HYPERLINK("https://ipmanager.doe.gov/IPManager//ExternalLink.aspx?6ibkph2k9yi6F%2B0Vz7YoTo7DPLa3%2F%2FGgZ5Ni7EHWvRA%3D","Link")</f>
        <v>Link</v>
      </c>
      <c r="B2081" s="2" t="s">
        <v>6640</v>
      </c>
      <c r="C2081" s="2" t="s">
        <v>6641</v>
      </c>
      <c r="D2081" s="2" t="s">
        <v>6200</v>
      </c>
      <c r="E2081" s="2" t="s">
        <v>6642</v>
      </c>
      <c r="F2081" s="2"/>
      <c r="G2081" s="2" t="s">
        <v>9</v>
      </c>
      <c r="H2081" s="2"/>
      <c r="I2081" s="2" t="s">
        <v>9</v>
      </c>
      <c r="K2081" t="e">
        <v>#N/A</v>
      </c>
      <c r="L2081" s="2" t="s">
        <v>8780</v>
      </c>
      <c r="M2081" t="s">
        <v>8320</v>
      </c>
      <c r="N2081" s="4"/>
    </row>
    <row r="2082" spans="1:14" ht="39" x14ac:dyDescent="0.3">
      <c r="A2082" s="1" t="str">
        <f>HYPERLINK("https://ipmanager.doe.gov/IPManager//ExternalLink.aspx?6ibkph2k9yi6F%2B0Vz7YoTvPUg%2FVZPl3irYyVtlmcQ9M%3D","Link")</f>
        <v>Link</v>
      </c>
      <c r="B2082" s="2" t="s">
        <v>6653</v>
      </c>
      <c r="C2082" s="2" t="s">
        <v>6654</v>
      </c>
      <c r="D2082" s="2" t="s">
        <v>5823</v>
      </c>
      <c r="E2082" s="2" t="s">
        <v>6655</v>
      </c>
      <c r="F2082" s="2" t="s">
        <v>6656</v>
      </c>
      <c r="G2082" s="2" t="s">
        <v>6059</v>
      </c>
      <c r="H2082" s="7"/>
      <c r="I2082" s="2" t="s">
        <v>9</v>
      </c>
      <c r="K2082" t="e">
        <v>#N/A</v>
      </c>
      <c r="L2082" s="2" t="s">
        <v>8781</v>
      </c>
      <c r="M2082" t="s">
        <v>8321</v>
      </c>
      <c r="N2082" s="4"/>
    </row>
    <row r="2083" spans="1:14" ht="65" x14ac:dyDescent="0.3">
      <c r="A2083" s="1" t="str">
        <f>HYPERLINK("https://ipmanager.doe.gov/IPManager//ExternalLink.aspx?6ibkph2k9yi6F%2B0Vz7YoTnXVN2REjGcW1L5X1mEKp2I%3D","Link")</f>
        <v>Link</v>
      </c>
      <c r="B2083" s="2" t="s">
        <v>6657</v>
      </c>
      <c r="C2083" s="2" t="s">
        <v>6658</v>
      </c>
      <c r="D2083" s="2" t="s">
        <v>5366</v>
      </c>
      <c r="E2083" s="2" t="s">
        <v>6659</v>
      </c>
      <c r="F2083" s="2"/>
      <c r="G2083" s="2" t="s">
        <v>9</v>
      </c>
      <c r="H2083" s="2"/>
      <c r="I2083" s="2" t="s">
        <v>9</v>
      </c>
      <c r="K2083" t="e">
        <v>#N/A</v>
      </c>
      <c r="L2083" s="2" t="s">
        <v>8782</v>
      </c>
      <c r="M2083" t="s">
        <v>8219</v>
      </c>
      <c r="N2083" s="4"/>
    </row>
    <row r="2084" spans="1:14" ht="52" x14ac:dyDescent="0.3">
      <c r="A2084" s="1" t="str">
        <f>HYPERLINK("https://ipmanager.doe.gov/IPManager//ExternalLink.aspx?6ibkph2k9yi6F%2B0Vz7YoTp68px7nSN2gxwvqHmERH%2Fs%3D","Link")</f>
        <v>Link</v>
      </c>
      <c r="B2084" s="2" t="s">
        <v>6660</v>
      </c>
      <c r="C2084" s="2" t="s">
        <v>6661</v>
      </c>
      <c r="D2084" s="2" t="s">
        <v>3527</v>
      </c>
      <c r="E2084" s="2" t="s">
        <v>6662</v>
      </c>
      <c r="F2084" s="2" t="s">
        <v>6663</v>
      </c>
      <c r="G2084" s="2" t="s">
        <v>6566</v>
      </c>
      <c r="H2084" s="7"/>
      <c r="I2084" s="2" t="s">
        <v>9</v>
      </c>
      <c r="K2084" t="e">
        <v>#N/A</v>
      </c>
      <c r="L2084" s="2" t="s">
        <v>8783</v>
      </c>
      <c r="M2084" t="s">
        <v>8322</v>
      </c>
      <c r="N2084" s="4"/>
    </row>
    <row r="2085" spans="1:14" ht="52" x14ac:dyDescent="0.3">
      <c r="A2085" s="1" t="str">
        <f>HYPERLINK("https://ipmanager.doe.gov/IPManager//ExternalLink.aspx?6ibkph2k9yi6F%2B0Vz7YoTnXVN2REjGcWi3%2Fb5C%2F%2BVlo%3D","Link")</f>
        <v>Link</v>
      </c>
      <c r="B2085" s="2" t="s">
        <v>6664</v>
      </c>
      <c r="C2085" s="2" t="s">
        <v>6661</v>
      </c>
      <c r="D2085" s="2" t="s">
        <v>3527</v>
      </c>
      <c r="E2085" s="2" t="s">
        <v>6665</v>
      </c>
      <c r="F2085" s="2"/>
      <c r="G2085" s="2" t="s">
        <v>9</v>
      </c>
      <c r="H2085" s="2"/>
      <c r="I2085" s="2" t="s">
        <v>9</v>
      </c>
      <c r="K2085" t="e">
        <v>#N/A</v>
      </c>
      <c r="L2085" s="2" t="s">
        <v>8783</v>
      </c>
      <c r="M2085" t="s">
        <v>8322</v>
      </c>
      <c r="N2085" s="4"/>
    </row>
    <row r="2086" spans="1:14" ht="65" x14ac:dyDescent="0.3">
      <c r="A2086" s="1" t="str">
        <f>HYPERLINK("https://ipmanager.doe.gov/IPManager//ExternalLink.aspx?6ibkph2k9yi6F%2B0Vz7YoTsTAnuFk5EoAIzxnpSRnHss%3D","Link")</f>
        <v>Link</v>
      </c>
      <c r="B2086" s="2" t="s">
        <v>6666</v>
      </c>
      <c r="C2086" s="2" t="s">
        <v>6661</v>
      </c>
      <c r="D2086" s="2" t="s">
        <v>3527</v>
      </c>
      <c r="E2086" s="2" t="s">
        <v>6667</v>
      </c>
      <c r="F2086" s="2"/>
      <c r="G2086" s="2" t="s">
        <v>9</v>
      </c>
      <c r="H2086" s="2"/>
      <c r="I2086" s="2" t="s">
        <v>9</v>
      </c>
      <c r="K2086" t="e">
        <v>#N/A</v>
      </c>
      <c r="L2086" s="2" t="s">
        <v>8783</v>
      </c>
      <c r="M2086" t="s">
        <v>8322</v>
      </c>
      <c r="N2086" s="4"/>
    </row>
    <row r="2087" spans="1:14" ht="39" x14ac:dyDescent="0.3">
      <c r="A2087" s="1" t="str">
        <f>HYPERLINK("https://ipmanager.doe.gov/IPManager//ExternalLink.aspx?6ibkph2k9yi6F%2B0Vz7YoTsTAnuFk5EoA8ldfc2pVfn0%3D","Link")</f>
        <v>Link</v>
      </c>
      <c r="B2087" s="2" t="s">
        <v>6668</v>
      </c>
      <c r="C2087" s="2" t="s">
        <v>6661</v>
      </c>
      <c r="D2087" s="2" t="s">
        <v>3527</v>
      </c>
      <c r="E2087" s="2" t="s">
        <v>6275</v>
      </c>
      <c r="F2087" s="2"/>
      <c r="G2087" s="2" t="s">
        <v>9</v>
      </c>
      <c r="H2087" s="2"/>
      <c r="I2087" s="2" t="s">
        <v>9</v>
      </c>
      <c r="K2087" t="e">
        <v>#N/A</v>
      </c>
      <c r="L2087" s="2" t="s">
        <v>8783</v>
      </c>
      <c r="M2087" t="s">
        <v>8322</v>
      </c>
      <c r="N2087" s="4"/>
    </row>
    <row r="2088" spans="1:14" ht="52" x14ac:dyDescent="0.3">
      <c r="A2088" s="1" t="str">
        <f>HYPERLINK("https://ipmanager.doe.gov/IPManager//ExternalLink.aspx?6ibkph2k9yi6F%2B0Vz7YoTu0g4zH%2BOsvyGVFINY2WPh4%3D","Link")</f>
        <v>Link</v>
      </c>
      <c r="B2088" s="2" t="s">
        <v>6669</v>
      </c>
      <c r="C2088" s="2" t="s">
        <v>6661</v>
      </c>
      <c r="D2088" s="2" t="s">
        <v>3527</v>
      </c>
      <c r="E2088" s="2" t="s">
        <v>6670</v>
      </c>
      <c r="F2088" s="2"/>
      <c r="G2088" s="2" t="s">
        <v>9</v>
      </c>
      <c r="H2088" s="2"/>
      <c r="I2088" s="2" t="s">
        <v>9</v>
      </c>
      <c r="K2088" t="e">
        <v>#N/A</v>
      </c>
      <c r="L2088" s="2" t="s">
        <v>8783</v>
      </c>
      <c r="M2088" t="s">
        <v>8322</v>
      </c>
      <c r="N2088" s="4"/>
    </row>
    <row r="2089" spans="1:14" ht="52" x14ac:dyDescent="0.3">
      <c r="A2089" s="1" t="str">
        <f>HYPERLINK("https://ipmanager.doe.gov/IPManager//ExternalLink.aspx?6ibkph2k9yi6F%2B0Vz7YoTp68px7nSN2gU3wgp6gg3YU%3D","Link")</f>
        <v>Link</v>
      </c>
      <c r="B2089" s="2" t="s">
        <v>6671</v>
      </c>
      <c r="C2089" s="2" t="s">
        <v>6661</v>
      </c>
      <c r="D2089" s="2" t="s">
        <v>3527</v>
      </c>
      <c r="E2089" s="2" t="s">
        <v>6672</v>
      </c>
      <c r="F2089" s="2"/>
      <c r="G2089" s="2" t="s">
        <v>9</v>
      </c>
      <c r="H2089" s="2"/>
      <c r="I2089" s="2" t="s">
        <v>9</v>
      </c>
      <c r="K2089" t="e">
        <v>#N/A</v>
      </c>
      <c r="L2089" s="2" t="s">
        <v>8783</v>
      </c>
      <c r="M2089" t="s">
        <v>8322</v>
      </c>
      <c r="N2089" s="4"/>
    </row>
    <row r="2090" spans="1:14" ht="52" x14ac:dyDescent="0.3">
      <c r="A2090" s="1" t="str">
        <f>HYPERLINK("https://ipmanager.doe.gov/IPManager//ExternalLink.aspx?6ibkph2k9yi6F%2B0Vz7YoTp68px7nSN2gepeimcJRHqw%3D","Link")</f>
        <v>Link</v>
      </c>
      <c r="B2090" s="2" t="s">
        <v>6673</v>
      </c>
      <c r="C2090" s="2" t="s">
        <v>6674</v>
      </c>
      <c r="D2090" s="2" t="s">
        <v>2519</v>
      </c>
      <c r="E2090" s="2" t="s">
        <v>6675</v>
      </c>
      <c r="F2090" s="2" t="s">
        <v>6676</v>
      </c>
      <c r="G2090" s="2" t="s">
        <v>4628</v>
      </c>
      <c r="H2090" s="2"/>
      <c r="I2090" s="2" t="s">
        <v>9</v>
      </c>
      <c r="K2090" t="e">
        <v>#N/A</v>
      </c>
      <c r="L2090" s="2" t="s">
        <v>8784</v>
      </c>
      <c r="M2090" t="s">
        <v>8323</v>
      </c>
      <c r="N2090" s="4"/>
    </row>
    <row r="2091" spans="1:14" ht="65" x14ac:dyDescent="0.3">
      <c r="A2091" s="1" t="str">
        <f>HYPERLINK("https://ipmanager.doe.gov/IPManager//ExternalLink.aspx?6ibkph2k9yi6F%2B0Vz7YoThEBhkR3uHVrY0MjR0DjiDo%3D","Link")</f>
        <v>Link</v>
      </c>
      <c r="B2091" s="2" t="s">
        <v>6677</v>
      </c>
      <c r="C2091" s="2" t="s">
        <v>6674</v>
      </c>
      <c r="D2091" s="2" t="s">
        <v>2519</v>
      </c>
      <c r="E2091" s="2" t="s">
        <v>6678</v>
      </c>
      <c r="F2091" s="2" t="s">
        <v>6679</v>
      </c>
      <c r="G2091" s="2" t="s">
        <v>6680</v>
      </c>
      <c r="H2091" s="2"/>
      <c r="I2091" s="2" t="s">
        <v>9</v>
      </c>
      <c r="K2091" t="e">
        <v>#N/A</v>
      </c>
      <c r="L2091" s="2" t="s">
        <v>8784</v>
      </c>
      <c r="M2091" t="s">
        <v>8323</v>
      </c>
      <c r="N2091" s="4"/>
    </row>
    <row r="2092" spans="1:14" ht="52" x14ac:dyDescent="0.3">
      <c r="A2092" s="1" t="str">
        <f>HYPERLINK("https://ipmanager.doe.gov/IPManager//ExternalLink.aspx?6ibkph2k9yi6F%2B0Vz7YoTkqAgjuWMa9Qpgxjm%2BCK6ok%3D","Link")</f>
        <v>Link</v>
      </c>
      <c r="B2092" s="2" t="s">
        <v>6681</v>
      </c>
      <c r="C2092" s="2" t="s">
        <v>6674</v>
      </c>
      <c r="D2092" s="2" t="s">
        <v>2519</v>
      </c>
      <c r="E2092" s="2" t="s">
        <v>6675</v>
      </c>
      <c r="F2092" s="2" t="s">
        <v>6682</v>
      </c>
      <c r="G2092" s="2" t="s">
        <v>6179</v>
      </c>
      <c r="H2092" s="2"/>
      <c r="I2092" s="2" t="s">
        <v>9</v>
      </c>
      <c r="K2092" t="e">
        <v>#N/A</v>
      </c>
      <c r="L2092" s="2" t="s">
        <v>8784</v>
      </c>
      <c r="M2092" t="s">
        <v>8323</v>
      </c>
      <c r="N2092" s="4"/>
    </row>
    <row r="2093" spans="1:14" ht="26" x14ac:dyDescent="0.3">
      <c r="A2093" s="1" t="str">
        <f>HYPERLINK("https://ipmanager.doe.gov/IPManager//ExternalLink.aspx?6ibkph2k9yi6F%2B0Vz7YoTvE8yjoHgvp6DbGRk1ZWPeY%3D","Link")</f>
        <v>Link</v>
      </c>
      <c r="B2093" s="2" t="s">
        <v>6683</v>
      </c>
      <c r="C2093" s="2" t="s">
        <v>6684</v>
      </c>
      <c r="D2093" s="2" t="s">
        <v>5761</v>
      </c>
      <c r="E2093" s="2" t="s">
        <v>6685</v>
      </c>
      <c r="F2093" s="2"/>
      <c r="G2093" s="2" t="s">
        <v>9</v>
      </c>
      <c r="H2093" s="2"/>
      <c r="I2093" s="2" t="s">
        <v>9</v>
      </c>
      <c r="K2093" t="e">
        <v>#N/A</v>
      </c>
      <c r="L2093" s="2" t="s">
        <v>8641</v>
      </c>
      <c r="M2093" t="s">
        <v>8182</v>
      </c>
      <c r="N2093" s="4"/>
    </row>
    <row r="2094" spans="1:14" ht="26" x14ac:dyDescent="0.3">
      <c r="A2094" s="1" t="str">
        <f>HYPERLINK("https://ipmanager.doe.gov/IPManager//ExternalLink.aspx?6ibkph2k9yi6F%2B0Vz7YoTo7DPLa3%2F%2FGgkR02Rx3bEOU%3D","Link")</f>
        <v>Link</v>
      </c>
      <c r="B2094" s="2" t="s">
        <v>6683</v>
      </c>
      <c r="C2094" s="2" t="s">
        <v>6684</v>
      </c>
      <c r="D2094" s="2" t="s">
        <v>5761</v>
      </c>
      <c r="E2094" s="2" t="s">
        <v>6685</v>
      </c>
      <c r="F2094" s="2"/>
      <c r="G2094" s="2" t="s">
        <v>9</v>
      </c>
      <c r="H2094" s="2"/>
      <c r="I2094" s="2" t="s">
        <v>9</v>
      </c>
      <c r="K2094" t="e">
        <v>#N/A</v>
      </c>
      <c r="L2094" s="2" t="s">
        <v>8641</v>
      </c>
      <c r="M2094" t="s">
        <v>8182</v>
      </c>
      <c r="N2094" s="4"/>
    </row>
    <row r="2095" spans="1:14" ht="52" x14ac:dyDescent="0.3">
      <c r="A2095" s="1" t="str">
        <f>HYPERLINK("https://ipmanager.doe.gov/IPManager//ExternalLink.aspx?6ibkph2k9yi6F%2B0Vz7YoTvPUg%2FVZPl3iuc5j%2BOxOkFQ%3D","Link")</f>
        <v>Link</v>
      </c>
      <c r="B2095" s="2" t="s">
        <v>6686</v>
      </c>
      <c r="C2095" s="2" t="s">
        <v>6687</v>
      </c>
      <c r="D2095" s="2" t="s">
        <v>1952</v>
      </c>
      <c r="E2095" s="2" t="s">
        <v>6688</v>
      </c>
      <c r="F2095" s="2" t="s">
        <v>6689</v>
      </c>
      <c r="G2095" s="2" t="s">
        <v>6690</v>
      </c>
      <c r="H2095" s="7"/>
      <c r="I2095" s="2" t="s">
        <v>9</v>
      </c>
      <c r="K2095" t="e">
        <v>#N/A</v>
      </c>
      <c r="L2095" s="2" t="s">
        <v>8785</v>
      </c>
      <c r="M2095" t="s">
        <v>8324</v>
      </c>
      <c r="N2095" s="4"/>
    </row>
    <row r="2096" spans="1:14" ht="52" x14ac:dyDescent="0.3">
      <c r="A2096" s="1" t="str">
        <f>HYPERLINK("https://ipmanager.doe.gov/IPManager//ExternalLink.aspx?6ibkph2k9yi6F%2B0Vz7YoTp68px7nSN2g4XSkSFVkEpU%3D","Link")</f>
        <v>Link</v>
      </c>
      <c r="B2096" s="2" t="s">
        <v>6693</v>
      </c>
      <c r="C2096" s="2" t="s">
        <v>6687</v>
      </c>
      <c r="D2096" s="2" t="s">
        <v>1952</v>
      </c>
      <c r="E2096" s="2" t="s">
        <v>6694</v>
      </c>
      <c r="F2096" s="2" t="s">
        <v>6695</v>
      </c>
      <c r="G2096" s="2" t="s">
        <v>6696</v>
      </c>
      <c r="H2096" s="7"/>
      <c r="I2096" s="2" t="s">
        <v>9</v>
      </c>
      <c r="K2096" t="e">
        <v>#N/A</v>
      </c>
      <c r="L2096" s="2" t="s">
        <v>8785</v>
      </c>
      <c r="M2096" t="s">
        <v>8324</v>
      </c>
      <c r="N2096" s="4"/>
    </row>
    <row r="2097" spans="1:14" ht="52" x14ac:dyDescent="0.3">
      <c r="A2097" s="1" t="str">
        <f>HYPERLINK("https://ipmanager.doe.gov/IPManager//ExternalLink.aspx?6ibkph2k9yi6F%2B0Vz7YoTp68px7nSN2gbeNF5ZIDdd8%3D","Link")</f>
        <v>Link</v>
      </c>
      <c r="B2097" s="2" t="s">
        <v>6691</v>
      </c>
      <c r="C2097" s="2" t="s">
        <v>6687</v>
      </c>
      <c r="D2097" s="2" t="s">
        <v>1952</v>
      </c>
      <c r="E2097" s="2" t="s">
        <v>6692</v>
      </c>
      <c r="F2097" s="2"/>
      <c r="G2097" s="2" t="s">
        <v>9</v>
      </c>
      <c r="H2097" s="2"/>
      <c r="I2097" s="2" t="s">
        <v>9</v>
      </c>
      <c r="K2097" t="e">
        <v>#N/A</v>
      </c>
      <c r="L2097" s="2" t="s">
        <v>8785</v>
      </c>
      <c r="M2097" t="s">
        <v>8324</v>
      </c>
      <c r="N2097" s="4"/>
    </row>
    <row r="2098" spans="1:14" ht="52" x14ac:dyDescent="0.3">
      <c r="A2098" s="1" t="str">
        <f>HYPERLINK("https://ipmanager.doe.gov/IPManager//ExternalLink.aspx?6ibkph2k9yi6F%2B0Vz7YoTp68px7nSN2g62oJMzRedJE%3D","Link")</f>
        <v>Link</v>
      </c>
      <c r="B2098" s="2" t="s">
        <v>6697</v>
      </c>
      <c r="C2098" s="2" t="s">
        <v>6687</v>
      </c>
      <c r="D2098" s="2" t="s">
        <v>1952</v>
      </c>
      <c r="E2098" s="2" t="s">
        <v>6698</v>
      </c>
      <c r="F2098" s="2"/>
      <c r="G2098" s="2" t="s">
        <v>9</v>
      </c>
      <c r="H2098" s="2"/>
      <c r="I2098" s="2" t="s">
        <v>9</v>
      </c>
      <c r="K2098" t="e">
        <v>#N/A</v>
      </c>
      <c r="L2098" s="2" t="s">
        <v>8785</v>
      </c>
      <c r="M2098" t="s">
        <v>8324</v>
      </c>
      <c r="N2098" s="4"/>
    </row>
    <row r="2099" spans="1:14" ht="39" x14ac:dyDescent="0.3">
      <c r="A2099" s="1" t="str">
        <f>HYPERLINK("https://ipmanager.doe.gov/IPManager//ExternalLink.aspx?6ibkph2k9yi6F%2B0Vz7YoTp68px7nSN2ga7ZnqeYwSfo%3D","Link")</f>
        <v>Link</v>
      </c>
      <c r="B2099" s="2" t="s">
        <v>6706</v>
      </c>
      <c r="C2099" s="2" t="s">
        <v>6700</v>
      </c>
      <c r="D2099" s="2" t="s">
        <v>1474</v>
      </c>
      <c r="E2099" s="2" t="s">
        <v>6707</v>
      </c>
      <c r="F2099" s="2" t="s">
        <v>6708</v>
      </c>
      <c r="G2099" s="2" t="s">
        <v>6709</v>
      </c>
      <c r="H2099" s="7"/>
      <c r="I2099" s="2" t="s">
        <v>9</v>
      </c>
      <c r="K2099" t="e">
        <v>#N/A</v>
      </c>
      <c r="L2099" s="2" t="s">
        <v>8786</v>
      </c>
      <c r="M2099" t="s">
        <v>8325</v>
      </c>
      <c r="N2099" s="4"/>
    </row>
    <row r="2100" spans="1:14" ht="78" x14ac:dyDescent="0.3">
      <c r="A2100" s="1" t="str">
        <f>HYPERLINK("https://ipmanager.doe.gov/IPManager//ExternalLink.aspx?6ibkph2k9yi6F%2B0Vz7YoTkqAgjuWMa9QA2ou4%2B1YvJg%3D","Link")</f>
        <v>Link</v>
      </c>
      <c r="B2100" s="2" t="s">
        <v>6710</v>
      </c>
      <c r="C2100" s="2" t="s">
        <v>6700</v>
      </c>
      <c r="D2100" s="2" t="s">
        <v>1474</v>
      </c>
      <c r="E2100" s="2" t="s">
        <v>6711</v>
      </c>
      <c r="F2100" s="2" t="s">
        <v>6712</v>
      </c>
      <c r="G2100" s="2" t="s">
        <v>6709</v>
      </c>
      <c r="H2100" s="7"/>
      <c r="I2100" s="2" t="s">
        <v>9</v>
      </c>
      <c r="K2100" t="e">
        <v>#N/A</v>
      </c>
      <c r="L2100" s="2" t="s">
        <v>8786</v>
      </c>
      <c r="M2100" t="s">
        <v>8325</v>
      </c>
      <c r="N2100" s="4"/>
    </row>
    <row r="2101" spans="1:14" ht="52" x14ac:dyDescent="0.3">
      <c r="A2101" s="1" t="str">
        <f>HYPERLINK("https://ipmanager.doe.gov/IPManager//ExternalLink.aspx?6ibkph2k9yi6F%2B0Vz7YoTp68px7nSN2gMLjusUPJcG8%3D","Link")</f>
        <v>Link</v>
      </c>
      <c r="B2101" s="2" t="s">
        <v>6713</v>
      </c>
      <c r="C2101" s="2" t="s">
        <v>6700</v>
      </c>
      <c r="D2101" s="2" t="s">
        <v>1474</v>
      </c>
      <c r="E2101" s="2" t="s">
        <v>6714</v>
      </c>
      <c r="F2101" s="2" t="s">
        <v>6715</v>
      </c>
      <c r="G2101" s="2" t="s">
        <v>6716</v>
      </c>
      <c r="H2101" s="7"/>
      <c r="I2101" s="2" t="s">
        <v>9</v>
      </c>
      <c r="K2101" t="e">
        <v>#N/A</v>
      </c>
      <c r="L2101" s="2" t="s">
        <v>8786</v>
      </c>
      <c r="M2101" t="s">
        <v>8325</v>
      </c>
      <c r="N2101" s="4"/>
    </row>
    <row r="2102" spans="1:14" ht="65" x14ac:dyDescent="0.3">
      <c r="A2102" s="1" t="str">
        <f>HYPERLINK("https://ipmanager.doe.gov/IPManager//ExternalLink.aspx?6ibkph2k9yi6F%2B0Vz7YoTvPUg%2FVZPl3iqkodbfjx5sY%3D","Link")</f>
        <v>Link</v>
      </c>
      <c r="B2102" s="2" t="s">
        <v>6699</v>
      </c>
      <c r="C2102" s="2" t="s">
        <v>6700</v>
      </c>
      <c r="D2102" s="2" t="s">
        <v>1474</v>
      </c>
      <c r="E2102" s="2" t="s">
        <v>6701</v>
      </c>
      <c r="F2102" s="2"/>
      <c r="G2102" s="2" t="s">
        <v>9</v>
      </c>
      <c r="H2102" s="2"/>
      <c r="I2102" s="2" t="s">
        <v>9</v>
      </c>
      <c r="K2102" t="e">
        <v>#N/A</v>
      </c>
      <c r="L2102" s="2" t="s">
        <v>8786</v>
      </c>
      <c r="M2102" t="s">
        <v>8325</v>
      </c>
      <c r="N2102" s="4"/>
    </row>
    <row r="2103" spans="1:14" ht="65" x14ac:dyDescent="0.3">
      <c r="A2103" s="1" t="str">
        <f>HYPERLINK("https://ipmanager.doe.gov/IPManager//ExternalLink.aspx?6ibkph2k9yi6F%2B0Vz7YoTp68px7nSN2ggnGTQ0G6aDE%3D","Link")</f>
        <v>Link</v>
      </c>
      <c r="B2103" s="2" t="s">
        <v>6702</v>
      </c>
      <c r="C2103" s="2" t="s">
        <v>6700</v>
      </c>
      <c r="D2103" s="2" t="s">
        <v>1474</v>
      </c>
      <c r="E2103" s="2" t="s">
        <v>6703</v>
      </c>
      <c r="F2103" s="2"/>
      <c r="G2103" s="2" t="s">
        <v>9</v>
      </c>
      <c r="H2103" s="2"/>
      <c r="I2103" s="2" t="s">
        <v>9</v>
      </c>
      <c r="K2103" t="e">
        <v>#N/A</v>
      </c>
      <c r="L2103" s="2" t="s">
        <v>8786</v>
      </c>
      <c r="M2103" t="s">
        <v>8325</v>
      </c>
      <c r="N2103" s="4"/>
    </row>
    <row r="2104" spans="1:14" ht="39" x14ac:dyDescent="0.3">
      <c r="A2104" s="1" t="str">
        <f>HYPERLINK("https://ipmanager.doe.gov/IPManager//ExternalLink.aspx?6ibkph2k9yi6F%2B0Vz7YoTvPUg%2FVZPl3i5VFuNcE26h8%3D","Link")</f>
        <v>Link</v>
      </c>
      <c r="B2104" s="2" t="s">
        <v>6704</v>
      </c>
      <c r="C2104" s="2" t="s">
        <v>6700</v>
      </c>
      <c r="D2104" s="2" t="s">
        <v>1474</v>
      </c>
      <c r="E2104" s="2" t="s">
        <v>6705</v>
      </c>
      <c r="F2104" s="2"/>
      <c r="G2104" s="2" t="s">
        <v>9</v>
      </c>
      <c r="H2104" s="2"/>
      <c r="I2104" s="2" t="s">
        <v>9</v>
      </c>
      <c r="K2104" t="e">
        <v>#N/A</v>
      </c>
      <c r="L2104" s="2" t="s">
        <v>8786</v>
      </c>
      <c r="M2104" t="s">
        <v>8325</v>
      </c>
      <c r="N2104" s="4"/>
    </row>
    <row r="2105" spans="1:14" ht="26" x14ac:dyDescent="0.3">
      <c r="A2105" s="1" t="str">
        <f>HYPERLINK("https://ipmanager.doe.gov/IPManager//ExternalLink.aspx?6ibkph2k9yi6F%2B0Vz7YoTp68px7nSN2gJvRxXK1%2BlRA%3D","Link")</f>
        <v>Link</v>
      </c>
      <c r="B2105" s="2" t="s">
        <v>6717</v>
      </c>
      <c r="C2105" s="2" t="s">
        <v>6718</v>
      </c>
      <c r="D2105" s="2" t="s">
        <v>4631</v>
      </c>
      <c r="E2105" s="2" t="s">
        <v>6719</v>
      </c>
      <c r="F2105" s="2"/>
      <c r="G2105" s="2" t="s">
        <v>9</v>
      </c>
      <c r="H2105" s="2"/>
      <c r="I2105" s="2" t="s">
        <v>9</v>
      </c>
      <c r="K2105" t="e">
        <v>#N/A</v>
      </c>
      <c r="L2105" s="2" t="s">
        <v>8787</v>
      </c>
      <c r="M2105" t="s">
        <v>8326</v>
      </c>
      <c r="N2105" s="4"/>
    </row>
    <row r="2106" spans="1:14" ht="26" x14ac:dyDescent="0.3">
      <c r="A2106" s="1" t="str">
        <f>HYPERLINK("https://ipmanager.doe.gov/IPManager//ExternalLink.aspx?6ibkph2k9yi6F%2B0Vz7YoTnXVN2REjGcWpWL4C95lWGI%3D","Link")</f>
        <v>Link</v>
      </c>
      <c r="B2106" s="2" t="s">
        <v>6720</v>
      </c>
      <c r="C2106" s="2" t="s">
        <v>6718</v>
      </c>
      <c r="D2106" s="2" t="s">
        <v>4631</v>
      </c>
      <c r="E2106" s="2" t="s">
        <v>6721</v>
      </c>
      <c r="F2106" s="2"/>
      <c r="G2106" s="2" t="s">
        <v>9</v>
      </c>
      <c r="H2106" s="2"/>
      <c r="I2106" s="2" t="s">
        <v>9</v>
      </c>
      <c r="K2106" t="e">
        <v>#N/A</v>
      </c>
      <c r="L2106" s="2" t="s">
        <v>8787</v>
      </c>
      <c r="M2106" t="s">
        <v>8326</v>
      </c>
      <c r="N2106" s="4"/>
    </row>
    <row r="2107" spans="1:14" ht="26" x14ac:dyDescent="0.3">
      <c r="A2107" s="1" t="str">
        <f>HYPERLINK("https://ipmanager.doe.gov/IPManager//ExternalLink.aspx?6ibkph2k9yi6F%2B0Vz7YoTnXVN2REjGcWpqzcvstKRn8%3D","Link")</f>
        <v>Link</v>
      </c>
      <c r="B2107" s="2" t="s">
        <v>6722</v>
      </c>
      <c r="C2107" s="2" t="s">
        <v>6723</v>
      </c>
      <c r="D2107" s="2" t="s">
        <v>1952</v>
      </c>
      <c r="E2107" s="2" t="s">
        <v>6724</v>
      </c>
      <c r="F2107" s="2"/>
      <c r="G2107" s="2" t="s">
        <v>9</v>
      </c>
      <c r="H2107" s="2"/>
      <c r="I2107" s="2" t="s">
        <v>9</v>
      </c>
      <c r="K2107" t="e">
        <v>#N/A</v>
      </c>
      <c r="L2107" s="2" t="s">
        <v>8788</v>
      </c>
      <c r="M2107" t="s">
        <v>8327</v>
      </c>
      <c r="N2107" s="4"/>
    </row>
    <row r="2108" spans="1:14" ht="65" x14ac:dyDescent="0.3">
      <c r="A2108" s="1" t="str">
        <f>HYPERLINK("https://ipmanager.doe.gov/IPManager//ExternalLink.aspx?6ibkph2k9yi6F%2B0Vz7YoTvPUg%2FVZPl3iX81%2Fc5Dtp5E%3D","Link")</f>
        <v>Link</v>
      </c>
      <c r="B2108" s="2" t="s">
        <v>6728</v>
      </c>
      <c r="C2108" s="2" t="s">
        <v>6726</v>
      </c>
      <c r="D2108" s="2" t="s">
        <v>4128</v>
      </c>
      <c r="E2108" s="2" t="s">
        <v>6729</v>
      </c>
      <c r="F2108" s="2" t="s">
        <v>6730</v>
      </c>
      <c r="G2108" s="2" t="s">
        <v>5089</v>
      </c>
      <c r="H2108" s="7"/>
      <c r="I2108" s="2" t="s">
        <v>9</v>
      </c>
      <c r="J2108" t="s">
        <v>6730</v>
      </c>
      <c r="K2108" t="s">
        <v>7697</v>
      </c>
      <c r="L2108" s="2" t="s">
        <v>8789</v>
      </c>
      <c r="M2108" t="s">
        <v>8328</v>
      </c>
      <c r="N2108" s="4"/>
    </row>
    <row r="2109" spans="1:14" ht="39" x14ac:dyDescent="0.3">
      <c r="A2109" s="1" t="str">
        <f>HYPERLINK("https://ipmanager.doe.gov/IPManager//ExternalLink.aspx?6ibkph2k9yi6F%2B0Vz7YoTsTAnuFk5EoACUSzhEL2IPw%3D","Link")</f>
        <v>Link</v>
      </c>
      <c r="B2109" s="2" t="s">
        <v>6739</v>
      </c>
      <c r="C2109" s="2" t="s">
        <v>6726</v>
      </c>
      <c r="D2109" s="2" t="s">
        <v>4128</v>
      </c>
      <c r="E2109" s="2" t="s">
        <v>6740</v>
      </c>
      <c r="F2109" s="2" t="s">
        <v>6741</v>
      </c>
      <c r="G2109" s="2" t="s">
        <v>6742</v>
      </c>
      <c r="H2109" s="7"/>
      <c r="I2109" s="2" t="s">
        <v>9</v>
      </c>
      <c r="K2109" t="e">
        <v>#N/A</v>
      </c>
      <c r="L2109" s="2" t="s">
        <v>8789</v>
      </c>
      <c r="M2109" t="s">
        <v>8328</v>
      </c>
      <c r="N2109" s="4"/>
    </row>
    <row r="2110" spans="1:14" ht="65" x14ac:dyDescent="0.3">
      <c r="A2110" s="1" t="str">
        <f>HYPERLINK("https://ipmanager.doe.gov/IPManager//ExternalLink.aspx?6ibkph2k9yi6F%2B0Vz7YoTq6RR9BlGHHiVj1yCJz1A2g%3D","Link")</f>
        <v>Link</v>
      </c>
      <c r="B2110" s="2" t="s">
        <v>6745</v>
      </c>
      <c r="C2110" s="2" t="s">
        <v>6726</v>
      </c>
      <c r="D2110" s="2" t="s">
        <v>4128</v>
      </c>
      <c r="E2110" s="2" t="s">
        <v>6729</v>
      </c>
      <c r="F2110" s="2" t="s">
        <v>6746</v>
      </c>
      <c r="G2110" s="2" t="s">
        <v>2595</v>
      </c>
      <c r="H2110" s="7"/>
      <c r="I2110" s="2" t="s">
        <v>9</v>
      </c>
      <c r="K2110" t="e">
        <v>#N/A</v>
      </c>
      <c r="L2110" s="2" t="s">
        <v>8789</v>
      </c>
      <c r="M2110" t="s">
        <v>8328</v>
      </c>
      <c r="N2110" s="4"/>
    </row>
    <row r="2111" spans="1:14" ht="39" x14ac:dyDescent="0.3">
      <c r="A2111" s="1" t="str">
        <f>HYPERLINK("https://ipmanager.doe.gov/IPManager//ExternalLink.aspx?6ibkph2k9yi6F%2B0Vz7YoTsTAnuFk5EoAo%2B0Tmo4fPtM%3D","Link")</f>
        <v>Link</v>
      </c>
      <c r="B2111" s="2" t="s">
        <v>6749</v>
      </c>
      <c r="C2111" s="2" t="s">
        <v>6726</v>
      </c>
      <c r="D2111" s="2" t="s">
        <v>4128</v>
      </c>
      <c r="E2111" s="2" t="s">
        <v>6740</v>
      </c>
      <c r="F2111" s="2" t="s">
        <v>6750</v>
      </c>
      <c r="G2111" s="2" t="s">
        <v>1105</v>
      </c>
      <c r="H2111" s="7"/>
      <c r="I2111" s="2" t="s">
        <v>9</v>
      </c>
      <c r="J2111" t="s">
        <v>6750</v>
      </c>
      <c r="K2111" t="s">
        <v>7698</v>
      </c>
      <c r="L2111" s="2" t="s">
        <v>8789</v>
      </c>
      <c r="M2111" t="s">
        <v>8328</v>
      </c>
      <c r="N2111" s="4"/>
    </row>
    <row r="2112" spans="1:14" ht="39" x14ac:dyDescent="0.3">
      <c r="A2112" s="1" t="str">
        <f>HYPERLINK("https://ipmanager.doe.gov/IPManager//ExternalLink.aspx?6ibkph2k9yi6F%2B0Vz7YoTvE8yjoHgvp6H1X7a%2FOd4yw%3D","Link")</f>
        <v>Link</v>
      </c>
      <c r="B2112" s="2" t="s">
        <v>6725</v>
      </c>
      <c r="C2112" s="2" t="s">
        <v>6726</v>
      </c>
      <c r="D2112" s="2" t="s">
        <v>4128</v>
      </c>
      <c r="E2112" s="2" t="s">
        <v>6727</v>
      </c>
      <c r="F2112" s="2"/>
      <c r="G2112" s="2" t="s">
        <v>9</v>
      </c>
      <c r="H2112" s="2"/>
      <c r="I2112" s="2" t="s">
        <v>9</v>
      </c>
      <c r="K2112" t="e">
        <v>#N/A</v>
      </c>
      <c r="L2112" s="2" t="s">
        <v>8789</v>
      </c>
      <c r="M2112" t="s">
        <v>8328</v>
      </c>
      <c r="N2112" s="4"/>
    </row>
    <row r="2113" spans="1:14" ht="26" x14ac:dyDescent="0.3">
      <c r="A2113" s="1" t="str">
        <f>HYPERLINK("https://ipmanager.doe.gov/IPManager//ExternalLink.aspx?6ibkph2k9yi6F%2B0Vz7YoTp68px7nSN2gIu9DYxTwl%2FE%3D","Link")</f>
        <v>Link</v>
      </c>
      <c r="B2113" s="2" t="s">
        <v>6731</v>
      </c>
      <c r="C2113" s="2" t="s">
        <v>6726</v>
      </c>
      <c r="D2113" s="2" t="s">
        <v>4128</v>
      </c>
      <c r="E2113" s="2" t="s">
        <v>6732</v>
      </c>
      <c r="F2113" s="2"/>
      <c r="G2113" s="2" t="s">
        <v>9</v>
      </c>
      <c r="H2113" s="2"/>
      <c r="I2113" s="2" t="s">
        <v>9</v>
      </c>
      <c r="K2113" t="e">
        <v>#N/A</v>
      </c>
      <c r="L2113" s="2" t="s">
        <v>8789</v>
      </c>
      <c r="M2113" t="s">
        <v>8328</v>
      </c>
      <c r="N2113" s="4"/>
    </row>
    <row r="2114" spans="1:14" ht="52" x14ac:dyDescent="0.3">
      <c r="A2114" s="1" t="str">
        <f>HYPERLINK("https://ipmanager.doe.gov/IPManager//ExternalLink.aspx?6ibkph2k9yi6F%2B0Vz7YoTsTAnuFk5EoAKQ4HWqnS89Q%3D","Link")</f>
        <v>Link</v>
      </c>
      <c r="B2114" s="2" t="s">
        <v>6733</v>
      </c>
      <c r="C2114" s="2" t="s">
        <v>6726</v>
      </c>
      <c r="D2114" s="2" t="s">
        <v>4128</v>
      </c>
      <c r="E2114" s="2" t="s">
        <v>6734</v>
      </c>
      <c r="F2114" s="2"/>
      <c r="G2114" s="2" t="s">
        <v>9</v>
      </c>
      <c r="H2114" s="2"/>
      <c r="I2114" s="2" t="s">
        <v>9</v>
      </c>
      <c r="K2114" t="e">
        <v>#N/A</v>
      </c>
      <c r="L2114" s="2" t="s">
        <v>8789</v>
      </c>
      <c r="M2114" t="s">
        <v>8328</v>
      </c>
      <c r="N2114" s="4"/>
    </row>
    <row r="2115" spans="1:14" ht="39" x14ac:dyDescent="0.3">
      <c r="A2115" s="1" t="str">
        <f>HYPERLINK("https://ipmanager.doe.gov/IPManager//ExternalLink.aspx?6ibkph2k9yi6F%2B0Vz7YoTsTAnuFk5EoAnAUPo6QL57Q%3D","Link")</f>
        <v>Link</v>
      </c>
      <c r="B2115" s="2" t="s">
        <v>6735</v>
      </c>
      <c r="C2115" s="2" t="s">
        <v>6726</v>
      </c>
      <c r="D2115" s="2" t="s">
        <v>4128</v>
      </c>
      <c r="E2115" s="2" t="s">
        <v>6736</v>
      </c>
      <c r="F2115" s="2"/>
      <c r="G2115" s="2" t="s">
        <v>9</v>
      </c>
      <c r="H2115" s="2"/>
      <c r="I2115" s="2" t="s">
        <v>9</v>
      </c>
      <c r="K2115" t="e">
        <v>#N/A</v>
      </c>
      <c r="L2115" s="2" t="s">
        <v>8789</v>
      </c>
      <c r="M2115" t="s">
        <v>8328</v>
      </c>
      <c r="N2115" s="4"/>
    </row>
    <row r="2116" spans="1:14" ht="65" x14ac:dyDescent="0.3">
      <c r="A2116" s="1" t="str">
        <f>HYPERLINK("https://ipmanager.doe.gov/IPManager//ExternalLink.aspx?6ibkph2k9yi6F%2B0Vz7YoTsTAnuFk5EoAJuzbk3KH5Uo%3D","Link")</f>
        <v>Link</v>
      </c>
      <c r="B2116" s="2" t="s">
        <v>6737</v>
      </c>
      <c r="C2116" s="2" t="s">
        <v>6726</v>
      </c>
      <c r="D2116" s="2" t="s">
        <v>4128</v>
      </c>
      <c r="E2116" s="2" t="s">
        <v>6738</v>
      </c>
      <c r="F2116" s="2"/>
      <c r="G2116" s="2" t="s">
        <v>9</v>
      </c>
      <c r="H2116" s="2"/>
      <c r="I2116" s="2" t="s">
        <v>9</v>
      </c>
      <c r="K2116" t="e">
        <v>#N/A</v>
      </c>
      <c r="L2116" s="2" t="s">
        <v>8789</v>
      </c>
      <c r="M2116" t="s">
        <v>8328</v>
      </c>
      <c r="N2116" s="4"/>
    </row>
    <row r="2117" spans="1:14" ht="39" x14ac:dyDescent="0.3">
      <c r="A2117" s="1" t="str">
        <f>HYPERLINK("https://ipmanager.doe.gov/IPManager//ExternalLink.aspx?6ibkph2k9yi6F%2B0Vz7YoTsTAnuFk5EoAIFLVJw3YbFQ%3D","Link")</f>
        <v>Link</v>
      </c>
      <c r="B2117" s="2" t="s">
        <v>6743</v>
      </c>
      <c r="C2117" s="2" t="s">
        <v>6726</v>
      </c>
      <c r="D2117" s="2" t="s">
        <v>4128</v>
      </c>
      <c r="E2117" s="2" t="s">
        <v>6744</v>
      </c>
      <c r="F2117" s="2"/>
      <c r="G2117" s="2" t="s">
        <v>9</v>
      </c>
      <c r="H2117" s="2"/>
      <c r="I2117" s="2" t="s">
        <v>9</v>
      </c>
      <c r="K2117" t="e">
        <v>#N/A</v>
      </c>
      <c r="L2117" s="2" t="s">
        <v>8789</v>
      </c>
      <c r="M2117" t="s">
        <v>8328</v>
      </c>
      <c r="N2117" s="4"/>
    </row>
    <row r="2118" spans="1:14" ht="65" x14ac:dyDescent="0.3">
      <c r="A2118" s="1" t="str">
        <f>HYPERLINK("https://ipmanager.doe.gov/IPManager//ExternalLink.aspx?6ibkph2k9yi6F%2B0Vz7YoTp68px7nSN2g6Qr%2B22J3E7g%3D","Link")</f>
        <v>Link</v>
      </c>
      <c r="B2118" s="2" t="s">
        <v>6747</v>
      </c>
      <c r="C2118" s="2" t="s">
        <v>6726</v>
      </c>
      <c r="D2118" s="2" t="s">
        <v>4128</v>
      </c>
      <c r="E2118" s="2" t="s">
        <v>6748</v>
      </c>
      <c r="F2118" s="2"/>
      <c r="G2118" s="2" t="s">
        <v>9</v>
      </c>
      <c r="H2118" s="2"/>
      <c r="I2118" s="2" t="s">
        <v>9</v>
      </c>
      <c r="K2118" t="e">
        <v>#N/A</v>
      </c>
      <c r="L2118" s="2" t="s">
        <v>8789</v>
      </c>
      <c r="M2118" t="s">
        <v>8328</v>
      </c>
      <c r="N2118" s="4"/>
    </row>
    <row r="2119" spans="1:14" ht="39" x14ac:dyDescent="0.3">
      <c r="A2119" s="1" t="str">
        <f>HYPERLINK("https://ipmanager.doe.gov/IPManager//ExternalLink.aspx?6ibkph2k9yi6F%2B0Vz7YoTsTAnuFk5EoAgiD2Zss51NA%3D","Link")</f>
        <v>Link</v>
      </c>
      <c r="B2119" s="2" t="s">
        <v>6751</v>
      </c>
      <c r="C2119" s="2" t="s">
        <v>6752</v>
      </c>
      <c r="D2119" s="2" t="s">
        <v>308</v>
      </c>
      <c r="E2119" s="2" t="s">
        <v>6753</v>
      </c>
      <c r="F2119" s="2" t="s">
        <v>6754</v>
      </c>
      <c r="G2119" s="2" t="s">
        <v>6755</v>
      </c>
      <c r="H2119" s="7"/>
      <c r="I2119" s="2" t="s">
        <v>9</v>
      </c>
      <c r="K2119" t="e">
        <v>#N/A</v>
      </c>
      <c r="L2119" s="2" t="s">
        <v>8790</v>
      </c>
      <c r="M2119" t="s">
        <v>8329</v>
      </c>
      <c r="N2119" s="4"/>
    </row>
    <row r="2120" spans="1:14" ht="39" x14ac:dyDescent="0.3">
      <c r="A2120" s="1" t="str">
        <f>HYPERLINK("https://ipmanager.doe.gov/IPManager//ExternalLink.aspx?6ibkph2k9yi6F%2B0Vz7YoTvE8yjoHgvp60FzmxEwHSZc%3D","Link")</f>
        <v>Link</v>
      </c>
      <c r="B2120" s="2" t="s">
        <v>6756</v>
      </c>
      <c r="C2120" s="2" t="s">
        <v>6752</v>
      </c>
      <c r="D2120" s="2" t="s">
        <v>308</v>
      </c>
      <c r="E2120" s="2" t="s">
        <v>6757</v>
      </c>
      <c r="F2120" s="2" t="s">
        <v>6758</v>
      </c>
      <c r="G2120" s="2" t="s">
        <v>2629</v>
      </c>
      <c r="H2120" s="7"/>
      <c r="I2120" s="2" t="s">
        <v>9</v>
      </c>
      <c r="K2120" t="e">
        <v>#N/A</v>
      </c>
      <c r="L2120" s="2" t="s">
        <v>8790</v>
      </c>
      <c r="M2120" t="s">
        <v>8329</v>
      </c>
      <c r="N2120" s="4"/>
    </row>
    <row r="2121" spans="1:14" ht="65" x14ac:dyDescent="0.3">
      <c r="A2121" s="1" t="str">
        <f>HYPERLINK("https://ipmanager.doe.gov/IPManager//ExternalLink.aspx?6ibkph2k9yi6F%2B0Vz7YoTvE8yjoHgvp6BLiVKn%2FocVo%3D","Link")</f>
        <v>Link</v>
      </c>
      <c r="B2121" s="2" t="s">
        <v>6759</v>
      </c>
      <c r="C2121" s="2" t="s">
        <v>6752</v>
      </c>
      <c r="D2121" s="2" t="s">
        <v>308</v>
      </c>
      <c r="E2121" s="2" t="s">
        <v>6760</v>
      </c>
      <c r="F2121" s="2" t="s">
        <v>6761</v>
      </c>
      <c r="G2121" s="2" t="s">
        <v>6427</v>
      </c>
      <c r="H2121" s="7"/>
      <c r="I2121" s="2" t="s">
        <v>9</v>
      </c>
      <c r="K2121" t="e">
        <v>#N/A</v>
      </c>
      <c r="L2121" s="2" t="s">
        <v>8790</v>
      </c>
      <c r="M2121" t="s">
        <v>8329</v>
      </c>
      <c r="N2121" s="4"/>
    </row>
    <row r="2122" spans="1:14" ht="52" x14ac:dyDescent="0.3">
      <c r="A2122" s="1" t="str">
        <f>HYPERLINK("https://ipmanager.doe.gov/IPManager//ExternalLink.aspx?6ibkph2k9yi6F%2B0Vz7YoTsTAnuFk5EoATlHSskj%2BriU%3D","Link")</f>
        <v>Link</v>
      </c>
      <c r="B2122" s="2" t="s">
        <v>6762</v>
      </c>
      <c r="C2122" s="2" t="s">
        <v>6763</v>
      </c>
      <c r="D2122" s="2" t="s">
        <v>3406</v>
      </c>
      <c r="E2122" s="2" t="s">
        <v>6764</v>
      </c>
      <c r="F2122" s="2" t="s">
        <v>6765</v>
      </c>
      <c r="G2122" s="2" t="s">
        <v>5256</v>
      </c>
      <c r="H2122" s="7"/>
      <c r="I2122" s="2" t="s">
        <v>9</v>
      </c>
      <c r="K2122" t="e">
        <v>#N/A</v>
      </c>
      <c r="L2122" s="2" t="s">
        <v>8536</v>
      </c>
      <c r="M2122" t="s">
        <v>8075</v>
      </c>
      <c r="N2122" s="4"/>
    </row>
    <row r="2123" spans="1:14" ht="52" x14ac:dyDescent="0.3">
      <c r="A2123" s="1" t="str">
        <f>HYPERLINK("https://ipmanager.doe.gov/IPManager//ExternalLink.aspx?6ibkph2k9yi6F%2B0Vz7YoTvPUg%2FVZPl3iFrrpRIOORCA%3D","Link")</f>
        <v>Link</v>
      </c>
      <c r="B2123" s="2" t="s">
        <v>6766</v>
      </c>
      <c r="C2123" s="2" t="s">
        <v>6763</v>
      </c>
      <c r="D2123" s="2" t="s">
        <v>3406</v>
      </c>
      <c r="E2123" s="2" t="s">
        <v>6764</v>
      </c>
      <c r="F2123" s="2" t="s">
        <v>6767</v>
      </c>
      <c r="G2123" s="2" t="s">
        <v>1329</v>
      </c>
      <c r="H2123" s="7"/>
      <c r="I2123" s="2" t="s">
        <v>9</v>
      </c>
      <c r="K2123" t="e">
        <v>#N/A</v>
      </c>
      <c r="L2123" s="2" t="s">
        <v>8536</v>
      </c>
      <c r="M2123" t="s">
        <v>8075</v>
      </c>
      <c r="N2123" s="4"/>
    </row>
    <row r="2124" spans="1:14" ht="65" x14ac:dyDescent="0.3">
      <c r="A2124" s="1" t="str">
        <f>HYPERLINK("https://ipmanager.doe.gov/IPManager//ExternalLink.aspx?6ibkph2k9yi6F%2B0Vz7YoTvPUg%2FVZPl3iLPuVadiRKi0%3D","Link")</f>
        <v>Link</v>
      </c>
      <c r="B2124" s="2" t="s">
        <v>6768</v>
      </c>
      <c r="C2124" s="2" t="s">
        <v>6769</v>
      </c>
      <c r="D2124" s="2" t="s">
        <v>3094</v>
      </c>
      <c r="E2124" s="2" t="s">
        <v>6770</v>
      </c>
      <c r="F2124" s="2"/>
      <c r="G2124" s="2" t="s">
        <v>9</v>
      </c>
      <c r="H2124" s="2"/>
      <c r="I2124" s="2" t="s">
        <v>9</v>
      </c>
      <c r="K2124" t="e">
        <v>#N/A</v>
      </c>
      <c r="L2124" s="2" t="s">
        <v>8791</v>
      </c>
      <c r="M2124" t="s">
        <v>8330</v>
      </c>
      <c r="N2124" s="4"/>
    </row>
    <row r="2125" spans="1:14" ht="65" x14ac:dyDescent="0.3">
      <c r="A2125" s="1" t="str">
        <f>HYPERLINK("https://ipmanager.doe.gov/IPManager//ExternalLink.aspx?6ibkph2k9yi6F%2B0Vz7YoTsTAnuFk5EoASqDPZ7SEHJo%3D","Link")</f>
        <v>Link</v>
      </c>
      <c r="B2125" s="2" t="s">
        <v>6771</v>
      </c>
      <c r="C2125" s="2" t="s">
        <v>6769</v>
      </c>
      <c r="D2125" s="2" t="s">
        <v>3094</v>
      </c>
      <c r="E2125" s="2" t="s">
        <v>6770</v>
      </c>
      <c r="F2125" s="2"/>
      <c r="G2125" s="2" t="s">
        <v>9</v>
      </c>
      <c r="H2125" s="2"/>
      <c r="I2125" s="2" t="s">
        <v>9</v>
      </c>
      <c r="K2125" t="e">
        <v>#N/A</v>
      </c>
      <c r="L2125" s="2" t="s">
        <v>8791</v>
      </c>
      <c r="M2125" t="s">
        <v>8330</v>
      </c>
      <c r="N2125" s="4"/>
    </row>
    <row r="2126" spans="1:14" ht="65" x14ac:dyDescent="0.3">
      <c r="A2126" s="1" t="str">
        <f>HYPERLINK("https://ipmanager.doe.gov/IPManager//ExternalLink.aspx?6ibkph2k9yi6F%2B0Vz7YoTsTAnuFk5EoApKvGVjT33Jc%3D","Link")</f>
        <v>Link</v>
      </c>
      <c r="B2126" s="2" t="s">
        <v>6772</v>
      </c>
      <c r="C2126" s="2" t="s">
        <v>6769</v>
      </c>
      <c r="D2126" s="2" t="s">
        <v>3094</v>
      </c>
      <c r="E2126" s="2" t="s">
        <v>6770</v>
      </c>
      <c r="F2126" s="2"/>
      <c r="G2126" s="2" t="s">
        <v>9</v>
      </c>
      <c r="H2126" s="2"/>
      <c r="I2126" s="2" t="s">
        <v>9</v>
      </c>
      <c r="K2126" t="e">
        <v>#N/A</v>
      </c>
      <c r="L2126" s="2" t="s">
        <v>8791</v>
      </c>
      <c r="M2126" t="s">
        <v>8330</v>
      </c>
      <c r="N2126" s="4"/>
    </row>
    <row r="2127" spans="1:14" ht="65" x14ac:dyDescent="0.3">
      <c r="A2127" s="1" t="str">
        <f>HYPERLINK("https://ipmanager.doe.gov/IPManager//ExternalLink.aspx?6ibkph2k9yi6F%2B0Vz7YoTsTAnuFk5EoALVYZx0rrf9s%3D","Link")</f>
        <v>Link</v>
      </c>
      <c r="B2127" s="2" t="s">
        <v>6773</v>
      </c>
      <c r="C2127" s="2" t="s">
        <v>6769</v>
      </c>
      <c r="D2127" s="2" t="s">
        <v>3094</v>
      </c>
      <c r="E2127" s="2" t="s">
        <v>6770</v>
      </c>
      <c r="F2127" s="2"/>
      <c r="G2127" s="2" t="s">
        <v>9</v>
      </c>
      <c r="H2127" s="2"/>
      <c r="I2127" s="2" t="s">
        <v>9</v>
      </c>
      <c r="K2127" t="e">
        <v>#N/A</v>
      </c>
      <c r="L2127" s="2" t="s">
        <v>8791</v>
      </c>
      <c r="M2127" t="s">
        <v>8330</v>
      </c>
      <c r="N2127" s="4"/>
    </row>
    <row r="2128" spans="1:14" ht="65" x14ac:dyDescent="0.3">
      <c r="A2128" s="1" t="str">
        <f>HYPERLINK("https://ipmanager.doe.gov/IPManager//ExternalLink.aspx?6ibkph2k9yi6F%2B0Vz7YoTsTAnuFk5EoAGIFD6mcziZ0%3D","Link")</f>
        <v>Link</v>
      </c>
      <c r="B2128" s="2" t="s">
        <v>6774</v>
      </c>
      <c r="C2128" s="2" t="s">
        <v>6769</v>
      </c>
      <c r="D2128" s="2" t="s">
        <v>3094</v>
      </c>
      <c r="E2128" s="2" t="s">
        <v>6770</v>
      </c>
      <c r="F2128" s="2"/>
      <c r="G2128" s="2" t="s">
        <v>9</v>
      </c>
      <c r="H2128" s="2"/>
      <c r="I2128" s="2" t="s">
        <v>9</v>
      </c>
      <c r="K2128" t="e">
        <v>#N/A</v>
      </c>
      <c r="L2128" s="2" t="s">
        <v>8791</v>
      </c>
      <c r="M2128" t="s">
        <v>8330</v>
      </c>
      <c r="N2128" s="4"/>
    </row>
    <row r="2129" spans="1:14" ht="52" x14ac:dyDescent="0.3">
      <c r="A2129" s="1" t="str">
        <f>HYPERLINK("https://ipmanager.doe.gov/IPManager//ExternalLink.aspx?6ibkph2k9yi6F%2B0Vz7YoTsTAnuFk5EoA79MIwhtCl6M%3D","Link")</f>
        <v>Link</v>
      </c>
      <c r="B2129" s="2" t="s">
        <v>6775</v>
      </c>
      <c r="C2129" s="2" t="s">
        <v>6776</v>
      </c>
      <c r="D2129" s="2" t="s">
        <v>3066</v>
      </c>
      <c r="E2129" s="2" t="s">
        <v>6777</v>
      </c>
      <c r="F2129" s="2" t="s">
        <v>6778</v>
      </c>
      <c r="G2129" s="2" t="s">
        <v>5081</v>
      </c>
      <c r="H2129" s="7"/>
      <c r="I2129" s="2" t="s">
        <v>9</v>
      </c>
      <c r="K2129" t="e">
        <v>#N/A</v>
      </c>
      <c r="L2129" s="2" t="s">
        <v>8792</v>
      </c>
      <c r="M2129" t="s">
        <v>8331</v>
      </c>
      <c r="N2129" s="4"/>
    </row>
    <row r="2130" spans="1:14" ht="52" x14ac:dyDescent="0.3">
      <c r="A2130" s="1" t="str">
        <f>HYPERLINK("https://ipmanager.doe.gov/IPManager//ExternalLink.aspx?6ibkph2k9yi6F%2B0Vz7YoTvPUg%2FVZPl3i1H7yP1cLqWk%3D","Link")</f>
        <v>Link</v>
      </c>
      <c r="B2130" s="2" t="s">
        <v>6779</v>
      </c>
      <c r="C2130" s="2" t="s">
        <v>6776</v>
      </c>
      <c r="D2130" s="2" t="s">
        <v>3066</v>
      </c>
      <c r="E2130" s="2" t="s">
        <v>6777</v>
      </c>
      <c r="F2130" s="2" t="s">
        <v>6780</v>
      </c>
      <c r="G2130" s="2" t="s">
        <v>5081</v>
      </c>
      <c r="H2130" s="7"/>
      <c r="I2130" s="2" t="s">
        <v>9</v>
      </c>
      <c r="J2130" t="s">
        <v>6780</v>
      </c>
      <c r="K2130" t="s">
        <v>7737</v>
      </c>
      <c r="L2130" s="2" t="s">
        <v>8792</v>
      </c>
      <c r="M2130" t="s">
        <v>8331</v>
      </c>
      <c r="N2130" s="4"/>
    </row>
    <row r="2131" spans="1:14" ht="65" x14ac:dyDescent="0.3">
      <c r="A2131" s="1" t="str">
        <f>HYPERLINK("https://ipmanager.doe.gov/IPManager//ExternalLink.aspx?6ibkph2k9yi6F%2B0Vz7YoTnXVN2REjGcWpw0dIDXDmB4%3D","Link")</f>
        <v>Link</v>
      </c>
      <c r="B2131" s="2" t="s">
        <v>6781</v>
      </c>
      <c r="C2131" s="2" t="s">
        <v>6782</v>
      </c>
      <c r="D2131" s="2" t="s">
        <v>5823</v>
      </c>
      <c r="E2131" s="2" t="s">
        <v>6783</v>
      </c>
      <c r="F2131" s="2"/>
      <c r="G2131" s="2" t="s">
        <v>9</v>
      </c>
      <c r="H2131" s="2"/>
      <c r="I2131" s="2" t="s">
        <v>9</v>
      </c>
      <c r="K2131" t="e">
        <v>#N/A</v>
      </c>
      <c r="L2131" s="2" t="s">
        <v>8793</v>
      </c>
      <c r="M2131" t="s">
        <v>8332</v>
      </c>
      <c r="N2131" s="4"/>
    </row>
    <row r="2132" spans="1:14" ht="26" x14ac:dyDescent="0.3">
      <c r="A2132" s="1" t="str">
        <f>HYPERLINK("https://ipmanager.doe.gov/IPManager//ExternalLink.aspx?6ibkph2k9yi6F%2B0Vz7YoTnXVN2REjGcWwl11NQbSOfI%3D","Link")</f>
        <v>Link</v>
      </c>
      <c r="B2132" s="2" t="s">
        <v>6784</v>
      </c>
      <c r="C2132" s="2" t="s">
        <v>6785</v>
      </c>
      <c r="D2132" s="2" t="s">
        <v>1891</v>
      </c>
      <c r="E2132" s="2" t="s">
        <v>6786</v>
      </c>
      <c r="F2132" s="2" t="s">
        <v>6787</v>
      </c>
      <c r="G2132" s="2" t="s">
        <v>5434</v>
      </c>
      <c r="H2132" s="7"/>
      <c r="I2132" s="2" t="s">
        <v>9</v>
      </c>
      <c r="K2132" t="e">
        <v>#N/A</v>
      </c>
      <c r="L2132" s="2" t="s">
        <v>8794</v>
      </c>
      <c r="M2132" t="s">
        <v>8333</v>
      </c>
      <c r="N2132" s="4"/>
    </row>
    <row r="2133" spans="1:14" ht="26" x14ac:dyDescent="0.3">
      <c r="A2133" s="1" t="str">
        <f>HYPERLINK("https://ipmanager.doe.gov/IPManager//ExternalLink.aspx?6ibkph2k9yi6F%2B0Vz7YoTnXVN2REjGcWyTb6J1kYPuw%3D","Link")</f>
        <v>Link</v>
      </c>
      <c r="B2133" s="2" t="s">
        <v>6788</v>
      </c>
      <c r="C2133" s="2" t="s">
        <v>6789</v>
      </c>
      <c r="D2133" s="2" t="s">
        <v>3059</v>
      </c>
      <c r="E2133" s="2" t="s">
        <v>6790</v>
      </c>
      <c r="F2133" s="2" t="s">
        <v>6791</v>
      </c>
      <c r="G2133" s="2" t="s">
        <v>6792</v>
      </c>
      <c r="H2133" s="2"/>
      <c r="I2133" s="2" t="s">
        <v>9</v>
      </c>
      <c r="K2133" t="e">
        <v>#N/A</v>
      </c>
      <c r="L2133" s="2" t="s">
        <v>8520</v>
      </c>
      <c r="M2133" t="s">
        <v>8334</v>
      </c>
      <c r="N2133" s="4"/>
    </row>
    <row r="2134" spans="1:14" ht="39" x14ac:dyDescent="0.3">
      <c r="A2134" s="1" t="str">
        <f>HYPERLINK("https://ipmanager.doe.gov/IPManager//ExternalLink.aspx?6ibkph2k9yi6F%2B0Vz7YoTsTAnuFk5EoAkCuxXU%2Feid4%3D","Link")</f>
        <v>Link</v>
      </c>
      <c r="B2134" s="2" t="s">
        <v>6793</v>
      </c>
      <c r="C2134" s="2" t="s">
        <v>6789</v>
      </c>
      <c r="D2134" s="2" t="s">
        <v>3059</v>
      </c>
      <c r="E2134" s="2" t="s">
        <v>6794</v>
      </c>
      <c r="F2134" s="2" t="s">
        <v>6795</v>
      </c>
      <c r="G2134" s="2" t="s">
        <v>6792</v>
      </c>
      <c r="H2134" s="2"/>
      <c r="I2134" s="2" t="s">
        <v>9</v>
      </c>
      <c r="K2134" t="e">
        <v>#N/A</v>
      </c>
      <c r="L2134" s="2" t="s">
        <v>8520</v>
      </c>
      <c r="M2134" t="s">
        <v>8334</v>
      </c>
      <c r="N2134" s="4"/>
    </row>
    <row r="2135" spans="1:14" ht="26" x14ac:dyDescent="0.3">
      <c r="A2135" s="1" t="str">
        <f>HYPERLINK("https://ipmanager.doe.gov/IPManager//ExternalLink.aspx?6ibkph2k9yi6F%2B0Vz7YoTsTAnuFk5EoAmSwocJ38YAM%3D","Link")</f>
        <v>Link</v>
      </c>
      <c r="B2135" s="2" t="s">
        <v>6796</v>
      </c>
      <c r="C2135" s="2" t="s">
        <v>6789</v>
      </c>
      <c r="D2135" s="2" t="s">
        <v>3059</v>
      </c>
      <c r="E2135" s="2" t="s">
        <v>6790</v>
      </c>
      <c r="F2135" s="2" t="s">
        <v>6797</v>
      </c>
      <c r="G2135" s="2" t="s">
        <v>6792</v>
      </c>
      <c r="H2135" s="2"/>
      <c r="I2135" s="2" t="s">
        <v>9</v>
      </c>
      <c r="K2135" t="e">
        <v>#N/A</v>
      </c>
      <c r="L2135" s="2" t="s">
        <v>8520</v>
      </c>
      <c r="M2135" t="s">
        <v>8334</v>
      </c>
      <c r="N2135" s="4"/>
    </row>
    <row r="2136" spans="1:14" ht="65" x14ac:dyDescent="0.3">
      <c r="A2136" s="1" t="str">
        <f>HYPERLINK("https://ipmanager.doe.gov/IPManager//ExternalLink.aspx?6ibkph2k9yi6F%2B0Vz7YoThEBhkR3uHVr7n8zzpp0akI%3D","Link")</f>
        <v>Link</v>
      </c>
      <c r="B2136" s="2" t="s">
        <v>6812</v>
      </c>
      <c r="C2136" s="2" t="s">
        <v>6799</v>
      </c>
      <c r="D2136" s="2" t="s">
        <v>3583</v>
      </c>
      <c r="E2136" s="2" t="s">
        <v>6813</v>
      </c>
      <c r="F2136" s="2"/>
      <c r="G2136" s="2" t="s">
        <v>9</v>
      </c>
      <c r="H2136" s="2"/>
      <c r="I2136" s="2" t="s">
        <v>9</v>
      </c>
      <c r="K2136" t="e">
        <v>#N/A</v>
      </c>
      <c r="L2136" s="2" t="s">
        <v>8795</v>
      </c>
      <c r="M2136" t="s">
        <v>8335</v>
      </c>
      <c r="N2136" s="4"/>
    </row>
    <row r="2137" spans="1:14" ht="26" x14ac:dyDescent="0.3">
      <c r="A2137" s="1" t="str">
        <f>HYPERLINK("https://ipmanager.doe.gov/IPManager//ExternalLink.aspx?6ibkph2k9yi6F%2B0Vz7YoTp68px7nSN2ggoHnS7KgVMU%3D","Link")</f>
        <v>Link</v>
      </c>
      <c r="B2137" s="2" t="s">
        <v>6814</v>
      </c>
      <c r="C2137" s="2" t="s">
        <v>6799</v>
      </c>
      <c r="D2137" s="2" t="s">
        <v>3583</v>
      </c>
      <c r="E2137" s="2" t="s">
        <v>6815</v>
      </c>
      <c r="F2137" s="2"/>
      <c r="G2137" s="2" t="s">
        <v>9</v>
      </c>
      <c r="H2137" s="2"/>
      <c r="I2137" s="2" t="s">
        <v>9</v>
      </c>
      <c r="K2137" t="e">
        <v>#N/A</v>
      </c>
      <c r="L2137" s="2" t="s">
        <v>8795</v>
      </c>
      <c r="M2137" t="s">
        <v>8335</v>
      </c>
      <c r="N2137" s="4"/>
    </row>
    <row r="2138" spans="1:14" ht="52" x14ac:dyDescent="0.3">
      <c r="A2138" s="1" t="str">
        <f>HYPERLINK("https://ipmanager.doe.gov/IPManager//ExternalLink.aspx?6ibkph2k9yi6F%2B0Vz7YoTkqAgjuWMa9QVSoFscW5FLI%3D","Link")</f>
        <v>Link</v>
      </c>
      <c r="B2138" s="2" t="s">
        <v>6798</v>
      </c>
      <c r="C2138" s="2" t="s">
        <v>6799</v>
      </c>
      <c r="D2138" s="2" t="s">
        <v>3583</v>
      </c>
      <c r="E2138" s="2" t="s">
        <v>6800</v>
      </c>
      <c r="F2138" s="2" t="s">
        <v>6801</v>
      </c>
      <c r="G2138" s="2" t="s">
        <v>6586</v>
      </c>
      <c r="H2138" s="2"/>
      <c r="I2138" s="2" t="s">
        <v>9</v>
      </c>
      <c r="K2138" t="e">
        <v>#N/A</v>
      </c>
      <c r="L2138" s="2" t="s">
        <v>8795</v>
      </c>
      <c r="M2138" t="s">
        <v>8335</v>
      </c>
      <c r="N2138" s="4"/>
    </row>
    <row r="2139" spans="1:14" ht="52" x14ac:dyDescent="0.3">
      <c r="A2139" s="1" t="str">
        <f>HYPERLINK("https://ipmanager.doe.gov/IPManager//ExternalLink.aspx?6ibkph2k9yi6F%2B0Vz7YoTkqAgjuWMa9QHSgK5DxqvKg%3D","Link")</f>
        <v>Link</v>
      </c>
      <c r="B2139" s="2" t="s">
        <v>6803</v>
      </c>
      <c r="C2139" s="2" t="s">
        <v>6799</v>
      </c>
      <c r="D2139" s="2" t="s">
        <v>3583</v>
      </c>
      <c r="E2139" s="2" t="s">
        <v>6800</v>
      </c>
      <c r="F2139" s="2" t="s">
        <v>6802</v>
      </c>
      <c r="G2139" s="2" t="s">
        <v>6804</v>
      </c>
      <c r="H2139" s="2"/>
      <c r="I2139" s="2" t="s">
        <v>9</v>
      </c>
      <c r="K2139" t="e">
        <v>#N/A</v>
      </c>
      <c r="L2139" s="2" t="s">
        <v>8795</v>
      </c>
      <c r="M2139" t="s">
        <v>8335</v>
      </c>
      <c r="N2139" s="4"/>
    </row>
    <row r="2140" spans="1:14" ht="39" x14ac:dyDescent="0.3">
      <c r="A2140" s="1" t="str">
        <f>HYPERLINK("https://ipmanager.doe.gov/IPManager//ExternalLink.aspx?6ibkph2k9yi6F%2B0Vz7YoTp68px7nSN2gL8nRF5KVjOc%3D","Link")</f>
        <v>Link</v>
      </c>
      <c r="B2140" s="2" t="s">
        <v>6805</v>
      </c>
      <c r="C2140" s="2" t="s">
        <v>6799</v>
      </c>
      <c r="D2140" s="2" t="s">
        <v>3583</v>
      </c>
      <c r="E2140" s="2" t="s">
        <v>6806</v>
      </c>
      <c r="F2140" s="2" t="s">
        <v>6807</v>
      </c>
      <c r="G2140" s="2" t="s">
        <v>4594</v>
      </c>
      <c r="H2140" s="2"/>
      <c r="I2140" s="2" t="s">
        <v>9</v>
      </c>
      <c r="K2140" t="e">
        <v>#N/A</v>
      </c>
      <c r="L2140" s="2" t="s">
        <v>8795</v>
      </c>
      <c r="M2140" t="s">
        <v>8335</v>
      </c>
      <c r="N2140" s="4"/>
    </row>
    <row r="2141" spans="1:14" ht="65" x14ac:dyDescent="0.3">
      <c r="A2141" s="1" t="str">
        <f>HYPERLINK("https://ipmanager.doe.gov/IPManager//ExternalLink.aspx?6ibkph2k9yi6F%2B0Vz7YoTp68px7nSN2guY87Gkjavu4%3D","Link")</f>
        <v>Link</v>
      </c>
      <c r="B2141" s="2" t="s">
        <v>6808</v>
      </c>
      <c r="C2141" s="2" t="s">
        <v>6799</v>
      </c>
      <c r="D2141" s="2" t="s">
        <v>3583</v>
      </c>
      <c r="E2141" s="2" t="s">
        <v>6809</v>
      </c>
      <c r="F2141" s="2" t="s">
        <v>6810</v>
      </c>
      <c r="G2141" s="2" t="s">
        <v>6811</v>
      </c>
      <c r="H2141" s="2"/>
      <c r="I2141" s="2" t="s">
        <v>9</v>
      </c>
      <c r="K2141" t="e">
        <v>#N/A</v>
      </c>
      <c r="L2141" s="2" t="s">
        <v>8795</v>
      </c>
      <c r="M2141" t="s">
        <v>8335</v>
      </c>
      <c r="N2141" s="4"/>
    </row>
    <row r="2142" spans="1:14" ht="26" x14ac:dyDescent="0.3">
      <c r="A2142" s="1" t="str">
        <f>HYPERLINK("https://ipmanager.doe.gov/IPManager//ExternalLink.aspx?6ibkph2k9yi6F%2B0Vz7YoTsTAnuFk5EoAxfTgTgYPeyQ%3D","Link")</f>
        <v>Link</v>
      </c>
      <c r="B2142" s="2" t="s">
        <v>6850</v>
      </c>
      <c r="C2142" s="2" t="s">
        <v>6818</v>
      </c>
      <c r="D2142" s="2" t="s">
        <v>308</v>
      </c>
      <c r="E2142" s="2" t="s">
        <v>6851</v>
      </c>
      <c r="F2142" s="2" t="s">
        <v>6852</v>
      </c>
      <c r="G2142" s="2" t="s">
        <v>6853</v>
      </c>
      <c r="H2142" s="7"/>
      <c r="I2142" s="2" t="s">
        <v>9</v>
      </c>
      <c r="K2142" t="e">
        <v>#N/A</v>
      </c>
      <c r="L2142" s="2" t="s">
        <v>8796</v>
      </c>
      <c r="M2142" t="s">
        <v>8336</v>
      </c>
      <c r="N2142" s="4"/>
    </row>
    <row r="2143" spans="1:14" ht="26" x14ac:dyDescent="0.3">
      <c r="A2143" s="1" t="str">
        <f>HYPERLINK("https://ipmanager.doe.gov/IPManager//ExternalLink.aspx?6ibkph2k9yi6F%2B0Vz7YoTvE8yjoHgvp6NZGwXRO41Mk%3D","Link")</f>
        <v>Link</v>
      </c>
      <c r="B2143" s="2" t="s">
        <v>6854</v>
      </c>
      <c r="C2143" s="2" t="s">
        <v>6818</v>
      </c>
      <c r="D2143" s="2" t="s">
        <v>308</v>
      </c>
      <c r="E2143" s="2" t="s">
        <v>6851</v>
      </c>
      <c r="F2143" s="2" t="s">
        <v>6855</v>
      </c>
      <c r="G2143" s="2" t="s">
        <v>4792</v>
      </c>
      <c r="H2143" s="7"/>
      <c r="I2143" s="2" t="s">
        <v>9</v>
      </c>
      <c r="K2143" t="e">
        <v>#N/A</v>
      </c>
      <c r="L2143" s="2" t="s">
        <v>8796</v>
      </c>
      <c r="M2143" t="s">
        <v>8336</v>
      </c>
      <c r="N2143" s="4"/>
    </row>
    <row r="2144" spans="1:14" ht="26" x14ac:dyDescent="0.3">
      <c r="A2144" s="1" t="str">
        <f>HYPERLINK("https://ipmanager.doe.gov/IPManager//ExternalLink.aspx?6ibkph2k9yi6F%2B0Vz7YoTvE8yjoHgvp6osv2gMd%2Bxqk%3D","Link")</f>
        <v>Link</v>
      </c>
      <c r="B2144" s="2" t="s">
        <v>6856</v>
      </c>
      <c r="C2144" s="2" t="s">
        <v>6818</v>
      </c>
      <c r="D2144" s="2" t="s">
        <v>308</v>
      </c>
      <c r="E2144" s="2" t="s">
        <v>6851</v>
      </c>
      <c r="F2144" s="2" t="s">
        <v>6857</v>
      </c>
      <c r="G2144" s="2" t="s">
        <v>6169</v>
      </c>
      <c r="H2144" s="7"/>
      <c r="I2144" s="2" t="s">
        <v>9</v>
      </c>
      <c r="J2144" t="s">
        <v>6857</v>
      </c>
      <c r="K2144" t="s">
        <v>7970</v>
      </c>
      <c r="L2144" s="2" t="s">
        <v>8796</v>
      </c>
      <c r="M2144" t="s">
        <v>8336</v>
      </c>
      <c r="N2144" s="4"/>
    </row>
    <row r="2145" spans="1:14" ht="39" x14ac:dyDescent="0.3">
      <c r="A2145" s="1" t="str">
        <f>HYPERLINK("https://ipmanager.doe.gov/IPManager//ExternalLink.aspx?6ibkph2k9yi6F%2B0Vz7YoTp68px7nSN2gXHq4xNbKA20%3D","Link")</f>
        <v>Link</v>
      </c>
      <c r="B2145" s="2" t="s">
        <v>6817</v>
      </c>
      <c r="C2145" s="2" t="s">
        <v>6818</v>
      </c>
      <c r="D2145" s="2" t="s">
        <v>2957</v>
      </c>
      <c r="E2145" s="2" t="s">
        <v>6819</v>
      </c>
      <c r="F2145" s="2" t="s">
        <v>6820</v>
      </c>
      <c r="G2145" s="2" t="s">
        <v>4733</v>
      </c>
      <c r="H2145" s="7"/>
      <c r="I2145" s="2" t="s">
        <v>9</v>
      </c>
      <c r="K2145" t="e">
        <v>#N/A</v>
      </c>
      <c r="L2145" s="2" t="s">
        <v>8796</v>
      </c>
      <c r="M2145" t="s">
        <v>8336</v>
      </c>
      <c r="N2145" s="4"/>
    </row>
    <row r="2146" spans="1:14" ht="52" x14ac:dyDescent="0.3">
      <c r="A2146" s="1" t="str">
        <f>HYPERLINK("https://ipmanager.doe.gov/IPManager//ExternalLink.aspx?6ibkph2k9yi6F%2B0Vz7YoTp68px7nSN2gd5VOVyAMmNo%3D","Link")</f>
        <v>Link</v>
      </c>
      <c r="B2146" s="2" t="s">
        <v>6822</v>
      </c>
      <c r="C2146" s="2" t="s">
        <v>6818</v>
      </c>
      <c r="D2146" s="2" t="s">
        <v>2957</v>
      </c>
      <c r="E2146" s="2" t="s">
        <v>6823</v>
      </c>
      <c r="F2146" s="2" t="s">
        <v>6824</v>
      </c>
      <c r="G2146" s="2" t="s">
        <v>4733</v>
      </c>
      <c r="H2146" s="7"/>
      <c r="I2146" s="2" t="s">
        <v>9</v>
      </c>
      <c r="K2146" t="e">
        <v>#N/A</v>
      </c>
      <c r="L2146" s="2" t="s">
        <v>8796</v>
      </c>
      <c r="M2146" t="s">
        <v>8336</v>
      </c>
      <c r="N2146" s="4"/>
    </row>
    <row r="2147" spans="1:14" ht="39" x14ac:dyDescent="0.3">
      <c r="A2147" s="1" t="str">
        <f>HYPERLINK("https://ipmanager.doe.gov/IPManager//ExternalLink.aspx?6ibkph2k9yi6F%2B0Vz7YoTvPUg%2FVZPl3iEFKvxTtWwYo%3D","Link")</f>
        <v>Link</v>
      </c>
      <c r="B2147" s="2" t="s">
        <v>6834</v>
      </c>
      <c r="C2147" s="2" t="s">
        <v>6818</v>
      </c>
      <c r="D2147" s="2" t="s">
        <v>2957</v>
      </c>
      <c r="E2147" s="2" t="s">
        <v>6835</v>
      </c>
      <c r="F2147" s="2" t="s">
        <v>6836</v>
      </c>
      <c r="G2147" s="2" t="s">
        <v>1830</v>
      </c>
      <c r="H2147" s="7"/>
      <c r="I2147" s="2" t="s">
        <v>9</v>
      </c>
      <c r="K2147" t="e">
        <v>#N/A</v>
      </c>
      <c r="L2147" s="2" t="s">
        <v>8796</v>
      </c>
      <c r="M2147" t="s">
        <v>8336</v>
      </c>
      <c r="N2147" s="4"/>
    </row>
    <row r="2148" spans="1:14" ht="39" x14ac:dyDescent="0.3">
      <c r="A2148" s="1" t="str">
        <f>HYPERLINK("https://ipmanager.doe.gov/IPManager//ExternalLink.aspx?6ibkph2k9yi6F%2B0Vz7YoTvE8yjoHgvp6CxQvu40Ia68%3D","Link")</f>
        <v>Link</v>
      </c>
      <c r="B2148" s="2" t="s">
        <v>6837</v>
      </c>
      <c r="C2148" s="2" t="s">
        <v>6818</v>
      </c>
      <c r="D2148" s="2" t="s">
        <v>2957</v>
      </c>
      <c r="E2148" s="2" t="s">
        <v>6835</v>
      </c>
      <c r="F2148" s="2" t="s">
        <v>6838</v>
      </c>
      <c r="G2148" s="2" t="s">
        <v>6821</v>
      </c>
      <c r="H2148" s="7"/>
      <c r="I2148" s="2" t="s">
        <v>9</v>
      </c>
      <c r="K2148" t="e">
        <v>#N/A</v>
      </c>
      <c r="L2148" s="2" t="s">
        <v>8796</v>
      </c>
      <c r="M2148" t="s">
        <v>8336</v>
      </c>
      <c r="N2148" s="4"/>
    </row>
    <row r="2149" spans="1:14" ht="39" x14ac:dyDescent="0.3">
      <c r="A2149" s="1" t="str">
        <f>HYPERLINK("https://ipmanager.doe.gov/IPManager//ExternalLink.aspx?6ibkph2k9yi6F%2B0Vz7YoTvE8yjoHgvp6Z%2FJIHy12ilw%3D","Link")</f>
        <v>Link</v>
      </c>
      <c r="B2149" s="2" t="s">
        <v>6839</v>
      </c>
      <c r="C2149" s="2" t="s">
        <v>6818</v>
      </c>
      <c r="D2149" s="2" t="s">
        <v>2957</v>
      </c>
      <c r="E2149" s="2" t="s">
        <v>6835</v>
      </c>
      <c r="F2149" s="2" t="s">
        <v>7664</v>
      </c>
      <c r="G2149" s="2" t="s">
        <v>6542</v>
      </c>
      <c r="H2149" s="7"/>
      <c r="I2149" s="2" t="s">
        <v>9</v>
      </c>
      <c r="J2149" t="s">
        <v>7664</v>
      </c>
      <c r="K2149" t="s">
        <v>7772</v>
      </c>
      <c r="L2149" s="2" t="s">
        <v>8796</v>
      </c>
      <c r="M2149" t="s">
        <v>8336</v>
      </c>
      <c r="N2149" s="4"/>
    </row>
    <row r="2150" spans="1:14" ht="52" x14ac:dyDescent="0.3">
      <c r="A2150" s="1" t="str">
        <f>HYPERLINK("https://ipmanager.doe.gov/IPManager//ExternalLink.aspx?6ibkph2k9yi6F%2B0Vz7YoTu0g4zH%2BOsvyimc0kbLJh9M%3D","Link")</f>
        <v>Link</v>
      </c>
      <c r="B2150" s="2" t="s">
        <v>6843</v>
      </c>
      <c r="C2150" s="2" t="s">
        <v>6818</v>
      </c>
      <c r="D2150" s="2" t="s">
        <v>2957</v>
      </c>
      <c r="E2150" s="2" t="s">
        <v>6844</v>
      </c>
      <c r="F2150" s="2" t="s">
        <v>6845</v>
      </c>
      <c r="G2150" s="2" t="s">
        <v>6846</v>
      </c>
      <c r="H2150" s="7"/>
      <c r="I2150" s="2" t="s">
        <v>9</v>
      </c>
      <c r="J2150" t="s">
        <v>6845</v>
      </c>
      <c r="K2150" t="s">
        <v>7773</v>
      </c>
      <c r="L2150" s="2" t="s">
        <v>8796</v>
      </c>
      <c r="M2150" t="s">
        <v>8336</v>
      </c>
      <c r="N2150" s="4"/>
    </row>
    <row r="2151" spans="1:14" ht="52" x14ac:dyDescent="0.3">
      <c r="A2151" s="1" t="str">
        <f>HYPERLINK("https://ipmanager.doe.gov/IPManager//ExternalLink.aspx?6ibkph2k9yi6F%2B0Vz7YoTvE8yjoHgvp6xiYnG0iTpsU%3D","Link")</f>
        <v>Link</v>
      </c>
      <c r="B2151" s="2" t="s">
        <v>6858</v>
      </c>
      <c r="C2151" s="2" t="s">
        <v>6818</v>
      </c>
      <c r="D2151" s="2" t="s">
        <v>2957</v>
      </c>
      <c r="E2151" s="2" t="s">
        <v>6844</v>
      </c>
      <c r="F2151" s="2" t="s">
        <v>6847</v>
      </c>
      <c r="G2151" s="2" t="s">
        <v>4741</v>
      </c>
      <c r="H2151" s="7"/>
      <c r="I2151" s="2" t="s">
        <v>9</v>
      </c>
      <c r="K2151" t="e">
        <v>#N/A</v>
      </c>
      <c r="L2151" s="2" t="s">
        <v>8796</v>
      </c>
      <c r="M2151" t="s">
        <v>8336</v>
      </c>
      <c r="N2151" s="4"/>
    </row>
    <row r="2152" spans="1:14" ht="39" x14ac:dyDescent="0.3">
      <c r="A2152" s="1" t="str">
        <f>HYPERLINK("https://ipmanager.doe.gov/IPManager//ExternalLink.aspx?6ibkph2k9yi6F%2B0Vz7YoTp68px7nSN2gjj6sto%2FqUVk%3D","Link")</f>
        <v>Link</v>
      </c>
      <c r="B2152" s="2" t="s">
        <v>6825</v>
      </c>
      <c r="C2152" s="2" t="s">
        <v>6818</v>
      </c>
      <c r="D2152" s="2" t="s">
        <v>2957</v>
      </c>
      <c r="E2152" s="2" t="s">
        <v>6826</v>
      </c>
      <c r="F2152" s="2" t="s">
        <v>6827</v>
      </c>
      <c r="G2152" s="2" t="s">
        <v>734</v>
      </c>
      <c r="H2152" s="6" t="s">
        <v>6828</v>
      </c>
      <c r="I2152" s="2" t="s">
        <v>6829</v>
      </c>
      <c r="K2152" t="e">
        <v>#N/A</v>
      </c>
      <c r="L2152" s="2" t="s">
        <v>8796</v>
      </c>
      <c r="M2152" t="s">
        <v>8336</v>
      </c>
    </row>
    <row r="2153" spans="1:14" ht="65" x14ac:dyDescent="0.3">
      <c r="A2153" s="1" t="str">
        <f>HYPERLINK("https://ipmanager.doe.gov/IPManager//ExternalLink.aspx?6ibkph2k9yi6F%2B0Vz7YoTo7DPLa3%2F%2FGgSnSVwQsaIEA%3D","Link")</f>
        <v>Link</v>
      </c>
      <c r="B2153" s="2" t="s">
        <v>6830</v>
      </c>
      <c r="C2153" s="2" t="s">
        <v>6818</v>
      </c>
      <c r="D2153" s="2" t="s">
        <v>2957</v>
      </c>
      <c r="E2153" s="2" t="s">
        <v>6831</v>
      </c>
      <c r="F2153" s="2"/>
      <c r="G2153" s="2" t="s">
        <v>9</v>
      </c>
      <c r="H2153" s="2"/>
      <c r="I2153" s="2" t="s">
        <v>9</v>
      </c>
      <c r="K2153" t="e">
        <v>#N/A</v>
      </c>
      <c r="L2153" s="2" t="s">
        <v>8796</v>
      </c>
      <c r="M2153" t="s">
        <v>8336</v>
      </c>
      <c r="N2153" s="4"/>
    </row>
    <row r="2154" spans="1:14" ht="39" x14ac:dyDescent="0.3">
      <c r="A2154" s="1" t="str">
        <f>HYPERLINK("https://ipmanager.doe.gov/IPManager//ExternalLink.aspx?6ibkph2k9yi6F%2B0Vz7YoTo7DPLa3%2F%2FGg2bVFqGDP9t8%3D","Link")</f>
        <v>Link</v>
      </c>
      <c r="B2154" s="2" t="s">
        <v>6832</v>
      </c>
      <c r="C2154" s="2" t="s">
        <v>6818</v>
      </c>
      <c r="D2154" s="2" t="s">
        <v>2957</v>
      </c>
      <c r="E2154" s="2" t="s">
        <v>6826</v>
      </c>
      <c r="F2154" s="2" t="s">
        <v>6833</v>
      </c>
      <c r="G2154" s="2" t="s">
        <v>6609</v>
      </c>
      <c r="H2154" s="6">
        <v>9702596</v>
      </c>
      <c r="I2154" s="2" t="s">
        <v>6829</v>
      </c>
      <c r="J2154" t="s">
        <v>6833</v>
      </c>
      <c r="K2154" t="s">
        <v>7679</v>
      </c>
      <c r="L2154" s="2" t="s">
        <v>8796</v>
      </c>
      <c r="M2154" t="s">
        <v>8336</v>
      </c>
    </row>
    <row r="2155" spans="1:14" ht="39" x14ac:dyDescent="0.3">
      <c r="A2155" s="1" t="str">
        <f>HYPERLINK("https://ipmanager.doe.gov/IPManager//ExternalLink.aspx?6ibkph2k9yi6F%2B0Vz7YoTvE8yjoHgvp6cJFIvOxAvjk%3D","Link")</f>
        <v>Link</v>
      </c>
      <c r="B2155" s="2" t="s">
        <v>6841</v>
      </c>
      <c r="C2155" s="2" t="s">
        <v>6818</v>
      </c>
      <c r="D2155" s="2" t="s">
        <v>308</v>
      </c>
      <c r="E2155" s="2" t="s">
        <v>6842</v>
      </c>
      <c r="F2155" s="2"/>
      <c r="G2155" s="2" t="s">
        <v>9</v>
      </c>
      <c r="H2155" s="2"/>
      <c r="I2155" s="2" t="s">
        <v>9</v>
      </c>
      <c r="K2155" t="e">
        <v>#N/A</v>
      </c>
      <c r="L2155" s="2" t="s">
        <v>8796</v>
      </c>
      <c r="M2155" t="s">
        <v>8336</v>
      </c>
      <c r="N2155" s="4"/>
    </row>
    <row r="2156" spans="1:14" ht="65" x14ac:dyDescent="0.3">
      <c r="A2156" s="1" t="str">
        <f>HYPERLINK("https://ipmanager.doe.gov/IPManager//ExternalLink.aspx?6ibkph2k9yi6F%2B0Vz7YoTvE8yjoHgvp6uiwLhwdSyr0%3D","Link")</f>
        <v>Link</v>
      </c>
      <c r="B2156" s="2" t="s">
        <v>6848</v>
      </c>
      <c r="C2156" s="2" t="s">
        <v>6818</v>
      </c>
      <c r="D2156" s="2" t="s">
        <v>2957</v>
      </c>
      <c r="E2156" s="2" t="s">
        <v>6849</v>
      </c>
      <c r="F2156" s="2"/>
      <c r="G2156" s="2" t="s">
        <v>9</v>
      </c>
      <c r="H2156" s="2"/>
      <c r="I2156" s="2" t="s">
        <v>9</v>
      </c>
      <c r="K2156" t="e">
        <v>#N/A</v>
      </c>
      <c r="L2156" s="2" t="s">
        <v>8796</v>
      </c>
      <c r="M2156" t="s">
        <v>8336</v>
      </c>
      <c r="N2156" s="4"/>
    </row>
    <row r="2157" spans="1:14" ht="52" x14ac:dyDescent="0.3">
      <c r="A2157" s="1" t="str">
        <f>HYPERLINK("https://ipmanager.doe.gov/IPManager//ExternalLink.aspx?6ibkph2k9yi6F%2B0Vz7YoTo7DPLa3%2F%2FGgmTxlaHOrOAw%3D","Link")</f>
        <v>Link</v>
      </c>
      <c r="B2157" s="2" t="s">
        <v>6859</v>
      </c>
      <c r="C2157" s="2" t="s">
        <v>6860</v>
      </c>
      <c r="D2157" s="2" t="s">
        <v>95</v>
      </c>
      <c r="E2157" s="2" t="s">
        <v>6861</v>
      </c>
      <c r="F2157" s="2" t="s">
        <v>6862</v>
      </c>
      <c r="G2157" s="2" t="s">
        <v>6863</v>
      </c>
      <c r="H2157" s="7"/>
      <c r="I2157" s="2" t="s">
        <v>9</v>
      </c>
      <c r="J2157" t="s">
        <v>6862</v>
      </c>
      <c r="K2157" t="s">
        <v>7752</v>
      </c>
      <c r="L2157" s="2" t="s">
        <v>8621</v>
      </c>
      <c r="M2157" t="s">
        <v>7981</v>
      </c>
      <c r="N2157" s="4"/>
    </row>
    <row r="2158" spans="1:14" ht="26" x14ac:dyDescent="0.3">
      <c r="A2158" s="1" t="str">
        <f>HYPERLINK("https://ipmanager.doe.gov/IPManager//ExternalLink.aspx?6ibkph2k9yi6F%2B0Vz7YoTkqAgjuWMa9Q5vzSAzuEEOA%3D","Link")</f>
        <v>Link</v>
      </c>
      <c r="B2158" s="2" t="s">
        <v>6864</v>
      </c>
      <c r="C2158" s="2" t="s">
        <v>6860</v>
      </c>
      <c r="D2158" s="2" t="s">
        <v>95</v>
      </c>
      <c r="E2158" s="2" t="s">
        <v>6865</v>
      </c>
      <c r="F2158" s="2" t="s">
        <v>6866</v>
      </c>
      <c r="G2158" s="2" t="s">
        <v>6867</v>
      </c>
      <c r="H2158" s="7"/>
      <c r="I2158" s="2" t="s">
        <v>9</v>
      </c>
      <c r="K2158" t="e">
        <v>#N/A</v>
      </c>
      <c r="L2158" s="2" t="s">
        <v>8621</v>
      </c>
      <c r="M2158" t="s">
        <v>7981</v>
      </c>
      <c r="N2158" s="4"/>
    </row>
    <row r="2159" spans="1:14" ht="26" x14ac:dyDescent="0.3">
      <c r="A2159" s="1" t="str">
        <f>HYPERLINK("https://ipmanager.doe.gov/IPManager//ExternalLink.aspx?6ibkph2k9yi6F%2B0Vz7YoTkqAgjuWMa9Q%2BK8xft23h8o%3D","Link")</f>
        <v>Link</v>
      </c>
      <c r="B2159" s="2" t="s">
        <v>6868</v>
      </c>
      <c r="C2159" s="2" t="s">
        <v>6860</v>
      </c>
      <c r="D2159" s="2" t="s">
        <v>95</v>
      </c>
      <c r="E2159" s="2" t="s">
        <v>6865</v>
      </c>
      <c r="F2159" s="2"/>
      <c r="G2159" s="2" t="s">
        <v>9</v>
      </c>
      <c r="H2159" s="2"/>
      <c r="I2159" s="2" t="s">
        <v>9</v>
      </c>
      <c r="K2159" t="e">
        <v>#N/A</v>
      </c>
      <c r="L2159" s="2" t="s">
        <v>8621</v>
      </c>
      <c r="M2159" t="s">
        <v>7981</v>
      </c>
      <c r="N2159" s="4"/>
    </row>
    <row r="2160" spans="1:14" ht="39" x14ac:dyDescent="0.3">
      <c r="A2160" s="1" t="str">
        <f>HYPERLINK("https://ipmanager.doe.gov/IPManager//ExternalLink.aspx?6ibkph2k9yi6F%2B0Vz7YoTkqAgjuWMa9QBU%2FZPgb0jjk%3D","Link")</f>
        <v>Link</v>
      </c>
      <c r="B2160" s="2" t="s">
        <v>6869</v>
      </c>
      <c r="C2160" s="2" t="s">
        <v>6870</v>
      </c>
      <c r="D2160" s="2" t="s">
        <v>909</v>
      </c>
      <c r="E2160" s="2" t="s">
        <v>6871</v>
      </c>
      <c r="F2160" s="2" t="s">
        <v>6872</v>
      </c>
      <c r="G2160" s="2" t="s">
        <v>6571</v>
      </c>
      <c r="H2160" s="7"/>
      <c r="I2160" s="2" t="s">
        <v>9</v>
      </c>
      <c r="K2160" t="e">
        <v>#N/A</v>
      </c>
      <c r="L2160" s="2" t="s">
        <v>8469</v>
      </c>
      <c r="M2160" t="s">
        <v>8007</v>
      </c>
      <c r="N2160" s="4"/>
    </row>
    <row r="2161" spans="1:14" ht="39" x14ac:dyDescent="0.3">
      <c r="A2161" s="1" t="str">
        <f>HYPERLINK("https://ipmanager.doe.gov/IPManager//ExternalLink.aspx?6ibkph2k9yi6F%2B0Vz7YoTp68px7nSN2gu8x4ehNB9Do%3D","Link")</f>
        <v>Link</v>
      </c>
      <c r="B2161" s="2" t="s">
        <v>6873</v>
      </c>
      <c r="C2161" s="2" t="s">
        <v>6870</v>
      </c>
      <c r="D2161" s="2" t="s">
        <v>909</v>
      </c>
      <c r="E2161" s="2" t="s">
        <v>6874</v>
      </c>
      <c r="F2161" s="2" t="s">
        <v>6875</v>
      </c>
      <c r="G2161" s="2" t="s">
        <v>6571</v>
      </c>
      <c r="H2161" s="7"/>
      <c r="I2161" s="2" t="s">
        <v>9</v>
      </c>
      <c r="K2161" t="e">
        <v>#N/A</v>
      </c>
      <c r="L2161" s="2" t="s">
        <v>8469</v>
      </c>
      <c r="M2161" t="s">
        <v>8007</v>
      </c>
      <c r="N2161" s="4"/>
    </row>
    <row r="2162" spans="1:14" ht="39" x14ac:dyDescent="0.3">
      <c r="A2162" s="1" t="str">
        <f>HYPERLINK("https://ipmanager.doe.gov/IPManager//ExternalLink.aspx?6ibkph2k9yi6F%2B0Vz7YoTp68px7nSN2g%2FjVLnYmoDF4%3D","Link")</f>
        <v>Link</v>
      </c>
      <c r="B2162" s="2" t="s">
        <v>6880</v>
      </c>
      <c r="C2162" s="2" t="s">
        <v>6870</v>
      </c>
      <c r="D2162" s="2" t="s">
        <v>909</v>
      </c>
      <c r="E2162" s="2" t="s">
        <v>6881</v>
      </c>
      <c r="F2162" s="2" t="s">
        <v>6882</v>
      </c>
      <c r="G2162" s="2" t="s">
        <v>6883</v>
      </c>
      <c r="H2162" s="7"/>
      <c r="I2162" s="2" t="s">
        <v>9</v>
      </c>
      <c r="K2162" t="e">
        <v>#N/A</v>
      </c>
      <c r="L2162" s="2" t="s">
        <v>8469</v>
      </c>
      <c r="M2162" t="s">
        <v>8007</v>
      </c>
      <c r="N2162" s="4"/>
    </row>
    <row r="2163" spans="1:14" ht="65" x14ac:dyDescent="0.3">
      <c r="A2163" s="1" t="str">
        <f>HYPERLINK("https://ipmanager.doe.gov/IPManager//ExternalLink.aspx?6ibkph2k9yi6F%2B0Vz7YoTnXVN2REjGcWSmYKkLQ2ojg%3D","Link")</f>
        <v>Link</v>
      </c>
      <c r="B2163" s="2" t="s">
        <v>6888</v>
      </c>
      <c r="C2163" s="2" t="s">
        <v>6870</v>
      </c>
      <c r="D2163" s="2" t="s">
        <v>909</v>
      </c>
      <c r="E2163" s="2" t="s">
        <v>6889</v>
      </c>
      <c r="F2163" s="2" t="s">
        <v>6890</v>
      </c>
      <c r="G2163" s="2" t="s">
        <v>4376</v>
      </c>
      <c r="H2163" s="7"/>
      <c r="I2163" s="2" t="s">
        <v>9</v>
      </c>
      <c r="K2163" t="e">
        <v>#N/A</v>
      </c>
      <c r="L2163" s="2" t="s">
        <v>8469</v>
      </c>
      <c r="M2163" t="s">
        <v>8007</v>
      </c>
      <c r="N2163" s="4"/>
    </row>
    <row r="2164" spans="1:14" ht="39" x14ac:dyDescent="0.3">
      <c r="A2164" s="1" t="str">
        <f>HYPERLINK("https://ipmanager.doe.gov/IPManager//ExternalLink.aspx?6ibkph2k9yi6F%2B0Vz7YoTp68px7nSN2gSrLO7ZmamQA%3D","Link")</f>
        <v>Link</v>
      </c>
      <c r="B2164" s="2" t="s">
        <v>6891</v>
      </c>
      <c r="C2164" s="2" t="s">
        <v>6870</v>
      </c>
      <c r="D2164" s="2" t="s">
        <v>909</v>
      </c>
      <c r="E2164" s="2" t="s">
        <v>6892</v>
      </c>
      <c r="F2164" s="2" t="s">
        <v>6893</v>
      </c>
      <c r="G2164" s="2" t="s">
        <v>5217</v>
      </c>
      <c r="H2164" s="7"/>
      <c r="I2164" s="2" t="s">
        <v>9</v>
      </c>
      <c r="K2164" t="e">
        <v>#N/A</v>
      </c>
      <c r="L2164" s="2" t="s">
        <v>8469</v>
      </c>
      <c r="M2164" t="s">
        <v>8007</v>
      </c>
      <c r="N2164" s="4"/>
    </row>
    <row r="2165" spans="1:14" ht="26" x14ac:dyDescent="0.3">
      <c r="A2165" s="1" t="str">
        <f>HYPERLINK("https://ipmanager.doe.gov/IPManager//ExternalLink.aspx?6ibkph2k9yi6F%2B0Vz7YoTp68px7nSN2gYqY26LVE5Lc%3D","Link")</f>
        <v>Link</v>
      </c>
      <c r="B2165" s="2" t="s">
        <v>6894</v>
      </c>
      <c r="C2165" s="2" t="s">
        <v>6870</v>
      </c>
      <c r="D2165" s="2" t="s">
        <v>909</v>
      </c>
      <c r="E2165" s="2" t="s">
        <v>6895</v>
      </c>
      <c r="F2165" s="2" t="s">
        <v>6896</v>
      </c>
      <c r="G2165" s="2" t="s">
        <v>9</v>
      </c>
      <c r="H2165" s="7"/>
      <c r="I2165" s="2" t="s">
        <v>9</v>
      </c>
      <c r="K2165" t="e">
        <v>#N/A</v>
      </c>
      <c r="L2165" s="2" t="s">
        <v>8469</v>
      </c>
      <c r="M2165" t="s">
        <v>8007</v>
      </c>
      <c r="N2165" s="4"/>
    </row>
    <row r="2166" spans="1:14" ht="26" x14ac:dyDescent="0.3">
      <c r="A2166" s="1" t="str">
        <f>HYPERLINK("https://ipmanager.doe.gov/IPManager//ExternalLink.aspx?6ibkph2k9yi6F%2B0Vz7YoTsTAnuFk5EoAFkpYLUozWkI%3D","Link")</f>
        <v>Link</v>
      </c>
      <c r="B2166" s="2" t="s">
        <v>6897</v>
      </c>
      <c r="C2166" s="2" t="s">
        <v>6870</v>
      </c>
      <c r="D2166" s="2" t="s">
        <v>909</v>
      </c>
      <c r="E2166" s="2" t="s">
        <v>6898</v>
      </c>
      <c r="F2166" s="2" t="s">
        <v>6899</v>
      </c>
      <c r="G2166" s="2" t="s">
        <v>6900</v>
      </c>
      <c r="H2166" s="7"/>
      <c r="I2166" s="2" t="s">
        <v>9</v>
      </c>
      <c r="K2166" t="e">
        <v>#N/A</v>
      </c>
      <c r="L2166" s="2" t="s">
        <v>8469</v>
      </c>
      <c r="M2166" t="s">
        <v>8007</v>
      </c>
      <c r="N2166" s="4"/>
    </row>
    <row r="2167" spans="1:14" ht="52" x14ac:dyDescent="0.3">
      <c r="A2167" s="1" t="str">
        <f>HYPERLINK("https://ipmanager.doe.gov/IPManager//ExternalLink.aspx?6ibkph2k9yi6F%2B0Vz7YoTkqAgjuWMa9QjLrkzw5Vef0%3D","Link")</f>
        <v>Link</v>
      </c>
      <c r="B2167" s="2" t="s">
        <v>6901</v>
      </c>
      <c r="C2167" s="2" t="s">
        <v>6870</v>
      </c>
      <c r="D2167" s="2" t="s">
        <v>909</v>
      </c>
      <c r="E2167" s="2" t="s">
        <v>6902</v>
      </c>
      <c r="F2167" s="2" t="s">
        <v>6903</v>
      </c>
      <c r="G2167" s="2" t="s">
        <v>6276</v>
      </c>
      <c r="H2167" s="7"/>
      <c r="I2167" s="2" t="s">
        <v>9</v>
      </c>
      <c r="K2167" t="e">
        <v>#N/A</v>
      </c>
      <c r="L2167" s="2" t="s">
        <v>8469</v>
      </c>
      <c r="M2167" t="s">
        <v>8007</v>
      </c>
      <c r="N2167" s="4"/>
    </row>
    <row r="2168" spans="1:14" ht="65" x14ac:dyDescent="0.3">
      <c r="A2168" s="1" t="str">
        <f>HYPERLINK("https://ipmanager.doe.gov/IPManager//ExternalLink.aspx?6ibkph2k9yi6F%2B0Vz7YoTu0g4zH%2BOsvyodwNwp9zY6o%3D","Link")</f>
        <v>Link</v>
      </c>
      <c r="B2168" s="2" t="s">
        <v>6906</v>
      </c>
      <c r="C2168" s="2" t="s">
        <v>6870</v>
      </c>
      <c r="D2168" s="2" t="s">
        <v>909</v>
      </c>
      <c r="E2168" s="2" t="s">
        <v>4529</v>
      </c>
      <c r="F2168" s="2" t="s">
        <v>6907</v>
      </c>
      <c r="G2168" s="2" t="s">
        <v>5443</v>
      </c>
      <c r="H2168" s="7"/>
      <c r="I2168" s="2" t="s">
        <v>9</v>
      </c>
      <c r="K2168" t="e">
        <v>#N/A</v>
      </c>
      <c r="L2168" s="2" t="s">
        <v>8469</v>
      </c>
      <c r="M2168" t="s">
        <v>8007</v>
      </c>
      <c r="N2168" s="4"/>
    </row>
    <row r="2169" spans="1:14" ht="65" x14ac:dyDescent="0.3">
      <c r="A2169" s="1" t="str">
        <f>HYPERLINK("https://ipmanager.doe.gov/IPManager//ExternalLink.aspx?6ibkph2k9yi6F%2B0Vz7YoTnXVN2REjGcWOQx%2FhZPHAmg%3D","Link")</f>
        <v>Link</v>
      </c>
      <c r="B2169" s="2" t="s">
        <v>6891</v>
      </c>
      <c r="C2169" s="2" t="s">
        <v>6870</v>
      </c>
      <c r="D2169" s="2" t="s">
        <v>909</v>
      </c>
      <c r="E2169" s="2" t="s">
        <v>6909</v>
      </c>
      <c r="F2169" s="2" t="s">
        <v>6893</v>
      </c>
      <c r="G2169" s="2" t="s">
        <v>5217</v>
      </c>
      <c r="H2169" s="7"/>
      <c r="I2169" s="2" t="s">
        <v>9</v>
      </c>
      <c r="K2169" t="e">
        <v>#N/A</v>
      </c>
      <c r="L2169" s="2" t="s">
        <v>8469</v>
      </c>
      <c r="M2169" t="s">
        <v>8007</v>
      </c>
      <c r="N2169" s="4"/>
    </row>
    <row r="2170" spans="1:14" ht="65" x14ac:dyDescent="0.3">
      <c r="A2170" s="1" t="str">
        <f>HYPERLINK("https://ipmanager.doe.gov/IPManager//ExternalLink.aspx?6ibkph2k9yi6F%2B0Vz7YoTp68px7nSN2g%2BQUEFJEyxbY%3D","Link")</f>
        <v>Link</v>
      </c>
      <c r="B2170" s="2" t="s">
        <v>6910</v>
      </c>
      <c r="C2170" s="2" t="s">
        <v>6870</v>
      </c>
      <c r="D2170" s="2" t="s">
        <v>909</v>
      </c>
      <c r="E2170" s="2" t="s">
        <v>6909</v>
      </c>
      <c r="F2170" s="2" t="s">
        <v>6890</v>
      </c>
      <c r="G2170" s="2" t="s">
        <v>4376</v>
      </c>
      <c r="H2170" s="7"/>
      <c r="I2170" s="2" t="s">
        <v>9</v>
      </c>
      <c r="K2170" t="e">
        <v>#N/A</v>
      </c>
      <c r="L2170" s="2" t="s">
        <v>8469</v>
      </c>
      <c r="M2170" t="s">
        <v>8007</v>
      </c>
      <c r="N2170" s="4"/>
    </row>
    <row r="2171" spans="1:14" ht="39" x14ac:dyDescent="0.3">
      <c r="A2171" s="1" t="str">
        <f>HYPERLINK("https://ipmanager.doe.gov/IPManager//ExternalLink.aspx?6ibkph2k9yi6F%2B0Vz7YoTp68px7nSN2gy1LKOUlMllM%3D","Link")</f>
        <v>Link</v>
      </c>
      <c r="B2171" s="2" t="s">
        <v>6911</v>
      </c>
      <c r="C2171" s="2" t="s">
        <v>6870</v>
      </c>
      <c r="D2171" s="2" t="s">
        <v>909</v>
      </c>
      <c r="E2171" s="2" t="s">
        <v>6912</v>
      </c>
      <c r="F2171" s="2" t="s">
        <v>6913</v>
      </c>
      <c r="G2171" s="2" t="s">
        <v>5307</v>
      </c>
      <c r="H2171" s="7"/>
      <c r="I2171" s="2" t="s">
        <v>9</v>
      </c>
      <c r="K2171" t="e">
        <v>#N/A</v>
      </c>
      <c r="L2171" s="2" t="s">
        <v>8469</v>
      </c>
      <c r="M2171" t="s">
        <v>8007</v>
      </c>
      <c r="N2171" s="4"/>
    </row>
    <row r="2172" spans="1:14" ht="65" x14ac:dyDescent="0.3">
      <c r="A2172" s="1" t="str">
        <f>HYPERLINK("https://ipmanager.doe.gov/IPManager//ExternalLink.aspx?6ibkph2k9yi6F%2B0Vz7YoTp68px7nSN2gsnF1JDVmxuQ%3D","Link")</f>
        <v>Link</v>
      </c>
      <c r="B2172" s="2" t="s">
        <v>6876</v>
      </c>
      <c r="C2172" s="2" t="s">
        <v>6870</v>
      </c>
      <c r="D2172" s="2" t="s">
        <v>909</v>
      </c>
      <c r="E2172" s="2" t="s">
        <v>4529</v>
      </c>
      <c r="F2172" s="2" t="s">
        <v>6877</v>
      </c>
      <c r="G2172" s="2" t="s">
        <v>6878</v>
      </c>
      <c r="H2172" s="6" t="s">
        <v>6879</v>
      </c>
      <c r="I2172" s="2" t="s">
        <v>6490</v>
      </c>
      <c r="K2172" t="e">
        <v>#N/A</v>
      </c>
      <c r="L2172" s="2" t="s">
        <v>8469</v>
      </c>
      <c r="M2172" t="s">
        <v>8007</v>
      </c>
    </row>
    <row r="2173" spans="1:14" ht="52" x14ac:dyDescent="0.3">
      <c r="A2173" s="1" t="str">
        <f>HYPERLINK("https://ipmanager.doe.gov/IPManager//ExternalLink.aspx?6ibkph2k9yi6F%2B0Vz7YoTvPUg%2FVZPl3iFp62BCZBav8%3D","Link")</f>
        <v>Link</v>
      </c>
      <c r="B2173" s="2" t="s">
        <v>6884</v>
      </c>
      <c r="C2173" s="2" t="s">
        <v>6870</v>
      </c>
      <c r="D2173" s="2" t="s">
        <v>909</v>
      </c>
      <c r="E2173" s="2" t="s">
        <v>6885</v>
      </c>
      <c r="F2173" s="2"/>
      <c r="G2173" s="2" t="s">
        <v>9</v>
      </c>
      <c r="H2173" s="2"/>
      <c r="I2173" s="2" t="s">
        <v>9</v>
      </c>
      <c r="K2173" t="e">
        <v>#N/A</v>
      </c>
      <c r="L2173" s="2" t="s">
        <v>8469</v>
      </c>
      <c r="M2173" t="s">
        <v>8007</v>
      </c>
      <c r="N2173" s="4"/>
    </row>
    <row r="2174" spans="1:14" ht="52" x14ac:dyDescent="0.3">
      <c r="A2174" s="1" t="str">
        <f>HYPERLINK("https://ipmanager.doe.gov/IPManager//ExternalLink.aspx?6ibkph2k9yi6F%2B0Vz7YoTvPUg%2FVZPl3i1lAgXhtu0lY%3D","Link")</f>
        <v>Link</v>
      </c>
      <c r="B2174" s="2" t="s">
        <v>6886</v>
      </c>
      <c r="C2174" s="2" t="s">
        <v>6870</v>
      </c>
      <c r="D2174" s="2" t="s">
        <v>909</v>
      </c>
      <c r="E2174" s="2" t="s">
        <v>6887</v>
      </c>
      <c r="F2174" s="2"/>
      <c r="G2174" s="2" t="s">
        <v>9</v>
      </c>
      <c r="H2174" s="2"/>
      <c r="I2174" s="2" t="s">
        <v>9</v>
      </c>
      <c r="K2174" t="e">
        <v>#N/A</v>
      </c>
      <c r="L2174" s="2" t="s">
        <v>8469</v>
      </c>
      <c r="M2174" t="s">
        <v>8007</v>
      </c>
      <c r="N2174" s="4"/>
    </row>
    <row r="2175" spans="1:14" ht="78" x14ac:dyDescent="0.3">
      <c r="A2175" s="1" t="str">
        <f>HYPERLINK("https://ipmanager.doe.gov/IPManager//ExternalLink.aspx?6ibkph2k9yi6F%2B0Vz7YoThEBhkR3uHVrsoBJR7Mhxj4%3D","Link")</f>
        <v>Link</v>
      </c>
      <c r="B2175" s="2" t="s">
        <v>6904</v>
      </c>
      <c r="C2175" s="2" t="s">
        <v>6870</v>
      </c>
      <c r="D2175" s="2" t="s">
        <v>909</v>
      </c>
      <c r="E2175" s="2" t="s">
        <v>6905</v>
      </c>
      <c r="F2175" s="2"/>
      <c r="G2175" s="2" t="s">
        <v>9</v>
      </c>
      <c r="H2175" s="2"/>
      <c r="I2175" s="2" t="s">
        <v>9</v>
      </c>
      <c r="K2175" t="e">
        <v>#N/A</v>
      </c>
      <c r="L2175" s="2" t="s">
        <v>8469</v>
      </c>
      <c r="M2175" t="s">
        <v>8007</v>
      </c>
      <c r="N2175" s="4"/>
    </row>
    <row r="2176" spans="1:14" ht="78" x14ac:dyDescent="0.3">
      <c r="A2176" s="1" t="str">
        <f>HYPERLINK("https://ipmanager.doe.gov/IPManager//ExternalLink.aspx?6ibkph2k9yi6F%2B0Vz7YoTu0g4zH%2BOsvyKty8eDtt8mg%3D","Link")</f>
        <v>Link</v>
      </c>
      <c r="B2176" s="2" t="s">
        <v>6908</v>
      </c>
      <c r="C2176" s="2" t="s">
        <v>6870</v>
      </c>
      <c r="D2176" s="2" t="s">
        <v>909</v>
      </c>
      <c r="E2176" s="2" t="s">
        <v>6905</v>
      </c>
      <c r="F2176" s="2"/>
      <c r="G2176" s="2" t="s">
        <v>9</v>
      </c>
      <c r="H2176" s="2"/>
      <c r="I2176" s="2" t="s">
        <v>9</v>
      </c>
      <c r="K2176" t="e">
        <v>#N/A</v>
      </c>
      <c r="L2176" s="2" t="s">
        <v>8469</v>
      </c>
      <c r="M2176" t="s">
        <v>8007</v>
      </c>
      <c r="N2176" s="4"/>
    </row>
    <row r="2177" spans="1:14" ht="78" x14ac:dyDescent="0.3">
      <c r="A2177" s="1" t="str">
        <f>HYPERLINK("https://ipmanager.doe.gov/IPManager//ExternalLink.aspx?6ibkph2k9yi6F%2B0Vz7YoTsTAnuFk5EoAxsMZn5yHOt8%3D","Link")</f>
        <v>Link</v>
      </c>
      <c r="B2177" s="2" t="s">
        <v>6917</v>
      </c>
      <c r="C2177" s="2" t="s">
        <v>6915</v>
      </c>
      <c r="D2177" s="2" t="s">
        <v>4141</v>
      </c>
      <c r="E2177" s="2" t="s">
        <v>6918</v>
      </c>
      <c r="F2177" s="2" t="s">
        <v>6919</v>
      </c>
      <c r="G2177" s="2" t="s">
        <v>4768</v>
      </c>
      <c r="H2177" s="7"/>
      <c r="I2177" s="2" t="s">
        <v>9</v>
      </c>
      <c r="K2177" t="e">
        <v>#N/A</v>
      </c>
      <c r="L2177" s="2" t="s">
        <v>8797</v>
      </c>
      <c r="M2177" t="s">
        <v>8337</v>
      </c>
      <c r="N2177" s="4"/>
    </row>
    <row r="2178" spans="1:14" ht="104" x14ac:dyDescent="0.3">
      <c r="A2178" s="1" t="str">
        <f>HYPERLINK("https://ipmanager.doe.gov/IPManager//ExternalLink.aspx?6ibkph2k9yi6F%2B0Vz7YoTnXVN2REjGcWX1NWMhE46E8%3D","Link")</f>
        <v>Link</v>
      </c>
      <c r="B2178" s="2" t="s">
        <v>6920</v>
      </c>
      <c r="C2178" s="2" t="s">
        <v>6915</v>
      </c>
      <c r="D2178" s="2" t="s">
        <v>4141</v>
      </c>
      <c r="E2178" s="2" t="s">
        <v>6921</v>
      </c>
      <c r="F2178" s="2" t="s">
        <v>6922</v>
      </c>
      <c r="G2178" s="2" t="s">
        <v>4575</v>
      </c>
      <c r="H2178" s="7"/>
      <c r="I2178" s="2" t="s">
        <v>9</v>
      </c>
      <c r="K2178" t="e">
        <v>#N/A</v>
      </c>
      <c r="L2178" s="2" t="s">
        <v>8797</v>
      </c>
      <c r="M2178" t="s">
        <v>8337</v>
      </c>
      <c r="N2178" s="4"/>
    </row>
    <row r="2179" spans="1:14" ht="65" x14ac:dyDescent="0.3">
      <c r="A2179" s="1" t="str">
        <f>HYPERLINK("https://ipmanager.doe.gov/IPManager//ExternalLink.aspx?6ibkph2k9yi6F%2B0Vz7YoTvPUg%2FVZPl3ib9JrbuvvNqY%3D","Link")</f>
        <v>Link</v>
      </c>
      <c r="B2179" s="2" t="s">
        <v>6914</v>
      </c>
      <c r="C2179" s="2" t="s">
        <v>6915</v>
      </c>
      <c r="D2179" s="2" t="s">
        <v>4141</v>
      </c>
      <c r="E2179" s="2" t="s">
        <v>6916</v>
      </c>
      <c r="F2179" s="2"/>
      <c r="G2179" s="2" t="s">
        <v>9</v>
      </c>
      <c r="H2179" s="2"/>
      <c r="I2179" s="2" t="s">
        <v>9</v>
      </c>
      <c r="K2179" t="e">
        <v>#N/A</v>
      </c>
      <c r="L2179" s="2" t="s">
        <v>8797</v>
      </c>
      <c r="M2179" t="s">
        <v>8337</v>
      </c>
      <c r="N2179" s="4"/>
    </row>
    <row r="2180" spans="1:14" ht="39" x14ac:dyDescent="0.3">
      <c r="A2180" s="1" t="str">
        <f>HYPERLINK("https://ipmanager.doe.gov/IPManager//ExternalLink.aspx?6ibkph2k9yi6F%2B0Vz7YoTvE8yjoHgvp62ceFysWGOoU%3D","Link")</f>
        <v>Link</v>
      </c>
      <c r="B2180" s="2" t="s">
        <v>6923</v>
      </c>
      <c r="C2180" s="2" t="s">
        <v>6924</v>
      </c>
      <c r="D2180" s="2" t="s">
        <v>6925</v>
      </c>
      <c r="E2180" s="2" t="s">
        <v>6926</v>
      </c>
      <c r="F2180" s="2"/>
      <c r="G2180" s="2" t="s">
        <v>9</v>
      </c>
      <c r="H2180" s="2"/>
      <c r="I2180" s="2" t="s">
        <v>9</v>
      </c>
      <c r="K2180" t="e">
        <v>#N/A</v>
      </c>
      <c r="L2180" s="2" t="s">
        <v>8798</v>
      </c>
      <c r="M2180" t="s">
        <v>8338</v>
      </c>
      <c r="N2180" s="4"/>
    </row>
    <row r="2181" spans="1:14" ht="52" x14ac:dyDescent="0.3">
      <c r="A2181" s="1" t="str">
        <f>HYPERLINK("https://ipmanager.doe.gov/IPManager//ExternalLink.aspx?6ibkph2k9yi6F%2B0Vz7YoTnXVN2REjGcWcNvARDy5ySo%3D","Link")</f>
        <v>Link</v>
      </c>
      <c r="B2181" s="2" t="s">
        <v>6927</v>
      </c>
      <c r="C2181" s="2" t="s">
        <v>6924</v>
      </c>
      <c r="D2181" s="2" t="s">
        <v>6925</v>
      </c>
      <c r="E2181" s="2" t="s">
        <v>6928</v>
      </c>
      <c r="F2181" s="2"/>
      <c r="G2181" s="2" t="s">
        <v>9</v>
      </c>
      <c r="H2181" s="2"/>
      <c r="I2181" s="2" t="s">
        <v>9</v>
      </c>
      <c r="K2181" t="e">
        <v>#N/A</v>
      </c>
      <c r="L2181" s="2" t="s">
        <v>8798</v>
      </c>
      <c r="M2181" t="s">
        <v>8338</v>
      </c>
      <c r="N2181" s="4"/>
    </row>
    <row r="2182" spans="1:14" ht="39" x14ac:dyDescent="0.3">
      <c r="A2182" s="1" t="str">
        <f>HYPERLINK("https://ipmanager.doe.gov/IPManager//ExternalLink.aspx?6ibkph2k9yi6F%2B0Vz7YoTvPUg%2FVZPl3ig9%2BWcNrJqQE%3D","Link")</f>
        <v>Link</v>
      </c>
      <c r="B2182" s="2" t="s">
        <v>6929</v>
      </c>
      <c r="C2182" s="2" t="s">
        <v>6924</v>
      </c>
      <c r="D2182" s="2" t="s">
        <v>6925</v>
      </c>
      <c r="E2182" s="2" t="s">
        <v>6930</v>
      </c>
      <c r="F2182" s="2"/>
      <c r="G2182" s="2" t="s">
        <v>9</v>
      </c>
      <c r="H2182" s="2"/>
      <c r="I2182" s="2" t="s">
        <v>9</v>
      </c>
      <c r="K2182" t="e">
        <v>#N/A</v>
      </c>
      <c r="L2182" s="2" t="s">
        <v>8798</v>
      </c>
      <c r="M2182" t="s">
        <v>8338</v>
      </c>
      <c r="N2182" s="4"/>
    </row>
    <row r="2183" spans="1:14" ht="65" x14ac:dyDescent="0.3">
      <c r="A2183" s="1" t="str">
        <f>HYPERLINK("https://ipmanager.doe.gov/IPManager//ExternalLink.aspx?6ibkph2k9yi6F%2B0Vz7YoTvPUg%2FVZPl3iTLwoIRlS1Vo%3D","Link")</f>
        <v>Link</v>
      </c>
      <c r="B2183" s="2" t="s">
        <v>6931</v>
      </c>
      <c r="C2183" s="2" t="s">
        <v>6924</v>
      </c>
      <c r="D2183" s="2" t="s">
        <v>6925</v>
      </c>
      <c r="E2183" s="2" t="s">
        <v>6932</v>
      </c>
      <c r="F2183" s="2"/>
      <c r="G2183" s="2" t="s">
        <v>9</v>
      </c>
      <c r="H2183" s="2"/>
      <c r="I2183" s="2" t="s">
        <v>9</v>
      </c>
      <c r="K2183" t="e">
        <v>#N/A</v>
      </c>
      <c r="L2183" s="2" t="s">
        <v>8798</v>
      </c>
      <c r="M2183" t="s">
        <v>8338</v>
      </c>
      <c r="N2183" s="4"/>
    </row>
    <row r="2184" spans="1:14" ht="39" x14ac:dyDescent="0.3">
      <c r="A2184" s="1" t="str">
        <f>HYPERLINK("https://ipmanager.doe.gov/IPManager//ExternalLink.aspx?6ibkph2k9yi6F%2B0Vz7YoTnXVN2REjGcWn3CI7%2BZmmZk%3D","Link")</f>
        <v>Link</v>
      </c>
      <c r="B2184" s="2" t="s">
        <v>6933</v>
      </c>
      <c r="C2184" s="2" t="s">
        <v>6924</v>
      </c>
      <c r="D2184" s="2" t="s">
        <v>6925</v>
      </c>
      <c r="E2184" s="2" t="s">
        <v>6926</v>
      </c>
      <c r="F2184" s="2"/>
      <c r="G2184" s="2" t="s">
        <v>9</v>
      </c>
      <c r="H2184" s="2"/>
      <c r="I2184" s="2" t="s">
        <v>9</v>
      </c>
      <c r="K2184" t="e">
        <v>#N/A</v>
      </c>
      <c r="L2184" s="2" t="s">
        <v>8798</v>
      </c>
      <c r="M2184" t="s">
        <v>8338</v>
      </c>
      <c r="N2184" s="4"/>
    </row>
    <row r="2185" spans="1:14" ht="52" x14ac:dyDescent="0.3">
      <c r="A2185" s="1" t="str">
        <f>HYPERLINK("https://ipmanager.doe.gov/IPManager//ExternalLink.aspx?6ibkph2k9yi6F%2B0Vz7YoTp68px7nSN2gEGlLTDOm7ZI%3D","Link")</f>
        <v>Link</v>
      </c>
      <c r="B2185" s="2" t="s">
        <v>6934</v>
      </c>
      <c r="C2185" s="2" t="s">
        <v>6935</v>
      </c>
      <c r="D2185" s="2" t="s">
        <v>1474</v>
      </c>
      <c r="E2185" s="2" t="s">
        <v>6936</v>
      </c>
      <c r="F2185" s="2" t="s">
        <v>6937</v>
      </c>
      <c r="G2185" s="2" t="s">
        <v>6716</v>
      </c>
      <c r="H2185" s="7"/>
      <c r="I2185" s="2" t="s">
        <v>9</v>
      </c>
      <c r="K2185" t="e">
        <v>#N/A</v>
      </c>
      <c r="L2185" s="2" t="s">
        <v>8799</v>
      </c>
      <c r="M2185" t="s">
        <v>8339</v>
      </c>
      <c r="N2185" s="4"/>
    </row>
    <row r="2186" spans="1:14" ht="39" x14ac:dyDescent="0.3">
      <c r="A2186" s="1" t="str">
        <f>HYPERLINK("https://ipmanager.doe.gov/IPManager//ExternalLink.aspx?6ibkph2k9yi6F%2B0Vz7YoTvPUg%2FVZPl3iW0yl4vS8fS0%3D","Link")</f>
        <v>Link</v>
      </c>
      <c r="B2186" s="2" t="s">
        <v>6940</v>
      </c>
      <c r="C2186" s="2" t="s">
        <v>6935</v>
      </c>
      <c r="D2186" s="2" t="s">
        <v>1474</v>
      </c>
      <c r="E2186" s="2" t="s">
        <v>6941</v>
      </c>
      <c r="F2186" s="2" t="s">
        <v>6942</v>
      </c>
      <c r="G2186" s="2" t="s">
        <v>6716</v>
      </c>
      <c r="H2186" s="7"/>
      <c r="I2186" s="2" t="s">
        <v>9</v>
      </c>
      <c r="K2186" t="e">
        <v>#N/A</v>
      </c>
      <c r="L2186" s="2" t="s">
        <v>8799</v>
      </c>
      <c r="M2186" t="s">
        <v>8339</v>
      </c>
      <c r="N2186" s="4"/>
    </row>
    <row r="2187" spans="1:14" ht="39" x14ac:dyDescent="0.3">
      <c r="A2187" s="1" t="str">
        <f>HYPERLINK("https://ipmanager.doe.gov/IPManager//ExternalLink.aspx?6ibkph2k9yi6F%2B0Vz7YoTp68px7nSN2gvhvnV9pyU10%3D","Link")</f>
        <v>Link</v>
      </c>
      <c r="B2187" s="2" t="s">
        <v>6938</v>
      </c>
      <c r="C2187" s="2" t="s">
        <v>6935</v>
      </c>
      <c r="D2187" s="2" t="s">
        <v>1474</v>
      </c>
      <c r="E2187" s="2" t="s">
        <v>6939</v>
      </c>
      <c r="F2187" s="2"/>
      <c r="G2187" s="2" t="s">
        <v>9</v>
      </c>
      <c r="H2187" s="2"/>
      <c r="I2187" s="2" t="s">
        <v>9</v>
      </c>
      <c r="K2187" t="e">
        <v>#N/A</v>
      </c>
      <c r="L2187" s="2" t="s">
        <v>8799</v>
      </c>
      <c r="M2187" t="s">
        <v>8339</v>
      </c>
      <c r="N2187" s="4"/>
    </row>
    <row r="2188" spans="1:14" ht="91" x14ac:dyDescent="0.3">
      <c r="A2188" s="1" t="str">
        <f>HYPERLINK("https://ipmanager.doe.gov/IPManager//ExternalLink.aspx?6ibkph2k9yi6F%2B0Vz7YoTp68px7nSN2gOKwxe%2BwCAI8%3D","Link")</f>
        <v>Link</v>
      </c>
      <c r="B2188" s="2" t="s">
        <v>7312</v>
      </c>
      <c r="C2188" s="2" t="s">
        <v>7317</v>
      </c>
      <c r="D2188" s="2" t="s">
        <v>7313</v>
      </c>
      <c r="E2188" s="2" t="s">
        <v>7306</v>
      </c>
      <c r="F2188" s="2"/>
      <c r="G2188" s="2" t="s">
        <v>9</v>
      </c>
      <c r="H2188" s="2"/>
      <c r="I2188" s="2" t="s">
        <v>9</v>
      </c>
      <c r="K2188" t="e">
        <v>#N/A</v>
      </c>
      <c r="L2188" s="2" t="s">
        <v>8800</v>
      </c>
      <c r="M2188" t="s">
        <v>8340</v>
      </c>
      <c r="N2188" s="4"/>
    </row>
    <row r="2189" spans="1:14" ht="26" x14ac:dyDescent="0.3">
      <c r="A2189" s="1" t="str">
        <f>HYPERLINK("https://ipmanager.doe.gov/IPManager//ExternalLink.aspx?6ibkph2k9yi6F%2B0Vz7YoTvE8yjoHgvp6Wwcu9rpudEA%3D","Link")</f>
        <v>Link</v>
      </c>
      <c r="B2189" s="2" t="s">
        <v>6943</v>
      </c>
      <c r="C2189" s="2" t="s">
        <v>6944</v>
      </c>
      <c r="D2189" s="2" t="s">
        <v>5761</v>
      </c>
      <c r="E2189" s="2" t="s">
        <v>6945</v>
      </c>
      <c r="F2189" s="2"/>
      <c r="G2189" s="2" t="s">
        <v>9</v>
      </c>
      <c r="H2189" s="2"/>
      <c r="I2189" s="2" t="s">
        <v>9</v>
      </c>
      <c r="K2189" t="e">
        <v>#N/A</v>
      </c>
      <c r="L2189" s="2" t="s">
        <v>8801</v>
      </c>
      <c r="M2189" t="s">
        <v>8341</v>
      </c>
      <c r="N2189" s="4"/>
    </row>
    <row r="2190" spans="1:14" ht="26" x14ac:dyDescent="0.3">
      <c r="A2190" s="1" t="str">
        <f>HYPERLINK("https://ipmanager.doe.gov/IPManager//ExternalLink.aspx?6ibkph2k9yi6F%2B0Vz7YoTvPUg%2FVZPl3itmEyb9AXJoE%3D","Link")</f>
        <v>Link</v>
      </c>
      <c r="B2190" s="2" t="s">
        <v>6946</v>
      </c>
      <c r="C2190" s="2" t="s">
        <v>6944</v>
      </c>
      <c r="D2190" s="2" t="s">
        <v>1474</v>
      </c>
      <c r="E2190" s="2" t="s">
        <v>6947</v>
      </c>
      <c r="F2190" s="2"/>
      <c r="G2190" s="2" t="s">
        <v>9</v>
      </c>
      <c r="H2190" s="2"/>
      <c r="I2190" s="2" t="s">
        <v>9</v>
      </c>
      <c r="K2190" t="e">
        <v>#N/A</v>
      </c>
      <c r="L2190" s="2" t="s">
        <v>8801</v>
      </c>
      <c r="M2190" t="s">
        <v>8341</v>
      </c>
      <c r="N2190" s="4"/>
    </row>
    <row r="2191" spans="1:14" ht="52" x14ac:dyDescent="0.3">
      <c r="A2191" s="1" t="str">
        <f>HYPERLINK("https://ipmanager.doe.gov/IPManager//ExternalLink.aspx?6ibkph2k9yi6F%2B0Vz7YoTu0g4zH%2BOsvyMb6snejgs5Q%3D","Link")</f>
        <v>Link</v>
      </c>
      <c r="B2191" s="2" t="s">
        <v>6948</v>
      </c>
      <c r="C2191" s="2" t="s">
        <v>6944</v>
      </c>
      <c r="D2191" s="2" t="s">
        <v>1474</v>
      </c>
      <c r="E2191" s="2" t="s">
        <v>6949</v>
      </c>
      <c r="F2191" s="2"/>
      <c r="G2191" s="2" t="s">
        <v>9</v>
      </c>
      <c r="H2191" s="2"/>
      <c r="I2191" s="2" t="s">
        <v>9</v>
      </c>
      <c r="K2191" t="e">
        <v>#N/A</v>
      </c>
      <c r="L2191" s="2" t="s">
        <v>8801</v>
      </c>
      <c r="M2191" t="s">
        <v>8341</v>
      </c>
      <c r="N2191" s="4"/>
    </row>
    <row r="2192" spans="1:14" ht="39" x14ac:dyDescent="0.3">
      <c r="A2192" s="1" t="str">
        <f>HYPERLINK("https://ipmanager.doe.gov/IPManager//ExternalLink.aspx?6ibkph2k9yi6F%2B0Vz7YoTsTAnuFk5EoA5c%2FtLGK42so%3D","Link")</f>
        <v>Link</v>
      </c>
      <c r="B2192" s="2" t="s">
        <v>6950</v>
      </c>
      <c r="C2192" s="2" t="s">
        <v>6944</v>
      </c>
      <c r="D2192" s="2" t="s">
        <v>5761</v>
      </c>
      <c r="E2192" s="2" t="s">
        <v>6951</v>
      </c>
      <c r="F2192" s="2"/>
      <c r="G2192" s="2" t="s">
        <v>9</v>
      </c>
      <c r="H2192" s="2"/>
      <c r="I2192" s="2" t="s">
        <v>9</v>
      </c>
      <c r="K2192" t="e">
        <v>#N/A</v>
      </c>
      <c r="L2192" s="2" t="s">
        <v>8801</v>
      </c>
      <c r="M2192" t="s">
        <v>8341</v>
      </c>
      <c r="N2192" s="4"/>
    </row>
    <row r="2193" spans="1:14" ht="65" x14ac:dyDescent="0.3">
      <c r="A2193" s="1" t="str">
        <f>HYPERLINK("https://ipmanager.doe.gov/IPManager//ExternalLink.aspx?6ibkph2k9yi6F%2B0Vz7YoTnXVN2REjGcWPpg8yk9tlJE%3D","Link")</f>
        <v>Link</v>
      </c>
      <c r="B2193" s="2" t="s">
        <v>6952</v>
      </c>
      <c r="C2193" s="2" t="s">
        <v>6953</v>
      </c>
      <c r="D2193" s="2" t="s">
        <v>6380</v>
      </c>
      <c r="E2193" s="2" t="s">
        <v>6954</v>
      </c>
      <c r="F2193" s="2"/>
      <c r="G2193" s="2" t="s">
        <v>9</v>
      </c>
      <c r="H2193" s="2"/>
      <c r="I2193" s="2" t="s">
        <v>9</v>
      </c>
      <c r="K2193" t="e">
        <v>#N/A</v>
      </c>
      <c r="L2193" s="2" t="s">
        <v>8802</v>
      </c>
      <c r="M2193" t="s">
        <v>8342</v>
      </c>
      <c r="N2193" s="4"/>
    </row>
    <row r="2194" spans="1:14" ht="65" x14ac:dyDescent="0.3">
      <c r="A2194" s="1" t="str">
        <f>HYPERLINK("https://ipmanager.doe.gov/IPManager//ExternalLink.aspx?6ibkph2k9yi6F%2B0Vz7YoTvE8yjoHgvp686aG%2BisChLs%3D","Link")</f>
        <v>Link</v>
      </c>
      <c r="B2194" s="2" t="s">
        <v>6955</v>
      </c>
      <c r="C2194" s="2" t="s">
        <v>6956</v>
      </c>
      <c r="D2194" s="2" t="s">
        <v>4141</v>
      </c>
      <c r="E2194" s="2" t="s">
        <v>6957</v>
      </c>
      <c r="F2194" s="2"/>
      <c r="G2194" s="2" t="s">
        <v>9</v>
      </c>
      <c r="H2194" s="2"/>
      <c r="I2194" s="2" t="s">
        <v>9</v>
      </c>
      <c r="K2194" t="e">
        <v>#N/A</v>
      </c>
      <c r="L2194" s="2" t="s">
        <v>8803</v>
      </c>
      <c r="M2194" t="s">
        <v>8343</v>
      </c>
      <c r="N2194" s="4"/>
    </row>
    <row r="2195" spans="1:14" ht="39" x14ac:dyDescent="0.3">
      <c r="A2195" s="1" t="str">
        <f>HYPERLINK("https://ipmanager.doe.gov/IPManager//ExternalLink.aspx?6ibkph2k9yi6F%2B0Vz7YoTsTAnuFk5EoA85qI%2F8f31Yw%3D","Link")</f>
        <v>Link</v>
      </c>
      <c r="B2195" s="2" t="s">
        <v>6958</v>
      </c>
      <c r="C2195" s="2" t="s">
        <v>6959</v>
      </c>
      <c r="D2195" s="2" t="s">
        <v>6960</v>
      </c>
      <c r="E2195" s="2" t="s">
        <v>6961</v>
      </c>
      <c r="F2195" s="2"/>
      <c r="G2195" s="2" t="s">
        <v>9</v>
      </c>
      <c r="H2195" s="2"/>
      <c r="I2195" s="2" t="s">
        <v>9</v>
      </c>
      <c r="K2195" t="e">
        <v>#N/A</v>
      </c>
      <c r="L2195" s="2" t="s">
        <v>8804</v>
      </c>
      <c r="M2195" t="s">
        <v>8344</v>
      </c>
      <c r="N2195" s="4"/>
    </row>
    <row r="2196" spans="1:14" ht="65" x14ac:dyDescent="0.3">
      <c r="A2196" s="1" t="str">
        <f>HYPERLINK("https://ipmanager.doe.gov/IPManager//ExternalLink.aspx?6ibkph2k9yi6F%2B0Vz7YoTsTAnuFk5EoAxJ%2Fn8zK7wN4%3D","Link")</f>
        <v>Link</v>
      </c>
      <c r="B2196" s="2" t="s">
        <v>6962</v>
      </c>
      <c r="C2196" s="2" t="s">
        <v>6959</v>
      </c>
      <c r="D2196" s="2" t="s">
        <v>6960</v>
      </c>
      <c r="E2196" s="2" t="s">
        <v>6963</v>
      </c>
      <c r="F2196" s="2"/>
      <c r="G2196" s="2" t="s">
        <v>9</v>
      </c>
      <c r="H2196" s="2"/>
      <c r="I2196" s="2" t="s">
        <v>9</v>
      </c>
      <c r="K2196" t="e">
        <v>#N/A</v>
      </c>
      <c r="L2196" s="2" t="s">
        <v>8804</v>
      </c>
      <c r="M2196" t="s">
        <v>8344</v>
      </c>
      <c r="N2196" s="4"/>
    </row>
    <row r="2197" spans="1:14" ht="39" x14ac:dyDescent="0.3">
      <c r="A2197" s="1" t="str">
        <f>HYPERLINK("https://ipmanager.doe.gov/IPManager//ExternalLink.aspx?6ibkph2k9yi6F%2B0Vz7YoTvPUg%2FVZPl3i6iV6RsaiDcg%3D","Link")</f>
        <v>Link</v>
      </c>
      <c r="B2197" s="2" t="s">
        <v>6964</v>
      </c>
      <c r="C2197" s="2" t="s">
        <v>6959</v>
      </c>
      <c r="D2197" s="2" t="s">
        <v>6960</v>
      </c>
      <c r="E2197" s="2" t="s">
        <v>6965</v>
      </c>
      <c r="F2197" s="2"/>
      <c r="G2197" s="2" t="s">
        <v>9</v>
      </c>
      <c r="H2197" s="2"/>
      <c r="I2197" s="2" t="s">
        <v>9</v>
      </c>
      <c r="K2197" t="e">
        <v>#N/A</v>
      </c>
      <c r="L2197" s="2" t="s">
        <v>8804</v>
      </c>
      <c r="M2197" t="s">
        <v>8344</v>
      </c>
      <c r="N2197" s="4"/>
    </row>
    <row r="2198" spans="1:14" ht="26" x14ac:dyDescent="0.3">
      <c r="A2198" s="1" t="str">
        <f>HYPERLINK("https://ipmanager.doe.gov/IPManager//ExternalLink.aspx?6ibkph2k9yi6F%2B0Vz7YoTvE8yjoHgvp6w%2BLLyvzGmP0%3D","Link")</f>
        <v>Link</v>
      </c>
      <c r="B2198" s="2" t="s">
        <v>6943</v>
      </c>
      <c r="C2198" s="2" t="s">
        <v>6959</v>
      </c>
      <c r="D2198" s="2" t="s">
        <v>6960</v>
      </c>
      <c r="E2198" s="2" t="s">
        <v>6966</v>
      </c>
      <c r="F2198" s="2"/>
      <c r="G2198" s="2" t="s">
        <v>9</v>
      </c>
      <c r="H2198" s="2"/>
      <c r="I2198" s="2" t="s">
        <v>9</v>
      </c>
      <c r="K2198" t="e">
        <v>#N/A</v>
      </c>
      <c r="L2198" s="2" t="s">
        <v>8804</v>
      </c>
      <c r="M2198" t="s">
        <v>8344</v>
      </c>
      <c r="N2198" s="4"/>
    </row>
    <row r="2199" spans="1:14" ht="39" x14ac:dyDescent="0.3">
      <c r="A2199" s="1" t="str">
        <f>HYPERLINK("https://ipmanager.doe.gov/IPManager//ExternalLink.aspx?6ibkph2k9yi6F%2B0Vz7YoTsTAnuFk5EoAvJ3Me%2BmmkJA%3D","Link")</f>
        <v>Link</v>
      </c>
      <c r="B2199" s="2" t="s">
        <v>6967</v>
      </c>
      <c r="C2199" s="2" t="s">
        <v>6959</v>
      </c>
      <c r="D2199" s="2" t="s">
        <v>6960</v>
      </c>
      <c r="E2199" s="2" t="s">
        <v>6968</v>
      </c>
      <c r="F2199" s="2"/>
      <c r="G2199" s="2" t="s">
        <v>9</v>
      </c>
      <c r="H2199" s="2"/>
      <c r="I2199" s="2" t="s">
        <v>9</v>
      </c>
      <c r="K2199" t="e">
        <v>#N/A</v>
      </c>
      <c r="L2199" s="2" t="s">
        <v>8804</v>
      </c>
      <c r="M2199" t="s">
        <v>8344</v>
      </c>
      <c r="N2199" s="4"/>
    </row>
    <row r="2200" spans="1:14" ht="78" x14ac:dyDescent="0.3">
      <c r="A2200" s="1" t="str">
        <f>HYPERLINK("https://ipmanager.doe.gov/IPManager//ExternalLink.aspx?6ibkph2k9yi6F%2B0Vz7YoTvE8yjoHgvp6AeowrYXGfaM%3D","Link")</f>
        <v>Link</v>
      </c>
      <c r="B2200" s="2" t="s">
        <v>6969</v>
      </c>
      <c r="C2200" s="2" t="s">
        <v>6959</v>
      </c>
      <c r="D2200" s="2" t="s">
        <v>6960</v>
      </c>
      <c r="E2200" s="2" t="s">
        <v>6970</v>
      </c>
      <c r="F2200" s="2"/>
      <c r="G2200" s="2" t="s">
        <v>9</v>
      </c>
      <c r="H2200" s="2"/>
      <c r="I2200" s="2" t="s">
        <v>9</v>
      </c>
      <c r="K2200" t="e">
        <v>#N/A</v>
      </c>
      <c r="L2200" s="2" t="s">
        <v>8804</v>
      </c>
      <c r="M2200" t="s">
        <v>8344</v>
      </c>
      <c r="N2200" s="4"/>
    </row>
    <row r="2201" spans="1:14" ht="52" x14ac:dyDescent="0.3">
      <c r="A2201" s="1" t="str">
        <f>HYPERLINK("https://ipmanager.doe.gov/IPManager//ExternalLink.aspx?6ibkph2k9yi6F%2B0Vz7YoTp68px7nSN2gvEs72OF%2Bx4g%3D","Link")</f>
        <v>Link</v>
      </c>
      <c r="B2201" s="2" t="s">
        <v>6975</v>
      </c>
      <c r="C2201" s="2" t="s">
        <v>6972</v>
      </c>
      <c r="D2201" s="2" t="s">
        <v>6286</v>
      </c>
      <c r="E2201" s="2" t="s">
        <v>6976</v>
      </c>
      <c r="F2201" s="2" t="s">
        <v>6977</v>
      </c>
      <c r="G2201" s="2" t="s">
        <v>5240</v>
      </c>
      <c r="H2201" s="7"/>
      <c r="I2201" s="2" t="s">
        <v>9</v>
      </c>
      <c r="K2201" t="e">
        <v>#N/A</v>
      </c>
      <c r="L2201" s="2" t="s">
        <v>8805</v>
      </c>
      <c r="M2201" t="s">
        <v>8345</v>
      </c>
      <c r="N2201" s="4"/>
    </row>
    <row r="2202" spans="1:14" ht="52" x14ac:dyDescent="0.3">
      <c r="A2202" s="1" t="str">
        <f>HYPERLINK("https://ipmanager.doe.gov/IPManager//ExternalLink.aspx?6ibkph2k9yi6F%2B0Vz7YoTp68px7nSN2gfqx5TohInms%3D","Link")</f>
        <v>Link</v>
      </c>
      <c r="B2202" s="2" t="s">
        <v>6978</v>
      </c>
      <c r="C2202" s="2" t="s">
        <v>6972</v>
      </c>
      <c r="D2202" s="2" t="s">
        <v>6286</v>
      </c>
      <c r="E2202" s="2" t="s">
        <v>6979</v>
      </c>
      <c r="F2202" s="2" t="s">
        <v>6980</v>
      </c>
      <c r="G2202" s="2" t="s">
        <v>4733</v>
      </c>
      <c r="H2202" s="7"/>
      <c r="I2202" s="2" t="s">
        <v>9</v>
      </c>
      <c r="K2202" t="e">
        <v>#N/A</v>
      </c>
      <c r="L2202" s="2" t="s">
        <v>8805</v>
      </c>
      <c r="M2202" t="s">
        <v>8345</v>
      </c>
      <c r="N2202" s="4"/>
    </row>
    <row r="2203" spans="1:14" ht="65" x14ac:dyDescent="0.3">
      <c r="A2203" s="1" t="str">
        <f>HYPERLINK("https://ipmanager.doe.gov/IPManager//ExternalLink.aspx?6ibkph2k9yi6F%2B0Vz7YoTp68px7nSN2g7O73JWR%2FVrA%3D","Link")</f>
        <v>Link</v>
      </c>
      <c r="B2203" s="2" t="s">
        <v>6983</v>
      </c>
      <c r="C2203" s="2" t="s">
        <v>6972</v>
      </c>
      <c r="D2203" s="2" t="s">
        <v>6286</v>
      </c>
      <c r="E2203" s="2" t="s">
        <v>6984</v>
      </c>
      <c r="F2203" s="2" t="s">
        <v>6985</v>
      </c>
      <c r="G2203" s="2" t="s">
        <v>6197</v>
      </c>
      <c r="H2203" s="7"/>
      <c r="I2203" s="2" t="s">
        <v>9</v>
      </c>
      <c r="K2203" t="e">
        <v>#N/A</v>
      </c>
      <c r="L2203" s="2" t="s">
        <v>8805</v>
      </c>
      <c r="M2203" t="s">
        <v>8345</v>
      </c>
      <c r="N2203" s="4"/>
    </row>
    <row r="2204" spans="1:14" ht="39" x14ac:dyDescent="0.3">
      <c r="A2204" s="1" t="str">
        <f>HYPERLINK("https://ipmanager.doe.gov/IPManager//ExternalLink.aspx?6ibkph2k9yi6F%2B0Vz7YoTsTAnuFk5EoAzITq2VkKgms%3D","Link")</f>
        <v>Link</v>
      </c>
      <c r="B2204" s="2" t="s">
        <v>6986</v>
      </c>
      <c r="C2204" s="2" t="s">
        <v>6972</v>
      </c>
      <c r="D2204" s="2" t="s">
        <v>6286</v>
      </c>
      <c r="E2204" s="2" t="s">
        <v>6987</v>
      </c>
      <c r="F2204" s="2" t="s">
        <v>6988</v>
      </c>
      <c r="G2204" s="2" t="s">
        <v>6989</v>
      </c>
      <c r="H2204" s="7"/>
      <c r="I2204" s="2" t="s">
        <v>9</v>
      </c>
      <c r="K2204" t="e">
        <v>#N/A</v>
      </c>
      <c r="L2204" s="2" t="s">
        <v>8805</v>
      </c>
      <c r="M2204" t="s">
        <v>8345</v>
      </c>
      <c r="N2204" s="4"/>
    </row>
    <row r="2205" spans="1:14" ht="39" x14ac:dyDescent="0.3">
      <c r="A2205" s="1" t="str">
        <f>HYPERLINK("https://ipmanager.doe.gov/IPManager//ExternalLink.aspx?6ibkph2k9yi6F%2B0Vz7YoTvE8yjoHgvp6UPUp0l81lKE%3D","Link")</f>
        <v>Link</v>
      </c>
      <c r="B2205" s="2" t="s">
        <v>6971</v>
      </c>
      <c r="C2205" s="2" t="s">
        <v>6972</v>
      </c>
      <c r="D2205" s="2" t="s">
        <v>6286</v>
      </c>
      <c r="E2205" s="2" t="s">
        <v>6973</v>
      </c>
      <c r="F2205" s="2"/>
      <c r="G2205" s="2" t="s">
        <v>9</v>
      </c>
      <c r="H2205" s="2"/>
      <c r="I2205" s="2" t="s">
        <v>9</v>
      </c>
      <c r="K2205" t="e">
        <v>#N/A</v>
      </c>
      <c r="L2205" s="2" t="s">
        <v>8805</v>
      </c>
      <c r="M2205" t="s">
        <v>8345</v>
      </c>
      <c r="N2205" s="4"/>
    </row>
    <row r="2206" spans="1:14" ht="26" x14ac:dyDescent="0.3">
      <c r="A2206" s="1" t="str">
        <f>HYPERLINK("https://ipmanager.doe.gov/IPManager//ExternalLink.aspx?6ibkph2k9yi6F%2B0Vz7YoTvE8yjoHgvp6nCWgYnDkx6k%3D","Link")</f>
        <v>Link</v>
      </c>
      <c r="B2206" s="2" t="s">
        <v>4805</v>
      </c>
      <c r="C2206" s="2" t="s">
        <v>6972</v>
      </c>
      <c r="D2206" s="2" t="s">
        <v>6286</v>
      </c>
      <c r="E2206" s="2" t="s">
        <v>6974</v>
      </c>
      <c r="F2206" s="2"/>
      <c r="G2206" s="2" t="s">
        <v>9</v>
      </c>
      <c r="H2206" s="2"/>
      <c r="I2206" s="2" t="s">
        <v>9</v>
      </c>
      <c r="K2206" t="e">
        <v>#N/A</v>
      </c>
      <c r="L2206" s="2" t="s">
        <v>8805</v>
      </c>
      <c r="M2206" t="s">
        <v>8345</v>
      </c>
      <c r="N2206" s="4"/>
    </row>
    <row r="2207" spans="1:14" ht="52" x14ac:dyDescent="0.3">
      <c r="A2207" s="1" t="str">
        <f>HYPERLINK("https://ipmanager.doe.gov/IPManager//ExternalLink.aspx?6ibkph2k9yi6F%2B0Vz7YoTp68px7nSN2gyr9P3Izxv7g%3D","Link")</f>
        <v>Link</v>
      </c>
      <c r="B2207" s="2" t="s">
        <v>6981</v>
      </c>
      <c r="C2207" s="2" t="s">
        <v>6972</v>
      </c>
      <c r="D2207" s="2" t="s">
        <v>6286</v>
      </c>
      <c r="E2207" s="2" t="s">
        <v>6982</v>
      </c>
      <c r="F2207" s="2"/>
      <c r="G2207" s="2" t="s">
        <v>9</v>
      </c>
      <c r="H2207" s="2"/>
      <c r="I2207" s="2" t="s">
        <v>9</v>
      </c>
      <c r="K2207" t="e">
        <v>#N/A</v>
      </c>
      <c r="L2207" s="2" t="s">
        <v>8805</v>
      </c>
      <c r="M2207" t="s">
        <v>8345</v>
      </c>
      <c r="N2207" s="4"/>
    </row>
    <row r="2208" spans="1:14" ht="65" x14ac:dyDescent="0.3">
      <c r="A2208" s="1" t="str">
        <f>HYPERLINK("https://ipmanager.doe.gov/IPManager//ExternalLink.aspx?6ibkph2k9yi6F%2B0Vz7YoTp68px7nSN2g6Dc%2B4d%2Fuclg%3D","Link")</f>
        <v>Link</v>
      </c>
      <c r="B2208" s="2" t="s">
        <v>6990</v>
      </c>
      <c r="C2208" s="2" t="s">
        <v>6991</v>
      </c>
      <c r="D2208" s="2" t="s">
        <v>1415</v>
      </c>
      <c r="E2208" s="2" t="s">
        <v>6992</v>
      </c>
      <c r="F2208" s="2"/>
      <c r="G2208" s="2" t="s">
        <v>9</v>
      </c>
      <c r="H2208" s="2"/>
      <c r="I2208" s="2" t="s">
        <v>9</v>
      </c>
      <c r="K2208" t="e">
        <v>#N/A</v>
      </c>
      <c r="L2208" s="2" t="s">
        <v>8806</v>
      </c>
      <c r="M2208" t="s">
        <v>8346</v>
      </c>
      <c r="N2208" s="4"/>
    </row>
    <row r="2209" spans="1:14" ht="65" x14ac:dyDescent="0.3">
      <c r="A2209" s="1" t="str">
        <f>HYPERLINK("https://ipmanager.doe.gov/IPManager//ExternalLink.aspx?6ibkph2k9yi6F%2B0Vz7YoTnXVN2REjGcWuGcZyW0o10A%3D","Link")</f>
        <v>Link</v>
      </c>
      <c r="B2209" s="2" t="s">
        <v>7005</v>
      </c>
      <c r="C2209" s="2" t="s">
        <v>6994</v>
      </c>
      <c r="D2209" s="2" t="s">
        <v>6305</v>
      </c>
      <c r="E2209" s="2" t="s">
        <v>7006</v>
      </c>
      <c r="F2209" s="2" t="s">
        <v>7007</v>
      </c>
      <c r="G2209" s="2" t="s">
        <v>3340</v>
      </c>
      <c r="H2209" s="7"/>
      <c r="I2209" s="2" t="s">
        <v>9</v>
      </c>
      <c r="K2209" t="e">
        <v>#N/A</v>
      </c>
      <c r="L2209" s="2" t="s">
        <v>8807</v>
      </c>
      <c r="M2209" t="s">
        <v>8347</v>
      </c>
      <c r="N2209" s="4"/>
    </row>
    <row r="2210" spans="1:14" ht="26" x14ac:dyDescent="0.3">
      <c r="A2210" s="1" t="str">
        <f>HYPERLINK("https://ipmanager.doe.gov/IPManager//ExternalLink.aspx?6ibkph2k9yi6F%2B0Vz7YoTp68px7nSN2gIrnDJ4azuPo%3D","Link")</f>
        <v>Link</v>
      </c>
      <c r="B2210" s="2" t="s">
        <v>7008</v>
      </c>
      <c r="C2210" s="2" t="s">
        <v>6994</v>
      </c>
      <c r="D2210" s="2" t="s">
        <v>7009</v>
      </c>
      <c r="E2210" s="2" t="s">
        <v>7010</v>
      </c>
      <c r="F2210" s="2" t="s">
        <v>7011</v>
      </c>
      <c r="G2210" s="2" t="s">
        <v>6816</v>
      </c>
      <c r="H2210" s="7"/>
      <c r="I2210" s="2" t="s">
        <v>9</v>
      </c>
      <c r="K2210" t="e">
        <v>#N/A</v>
      </c>
      <c r="L2210" s="2" t="s">
        <v>8807</v>
      </c>
      <c r="M2210" t="s">
        <v>8347</v>
      </c>
      <c r="N2210" s="4"/>
    </row>
    <row r="2211" spans="1:14" ht="39" x14ac:dyDescent="0.3">
      <c r="A2211" s="1" t="str">
        <f>HYPERLINK("https://ipmanager.doe.gov/IPManager//ExternalLink.aspx?6ibkph2k9yi6F%2B0Vz7YoTp68px7nSN2g%2F4DlGNcxX2Q%3D","Link")</f>
        <v>Link</v>
      </c>
      <c r="B2211" s="2" t="s">
        <v>7012</v>
      </c>
      <c r="C2211" s="2" t="s">
        <v>6994</v>
      </c>
      <c r="D2211" s="2" t="s">
        <v>7009</v>
      </c>
      <c r="E2211" s="2" t="s">
        <v>7013</v>
      </c>
      <c r="F2211" s="2" t="s">
        <v>7014</v>
      </c>
      <c r="G2211" s="2" t="s">
        <v>5811</v>
      </c>
      <c r="H2211" s="7"/>
      <c r="I2211" s="2" t="s">
        <v>9</v>
      </c>
      <c r="K2211" t="e">
        <v>#N/A</v>
      </c>
      <c r="L2211" s="2" t="s">
        <v>8807</v>
      </c>
      <c r="M2211" t="s">
        <v>8347</v>
      </c>
      <c r="N2211" s="4"/>
    </row>
    <row r="2212" spans="1:14" ht="52" x14ac:dyDescent="0.3">
      <c r="A2212" s="1" t="str">
        <f>HYPERLINK("https://ipmanager.doe.gov/IPManager//ExternalLink.aspx?6ibkph2k9yi6F%2B0Vz7YoTsTAnuFk5EoAfOWue2TvpOw%3D","Link")</f>
        <v>Link</v>
      </c>
      <c r="B2212" s="2" t="s">
        <v>7001</v>
      </c>
      <c r="C2212" s="2" t="s">
        <v>6994</v>
      </c>
      <c r="D2212" s="2" t="s">
        <v>6995</v>
      </c>
      <c r="E2212" s="2" t="s">
        <v>7002</v>
      </c>
      <c r="F2212" s="2" t="s">
        <v>7003</v>
      </c>
      <c r="G2212" s="2" t="s">
        <v>7004</v>
      </c>
      <c r="H2212" s="7"/>
      <c r="I2212" s="2" t="s">
        <v>9</v>
      </c>
      <c r="K2212" t="e">
        <v>#N/A</v>
      </c>
      <c r="L2212" s="2" t="s">
        <v>8807</v>
      </c>
      <c r="M2212" t="s">
        <v>8347</v>
      </c>
      <c r="N2212" s="4"/>
    </row>
    <row r="2213" spans="1:14" ht="39" x14ac:dyDescent="0.3">
      <c r="A2213" s="1" t="str">
        <f>HYPERLINK("https://ipmanager.doe.gov/IPManager//ExternalLink.aspx?6ibkph2k9yi6F%2B0Vz7YoTp68px7nSN2g75FF01uLOnw%3D","Link")</f>
        <v>Link</v>
      </c>
      <c r="B2213" s="2" t="s">
        <v>6993</v>
      </c>
      <c r="C2213" s="2" t="s">
        <v>6994</v>
      </c>
      <c r="D2213" s="2" t="s">
        <v>6995</v>
      </c>
      <c r="E2213" s="2" t="s">
        <v>6996</v>
      </c>
      <c r="F2213" s="2"/>
      <c r="G2213" s="2" t="s">
        <v>9</v>
      </c>
      <c r="H2213" s="2"/>
      <c r="I2213" s="2" t="s">
        <v>9</v>
      </c>
      <c r="K2213" t="e">
        <v>#N/A</v>
      </c>
      <c r="L2213" s="2" t="s">
        <v>8807</v>
      </c>
      <c r="M2213" t="s">
        <v>8347</v>
      </c>
      <c r="N2213" s="4"/>
    </row>
    <row r="2214" spans="1:14" ht="65" x14ac:dyDescent="0.3">
      <c r="A2214" s="1" t="str">
        <f>HYPERLINK("https://ipmanager.doe.gov/IPManager//ExternalLink.aspx?6ibkph2k9yi6F%2B0Vz7YoThEBhkR3uHVrbpXJhb5gF4w%3D","Link")</f>
        <v>Link</v>
      </c>
      <c r="B2214" s="2" t="s">
        <v>6997</v>
      </c>
      <c r="C2214" s="2" t="s">
        <v>6994</v>
      </c>
      <c r="D2214" s="2" t="s">
        <v>6995</v>
      </c>
      <c r="E2214" s="2" t="s">
        <v>6998</v>
      </c>
      <c r="F2214" s="2"/>
      <c r="G2214" s="2" t="s">
        <v>9</v>
      </c>
      <c r="H2214" s="2"/>
      <c r="I2214" s="2" t="s">
        <v>9</v>
      </c>
      <c r="K2214" t="e">
        <v>#N/A</v>
      </c>
      <c r="L2214" s="2" t="s">
        <v>8807</v>
      </c>
      <c r="M2214" t="s">
        <v>8347</v>
      </c>
      <c r="N2214" s="4"/>
    </row>
    <row r="2215" spans="1:14" ht="52" x14ac:dyDescent="0.3">
      <c r="A2215" s="1" t="str">
        <f>HYPERLINK("https://ipmanager.doe.gov/IPManager//ExternalLink.aspx?6ibkph2k9yi6F%2B0Vz7YoTsTAnuFk5EoA6UuqToVMC1A%3D","Link")</f>
        <v>Link</v>
      </c>
      <c r="B2215" s="2" t="s">
        <v>6999</v>
      </c>
      <c r="C2215" s="2" t="s">
        <v>6994</v>
      </c>
      <c r="D2215" s="2" t="s">
        <v>6995</v>
      </c>
      <c r="E2215" s="2" t="s">
        <v>7000</v>
      </c>
      <c r="F2215" s="2"/>
      <c r="G2215" s="2" t="s">
        <v>9</v>
      </c>
      <c r="H2215" s="2"/>
      <c r="I2215" s="2" t="s">
        <v>9</v>
      </c>
      <c r="K2215" t="e">
        <v>#N/A</v>
      </c>
      <c r="L2215" s="2" t="s">
        <v>8807</v>
      </c>
      <c r="M2215" t="s">
        <v>8347</v>
      </c>
      <c r="N2215" s="4"/>
    </row>
    <row r="2216" spans="1:14" ht="39" x14ac:dyDescent="0.3">
      <c r="A2216" s="1" t="str">
        <f>HYPERLINK("https://ipmanager.doe.gov/IPManager//ExternalLink.aspx?6ibkph2k9yi6F%2B0Vz7YoTp68px7nSN2g2FD3DoHs%2BV8%3D","Link")</f>
        <v>Link</v>
      </c>
      <c r="B2216" s="2" t="s">
        <v>7015</v>
      </c>
      <c r="C2216" s="2" t="s">
        <v>6994</v>
      </c>
      <c r="D2216" s="2" t="s">
        <v>7009</v>
      </c>
      <c r="E2216" s="2" t="s">
        <v>7016</v>
      </c>
      <c r="F2216" s="2"/>
      <c r="G2216" s="2" t="s">
        <v>9</v>
      </c>
      <c r="H2216" s="2"/>
      <c r="I2216" s="2" t="s">
        <v>9</v>
      </c>
      <c r="K2216" t="e">
        <v>#N/A</v>
      </c>
      <c r="L2216" s="2" t="s">
        <v>8807</v>
      </c>
      <c r="M2216" t="s">
        <v>8347</v>
      </c>
      <c r="N2216" s="4"/>
    </row>
    <row r="2217" spans="1:14" ht="39" x14ac:dyDescent="0.3">
      <c r="A2217" s="1" t="str">
        <f>HYPERLINK("https://ipmanager.doe.gov/IPManager//ExternalLink.aspx?6ibkph2k9yi6F%2B0Vz7YoTvE8yjoHgvp6La1Z3pjMJDU%3D","Link")</f>
        <v>Link</v>
      </c>
      <c r="B2217" s="2" t="s">
        <v>7017</v>
      </c>
      <c r="C2217" s="2" t="s">
        <v>7018</v>
      </c>
      <c r="D2217" s="2" t="s">
        <v>8</v>
      </c>
      <c r="E2217" s="2" t="s">
        <v>7019</v>
      </c>
      <c r="F2217" s="2"/>
      <c r="G2217" s="2" t="s">
        <v>9</v>
      </c>
      <c r="H2217" s="2"/>
      <c r="I2217" s="2" t="s">
        <v>9</v>
      </c>
      <c r="K2217" t="e">
        <v>#N/A</v>
      </c>
      <c r="L2217" s="2" t="s">
        <v>8808</v>
      </c>
      <c r="M2217" t="s">
        <v>8348</v>
      </c>
      <c r="N2217" s="4"/>
    </row>
    <row r="2218" spans="1:14" ht="52" x14ac:dyDescent="0.3">
      <c r="A2218" s="1" t="str">
        <f>HYPERLINK("https://ipmanager.doe.gov/IPManager//ExternalLink.aspx?6ibkph2k9yi6F%2B0Vz7YoTvE8yjoHgvp6XqqXRQGXM6o%3D","Link")</f>
        <v>Link</v>
      </c>
      <c r="B2218" s="2" t="s">
        <v>7020</v>
      </c>
      <c r="C2218" s="2" t="s">
        <v>7018</v>
      </c>
      <c r="D2218" s="2" t="s">
        <v>8</v>
      </c>
      <c r="E2218" s="2" t="s">
        <v>7021</v>
      </c>
      <c r="F2218" s="2"/>
      <c r="G2218" s="2" t="s">
        <v>9</v>
      </c>
      <c r="H2218" s="2"/>
      <c r="I2218" s="2" t="s">
        <v>9</v>
      </c>
      <c r="K2218" t="e">
        <v>#N/A</v>
      </c>
      <c r="L2218" s="2" t="s">
        <v>8808</v>
      </c>
      <c r="M2218" t="s">
        <v>8348</v>
      </c>
      <c r="N2218" s="4"/>
    </row>
    <row r="2219" spans="1:14" ht="65" x14ac:dyDescent="0.3">
      <c r="A2219" s="1" t="str">
        <f>HYPERLINK("https://ipmanager.doe.gov/IPManager//ExternalLink.aspx?6ibkph2k9yi6F%2B0Vz7YoTvE8yjoHgvp65oBvWQjlPQM%3D","Link")</f>
        <v>Link</v>
      </c>
      <c r="B2219" s="2" t="s">
        <v>7022</v>
      </c>
      <c r="C2219" s="2" t="s">
        <v>7018</v>
      </c>
      <c r="D2219" s="2" t="s">
        <v>8</v>
      </c>
      <c r="E2219" s="2" t="s">
        <v>7023</v>
      </c>
      <c r="F2219" s="2"/>
      <c r="G2219" s="2" t="s">
        <v>9</v>
      </c>
      <c r="H2219" s="2"/>
      <c r="I2219" s="2" t="s">
        <v>9</v>
      </c>
      <c r="K2219" t="e">
        <v>#N/A</v>
      </c>
      <c r="L2219" s="2" t="s">
        <v>8808</v>
      </c>
      <c r="M2219" t="s">
        <v>8348</v>
      </c>
      <c r="N2219" s="4"/>
    </row>
    <row r="2220" spans="1:14" ht="39" x14ac:dyDescent="0.3">
      <c r="A2220" s="1" t="str">
        <f>HYPERLINK("https://ipmanager.doe.gov/IPManager//ExternalLink.aspx?6ibkph2k9yi6F%2B0Vz7YoTvE8yjoHgvp6WmH0%2FNUNsvg%3D","Link")</f>
        <v>Link</v>
      </c>
      <c r="B2220" s="2" t="s">
        <v>7024</v>
      </c>
      <c r="C2220" s="2" t="s">
        <v>7018</v>
      </c>
      <c r="D2220" s="2" t="s">
        <v>8</v>
      </c>
      <c r="E2220" s="2" t="s">
        <v>7025</v>
      </c>
      <c r="F2220" s="2"/>
      <c r="G2220" s="2" t="s">
        <v>9</v>
      </c>
      <c r="H2220" s="2"/>
      <c r="I2220" s="2" t="s">
        <v>9</v>
      </c>
      <c r="K2220" t="e">
        <v>#N/A</v>
      </c>
      <c r="L2220" s="2" t="s">
        <v>8808</v>
      </c>
      <c r="M2220" t="s">
        <v>8348</v>
      </c>
      <c r="N2220" s="4"/>
    </row>
    <row r="2221" spans="1:14" ht="39" x14ac:dyDescent="0.3">
      <c r="A2221" s="1" t="str">
        <f>HYPERLINK("https://ipmanager.doe.gov/IPManager//ExternalLink.aspx?6ibkph2k9yi6F%2B0Vz7YoTvE8yjoHgvp6doVN9MkdDrA%3D","Link")</f>
        <v>Link</v>
      </c>
      <c r="B2221" s="2" t="s">
        <v>7026</v>
      </c>
      <c r="C2221" s="2" t="s">
        <v>7018</v>
      </c>
      <c r="D2221" s="2" t="s">
        <v>8</v>
      </c>
      <c r="E2221" s="2" t="s">
        <v>7027</v>
      </c>
      <c r="F2221" s="2"/>
      <c r="G2221" s="2" t="s">
        <v>9</v>
      </c>
      <c r="H2221" s="2"/>
      <c r="I2221" s="2" t="s">
        <v>9</v>
      </c>
      <c r="K2221" t="e">
        <v>#N/A</v>
      </c>
      <c r="L2221" s="2" t="s">
        <v>8808</v>
      </c>
      <c r="M2221" t="s">
        <v>8348</v>
      </c>
      <c r="N2221" s="4"/>
    </row>
    <row r="2222" spans="1:14" ht="39" x14ac:dyDescent="0.3">
      <c r="A2222" s="1" t="str">
        <f>HYPERLINK("https://ipmanager.doe.gov/IPManager//ExternalLink.aspx?6ibkph2k9yi6F%2B0Vz7YoTvE8yjoHgvp6zCUNZpcAXuM%3D","Link")</f>
        <v>Link</v>
      </c>
      <c r="B2222" s="2" t="s">
        <v>7028</v>
      </c>
      <c r="C2222" s="2" t="s">
        <v>7018</v>
      </c>
      <c r="D2222" s="2" t="s">
        <v>8</v>
      </c>
      <c r="E2222" s="2" t="s">
        <v>7029</v>
      </c>
      <c r="F2222" s="2"/>
      <c r="G2222" s="2" t="s">
        <v>9</v>
      </c>
      <c r="H2222" s="2"/>
      <c r="I2222" s="2" t="s">
        <v>9</v>
      </c>
      <c r="K2222" t="e">
        <v>#N/A</v>
      </c>
      <c r="L2222" s="2" t="s">
        <v>8808</v>
      </c>
      <c r="M2222" t="s">
        <v>8348</v>
      </c>
      <c r="N2222" s="4"/>
    </row>
    <row r="2223" spans="1:14" ht="65" x14ac:dyDescent="0.3">
      <c r="A2223" s="1" t="str">
        <f>HYPERLINK("https://ipmanager.doe.gov/IPManager//ExternalLink.aspx?6ibkph2k9yi6F%2B0Vz7YoTvE8yjoHgvp6y%2Bair%2BlVcqk%3D","Link")</f>
        <v>Link</v>
      </c>
      <c r="B2223" s="2" t="s">
        <v>7030</v>
      </c>
      <c r="C2223" s="2" t="s">
        <v>7031</v>
      </c>
      <c r="D2223" s="2" t="s">
        <v>2316</v>
      </c>
      <c r="E2223" s="2" t="s">
        <v>7032</v>
      </c>
      <c r="F2223" s="2"/>
      <c r="G2223" s="2" t="s">
        <v>9</v>
      </c>
      <c r="H2223" s="2"/>
      <c r="I2223" s="2" t="s">
        <v>9</v>
      </c>
      <c r="K2223" t="e">
        <v>#N/A</v>
      </c>
      <c r="L2223" s="2" t="s">
        <v>8809</v>
      </c>
      <c r="M2223" t="s">
        <v>8349</v>
      </c>
      <c r="N2223" s="4"/>
    </row>
    <row r="2224" spans="1:14" ht="52" x14ac:dyDescent="0.3">
      <c r="A2224" s="1" t="str">
        <f>HYPERLINK("https://ipmanager.doe.gov/IPManager//ExternalLink.aspx?6ibkph2k9yi6F%2B0Vz7YoTvE8yjoHgvp6%2F7qcIFaQ2Ig%3D","Link")</f>
        <v>Link</v>
      </c>
      <c r="B2224" s="2" t="s">
        <v>7033</v>
      </c>
      <c r="C2224" s="2" t="s">
        <v>7031</v>
      </c>
      <c r="D2224" s="2" t="s">
        <v>2316</v>
      </c>
      <c r="E2224" s="2" t="s">
        <v>7034</v>
      </c>
      <c r="F2224" s="2"/>
      <c r="G2224" s="2" t="s">
        <v>9</v>
      </c>
      <c r="H2224" s="2"/>
      <c r="I2224" s="2" t="s">
        <v>9</v>
      </c>
      <c r="K2224" t="e">
        <v>#N/A</v>
      </c>
      <c r="L2224" s="2" t="s">
        <v>8809</v>
      </c>
      <c r="M2224" t="s">
        <v>8349</v>
      </c>
      <c r="N2224" s="4"/>
    </row>
    <row r="2225" spans="1:14" ht="52" x14ac:dyDescent="0.3">
      <c r="A2225" s="1" t="str">
        <f>HYPERLINK("https://ipmanager.doe.gov/IPManager//ExternalLink.aspx?6ibkph2k9yi6F%2B0Vz7YoThEBhkR3uHVrvlhRykHhDL4%3D","Link")</f>
        <v>Link</v>
      </c>
      <c r="B2225" s="2" t="s">
        <v>4904</v>
      </c>
      <c r="C2225" s="2" t="s">
        <v>7035</v>
      </c>
      <c r="D2225" s="2" t="s">
        <v>1891</v>
      </c>
      <c r="E2225" s="2" t="s">
        <v>7036</v>
      </c>
      <c r="F2225" s="2"/>
      <c r="G2225" s="2" t="s">
        <v>9</v>
      </c>
      <c r="H2225" s="2"/>
      <c r="I2225" s="2" t="s">
        <v>9</v>
      </c>
      <c r="K2225" t="e">
        <v>#N/A</v>
      </c>
      <c r="L2225" s="2" t="s">
        <v>8580</v>
      </c>
      <c r="M2225" t="s">
        <v>8122</v>
      </c>
      <c r="N2225" s="4"/>
    </row>
    <row r="2226" spans="1:14" ht="26" x14ac:dyDescent="0.3">
      <c r="A2226" s="1" t="str">
        <f>HYPERLINK("https://ipmanager.doe.gov/IPManager//ExternalLink.aspx?6ibkph2k9yi6F%2B0Vz7YoTp68px7nSN2goAwUL08bW7A%3D","Link")</f>
        <v>Link</v>
      </c>
      <c r="B2226" s="2" t="s">
        <v>7037</v>
      </c>
      <c r="C2226" s="2" t="s">
        <v>7038</v>
      </c>
      <c r="D2226" s="2" t="s">
        <v>2316</v>
      </c>
      <c r="E2226" s="2" t="s">
        <v>7039</v>
      </c>
      <c r="F2226" s="2" t="s">
        <v>7040</v>
      </c>
      <c r="G2226" s="2" t="s">
        <v>6459</v>
      </c>
      <c r="H2226" s="2"/>
      <c r="I2226" s="2" t="s">
        <v>9</v>
      </c>
      <c r="K2226" t="e">
        <v>#N/A</v>
      </c>
      <c r="L2226" s="2" t="s">
        <v>8810</v>
      </c>
      <c r="M2226" t="s">
        <v>8350</v>
      </c>
      <c r="N2226" s="4"/>
    </row>
    <row r="2227" spans="1:14" ht="26" x14ac:dyDescent="0.3">
      <c r="A2227" s="1" t="str">
        <f>HYPERLINK("https://ipmanager.doe.gov/IPManager//ExternalLink.aspx?6ibkph2k9yi6F%2B0Vz7YoThEBhkR3uHVrCzyZGCFjpMo%3D","Link")</f>
        <v>Link</v>
      </c>
      <c r="B2227" s="2" t="s">
        <v>7041</v>
      </c>
      <c r="C2227" s="2" t="s">
        <v>7038</v>
      </c>
      <c r="D2227" s="2" t="s">
        <v>2316</v>
      </c>
      <c r="E2227" s="2" t="s">
        <v>7039</v>
      </c>
      <c r="F2227" s="2" t="s">
        <v>7042</v>
      </c>
      <c r="G2227" s="2" t="s">
        <v>7043</v>
      </c>
      <c r="H2227" s="2"/>
      <c r="I2227" s="2" t="s">
        <v>9</v>
      </c>
      <c r="K2227" t="e">
        <v>#N/A</v>
      </c>
      <c r="L2227" s="2" t="s">
        <v>8810</v>
      </c>
      <c r="M2227" t="s">
        <v>8350</v>
      </c>
      <c r="N2227" s="4"/>
    </row>
    <row r="2228" spans="1:14" ht="26" x14ac:dyDescent="0.3">
      <c r="A2228" s="1" t="str">
        <f>HYPERLINK("https://ipmanager.doe.gov/IPManager//ExternalLink.aspx?6ibkph2k9yi6F%2B0Vz7YoTvE8yjoHgvp6fnspOfls9xQ%3D","Link")</f>
        <v>Link</v>
      </c>
      <c r="B2228" s="2" t="s">
        <v>7044</v>
      </c>
      <c r="C2228" s="2" t="s">
        <v>7038</v>
      </c>
      <c r="D2228" s="2" t="s">
        <v>2316</v>
      </c>
      <c r="E2228" s="2" t="s">
        <v>7045</v>
      </c>
      <c r="F2228" s="2" t="s">
        <v>7046</v>
      </c>
      <c r="G2228" s="2" t="s">
        <v>5454</v>
      </c>
      <c r="H2228" s="2"/>
      <c r="I2228" s="2" t="s">
        <v>9</v>
      </c>
      <c r="K2228" t="e">
        <v>#N/A</v>
      </c>
      <c r="L2228" s="2" t="s">
        <v>8810</v>
      </c>
      <c r="M2228" t="s">
        <v>8350</v>
      </c>
      <c r="N2228" s="4"/>
    </row>
    <row r="2229" spans="1:14" ht="65" x14ac:dyDescent="0.3">
      <c r="A2229" s="1" t="str">
        <f>HYPERLINK("https://ipmanager.doe.gov/IPManager//ExternalLink.aspx?6ibkph2k9yi6F%2B0Vz7YoTsTAnuFk5EoAhK4JEN5szwQ%3D","Link")</f>
        <v>Link</v>
      </c>
      <c r="B2229" s="2" t="s">
        <v>7047</v>
      </c>
      <c r="C2229" s="2" t="s">
        <v>7048</v>
      </c>
      <c r="D2229" s="2" t="s">
        <v>2957</v>
      </c>
      <c r="E2229" s="2" t="s">
        <v>7049</v>
      </c>
      <c r="F2229" s="2"/>
      <c r="G2229" s="2" t="s">
        <v>9</v>
      </c>
      <c r="H2229" s="2"/>
      <c r="I2229" s="2" t="s">
        <v>9</v>
      </c>
      <c r="K2229" t="e">
        <v>#N/A</v>
      </c>
      <c r="L2229" s="2" t="s">
        <v>8811</v>
      </c>
      <c r="M2229" t="s">
        <v>8351</v>
      </c>
      <c r="N2229" s="4"/>
    </row>
    <row r="2230" spans="1:14" ht="52" x14ac:dyDescent="0.3">
      <c r="A2230" s="1" t="str">
        <f>HYPERLINK("https://ipmanager.doe.gov/IPManager//ExternalLink.aspx?6ibkph2k9yi6F%2B0Vz7YoThEBhkR3uHVrIzL2CbWDN7Q%3D","Link")</f>
        <v>Link</v>
      </c>
      <c r="B2230" s="2" t="s">
        <v>7050</v>
      </c>
      <c r="C2230" s="2" t="s">
        <v>7051</v>
      </c>
      <c r="D2230" s="2" t="s">
        <v>6175</v>
      </c>
      <c r="E2230" s="2" t="s">
        <v>7052</v>
      </c>
      <c r="F2230" s="2"/>
      <c r="G2230" s="2" t="s">
        <v>9</v>
      </c>
      <c r="H2230" s="2"/>
      <c r="I2230" s="2" t="s">
        <v>9</v>
      </c>
      <c r="K2230" t="e">
        <v>#N/A</v>
      </c>
      <c r="L2230" s="2" t="s">
        <v>8812</v>
      </c>
      <c r="M2230" t="s">
        <v>8352</v>
      </c>
      <c r="N2230" s="4"/>
    </row>
    <row r="2231" spans="1:14" ht="52" x14ac:dyDescent="0.3">
      <c r="A2231" s="1" t="str">
        <f>HYPERLINK("https://ipmanager.doe.gov/IPManager//ExternalLink.aspx?6ibkph2k9yi6F%2B0Vz7YoTo7DPLa3%2F%2FGgR1nf2urBvbg%3D","Link")</f>
        <v>Link</v>
      </c>
      <c r="B2231" s="2" t="s">
        <v>7053</v>
      </c>
      <c r="C2231" s="2" t="s">
        <v>7054</v>
      </c>
      <c r="D2231" s="2" t="s">
        <v>3059</v>
      </c>
      <c r="E2231" s="2" t="s">
        <v>7055</v>
      </c>
      <c r="F2231" s="2"/>
      <c r="G2231" s="2" t="s">
        <v>9</v>
      </c>
      <c r="H2231" s="2"/>
      <c r="I2231" s="2" t="s">
        <v>9</v>
      </c>
      <c r="K2231" t="e">
        <v>#N/A</v>
      </c>
      <c r="L2231" s="2" t="e">
        <v>#N/A</v>
      </c>
      <c r="M2231" t="e">
        <v>#N/A</v>
      </c>
      <c r="N2231" s="4"/>
    </row>
    <row r="2232" spans="1:14" ht="52" x14ac:dyDescent="0.3">
      <c r="A2232" s="1" t="str">
        <f>HYPERLINK("https://ipmanager.doe.gov/IPManager//ExternalLink.aspx?6ibkph2k9yi6F%2B0Vz7YoTvPUg%2FVZPl3i%2FbhVnudjw6A%3D","Link")</f>
        <v>Link</v>
      </c>
      <c r="B2232" s="2" t="s">
        <v>7056</v>
      </c>
      <c r="C2232" s="2" t="s">
        <v>7054</v>
      </c>
      <c r="D2232" s="2" t="s">
        <v>3062</v>
      </c>
      <c r="E2232" s="2" t="s">
        <v>7057</v>
      </c>
      <c r="F2232" s="2"/>
      <c r="G2232" s="2" t="s">
        <v>9</v>
      </c>
      <c r="H2232" s="2"/>
      <c r="I2232" s="2" t="s">
        <v>9</v>
      </c>
      <c r="K2232" t="e">
        <v>#N/A</v>
      </c>
      <c r="L2232" s="2" t="e">
        <v>#N/A</v>
      </c>
      <c r="M2232" t="e">
        <v>#N/A</v>
      </c>
      <c r="N2232" s="4"/>
    </row>
    <row r="2233" spans="1:14" ht="52" x14ac:dyDescent="0.3">
      <c r="A2233" s="1" t="str">
        <f>HYPERLINK("https://ipmanager.doe.gov/IPManager//ExternalLink.aspx?6ibkph2k9yi6F%2B0Vz7YoTnXVN2REjGcWDNSo6Yrzn6E%3D","Link")</f>
        <v>Link</v>
      </c>
      <c r="B2233" s="2" t="s">
        <v>7058</v>
      </c>
      <c r="C2233" s="2" t="s">
        <v>7059</v>
      </c>
      <c r="D2233" s="2" t="s">
        <v>293</v>
      </c>
      <c r="E2233" s="2" t="s">
        <v>7060</v>
      </c>
      <c r="F2233" s="2"/>
      <c r="G2233" s="2" t="s">
        <v>9</v>
      </c>
      <c r="H2233" s="2"/>
      <c r="I2233" s="2" t="s">
        <v>9</v>
      </c>
      <c r="K2233" t="e">
        <v>#N/A</v>
      </c>
      <c r="L2233" s="2" t="s">
        <v>8813</v>
      </c>
      <c r="M2233" t="s">
        <v>8353</v>
      </c>
      <c r="N2233" s="4"/>
    </row>
    <row r="2234" spans="1:14" ht="39" x14ac:dyDescent="0.3">
      <c r="A2234" s="1" t="str">
        <f>HYPERLINK("https://ipmanager.doe.gov/IPManager//ExternalLink.aspx?6ibkph2k9yi6F%2B0Vz7YoTvE8yjoHgvp6LQXMQc3sJsA%3D","Link")</f>
        <v>Link</v>
      </c>
      <c r="B2234" s="2" t="s">
        <v>7061</v>
      </c>
      <c r="C2234" s="2" t="s">
        <v>7062</v>
      </c>
      <c r="D2234" s="2" t="s">
        <v>6286</v>
      </c>
      <c r="E2234" s="2" t="s">
        <v>7063</v>
      </c>
      <c r="F2234" s="2" t="s">
        <v>7064</v>
      </c>
      <c r="G2234" s="2" t="s">
        <v>5644</v>
      </c>
      <c r="H2234" s="7"/>
      <c r="I2234" s="2" t="s">
        <v>9</v>
      </c>
      <c r="K2234" t="e">
        <v>#N/A</v>
      </c>
      <c r="L2234" s="2" t="s">
        <v>8814</v>
      </c>
      <c r="M2234" t="s">
        <v>8354</v>
      </c>
      <c r="N2234" s="4"/>
    </row>
    <row r="2235" spans="1:14" ht="26" x14ac:dyDescent="0.3">
      <c r="A2235" s="1" t="str">
        <f>HYPERLINK("https://ipmanager.doe.gov/IPManager//ExternalLink.aspx?6ibkph2k9yi6F%2B0Vz7YoTvE8yjoHgvp6rHGlDlMXBpg%3D","Link")</f>
        <v>Link</v>
      </c>
      <c r="B2235" s="2" t="s">
        <v>7065</v>
      </c>
      <c r="C2235" s="2" t="s">
        <v>7066</v>
      </c>
      <c r="D2235" s="2" t="s">
        <v>4657</v>
      </c>
      <c r="E2235" s="2" t="s">
        <v>7067</v>
      </c>
      <c r="F2235" s="2"/>
      <c r="G2235" s="2" t="s">
        <v>9</v>
      </c>
      <c r="H2235" s="2"/>
      <c r="I2235" s="2" t="s">
        <v>9</v>
      </c>
      <c r="K2235" t="e">
        <v>#N/A</v>
      </c>
      <c r="L2235" s="2" t="s">
        <v>8815</v>
      </c>
      <c r="M2235" t="s">
        <v>8355</v>
      </c>
      <c r="N2235" s="4"/>
    </row>
    <row r="2236" spans="1:14" ht="26" x14ac:dyDescent="0.3">
      <c r="A2236" s="1" t="str">
        <f>HYPERLINK("https://ipmanager.doe.gov/IPManager//ExternalLink.aspx?6ibkph2k9yi6F%2B0Vz7YoTvE8yjoHgvp6AxuyBFc8%2B7w%3D","Link")</f>
        <v>Link</v>
      </c>
      <c r="B2236" s="2" t="s">
        <v>7068</v>
      </c>
      <c r="C2236" s="2" t="s">
        <v>7066</v>
      </c>
      <c r="D2236" s="2" t="s">
        <v>4657</v>
      </c>
      <c r="E2236" s="2" t="s">
        <v>7067</v>
      </c>
      <c r="F2236" s="2"/>
      <c r="G2236" s="2" t="s">
        <v>9</v>
      </c>
      <c r="H2236" s="2"/>
      <c r="I2236" s="2" t="s">
        <v>9</v>
      </c>
      <c r="K2236" t="e">
        <v>#N/A</v>
      </c>
      <c r="L2236" s="2" t="s">
        <v>8815</v>
      </c>
      <c r="M2236" t="s">
        <v>8355</v>
      </c>
      <c r="N2236" s="4"/>
    </row>
    <row r="2237" spans="1:14" ht="26" x14ac:dyDescent="0.3">
      <c r="A2237" s="1" t="str">
        <f>HYPERLINK("https://ipmanager.doe.gov/IPManager//ExternalLink.aspx?6ibkph2k9yi6F%2B0Vz7YoTsTAnuFk5EoAV9VZR%2BSuRAg%3D","Link")</f>
        <v>Link</v>
      </c>
      <c r="B2237" s="2" t="s">
        <v>7069</v>
      </c>
      <c r="C2237" s="2" t="s">
        <v>7066</v>
      </c>
      <c r="D2237" s="2" t="s">
        <v>4657</v>
      </c>
      <c r="E2237" s="2" t="s">
        <v>7067</v>
      </c>
      <c r="F2237" s="2"/>
      <c r="G2237" s="2" t="s">
        <v>9</v>
      </c>
      <c r="H2237" s="2"/>
      <c r="I2237" s="2" t="s">
        <v>9</v>
      </c>
      <c r="K2237" t="e">
        <v>#N/A</v>
      </c>
      <c r="L2237" s="2" t="s">
        <v>8815</v>
      </c>
      <c r="M2237" t="s">
        <v>8355</v>
      </c>
      <c r="N2237" s="4"/>
    </row>
    <row r="2238" spans="1:14" ht="39" x14ac:dyDescent="0.3">
      <c r="A2238" s="1" t="str">
        <f>HYPERLINK("https://ipmanager.doe.gov/IPManager//ExternalLink.aspx?6ibkph2k9yi6F%2B0Vz7YoTvE8yjoHgvp6LLr4ydvJxsM%3D","Link")</f>
        <v>Link</v>
      </c>
      <c r="B2238" s="2" t="s">
        <v>1262</v>
      </c>
      <c r="C2238" s="2" t="s">
        <v>7315</v>
      </c>
      <c r="D2238" s="2" t="s">
        <v>117</v>
      </c>
      <c r="E2238" s="2" t="s">
        <v>1263</v>
      </c>
      <c r="F2238" s="2" t="s">
        <v>1264</v>
      </c>
      <c r="G2238" s="2" t="s">
        <v>1265</v>
      </c>
      <c r="H2238" s="7"/>
      <c r="I2238" s="2" t="s">
        <v>9</v>
      </c>
      <c r="K2238" t="e">
        <v>#N/A</v>
      </c>
      <c r="L2238" s="2" t="s">
        <v>8816</v>
      </c>
      <c r="M2238" t="s">
        <v>8356</v>
      </c>
      <c r="N2238" s="4"/>
    </row>
    <row r="2239" spans="1:14" ht="39" x14ac:dyDescent="0.3">
      <c r="A2239" s="1" t="str">
        <f>HYPERLINK("https://ipmanager.doe.gov/IPManager//ExternalLink.aspx?6ibkph2k9yi6F%2B0Vz7YoTp68px7nSN2gqKoUeFEy0Ac%3D","Link")</f>
        <v>Link</v>
      </c>
      <c r="B2239" s="2" t="s">
        <v>1267</v>
      </c>
      <c r="C2239" s="2" t="s">
        <v>7315</v>
      </c>
      <c r="D2239" s="2" t="s">
        <v>117</v>
      </c>
      <c r="E2239" s="2" t="s">
        <v>1268</v>
      </c>
      <c r="F2239" s="2" t="s">
        <v>1269</v>
      </c>
      <c r="G2239" s="2" t="s">
        <v>1270</v>
      </c>
      <c r="H2239" s="7"/>
      <c r="I2239" s="2" t="s">
        <v>9</v>
      </c>
      <c r="K2239" t="e">
        <v>#N/A</v>
      </c>
      <c r="L2239" s="2" t="s">
        <v>8816</v>
      </c>
      <c r="M2239" t="s">
        <v>8356</v>
      </c>
      <c r="N2239" s="4"/>
    </row>
    <row r="2240" spans="1:14" ht="39" x14ac:dyDescent="0.3">
      <c r="A2240" s="1" t="str">
        <f>HYPERLINK("https://ipmanager.doe.gov/IPManager//ExternalLink.aspx?6ibkph2k9yi6F%2B0Vz7YoTnXVN2REjGcWquLiEB9ECSk%3D","Link")</f>
        <v>Link</v>
      </c>
      <c r="B2240" s="2" t="s">
        <v>7070</v>
      </c>
      <c r="C2240" s="2" t="s">
        <v>7071</v>
      </c>
      <c r="D2240" s="2" t="s">
        <v>1474</v>
      </c>
      <c r="E2240" s="2" t="s">
        <v>7072</v>
      </c>
      <c r="F2240" s="2"/>
      <c r="G2240" s="2" t="s">
        <v>9</v>
      </c>
      <c r="H2240" s="2"/>
      <c r="I2240" s="2" t="s">
        <v>9</v>
      </c>
      <c r="K2240" t="e">
        <v>#N/A</v>
      </c>
      <c r="L2240" s="2" t="s">
        <v>8817</v>
      </c>
      <c r="M2240" t="s">
        <v>8357</v>
      </c>
      <c r="N2240" s="4"/>
    </row>
    <row r="2241" spans="1:14" ht="26" x14ac:dyDescent="0.3">
      <c r="A2241" s="1" t="str">
        <f>HYPERLINK("https://ipmanager.doe.gov/IPManager//ExternalLink.aspx?6ibkph2k9yi6F%2B0Vz7YoTnXVN2REjGcW5VIulEA1vms%3D","Link")</f>
        <v>Link</v>
      </c>
      <c r="B2241" s="2" t="s">
        <v>7073</v>
      </c>
      <c r="C2241" s="2" t="s">
        <v>7071</v>
      </c>
      <c r="D2241" s="2" t="s">
        <v>1474</v>
      </c>
      <c r="E2241" s="2" t="s">
        <v>7074</v>
      </c>
      <c r="F2241" s="2"/>
      <c r="G2241" s="2" t="s">
        <v>9</v>
      </c>
      <c r="H2241" s="2"/>
      <c r="I2241" s="2" t="s">
        <v>9</v>
      </c>
      <c r="K2241" t="e">
        <v>#N/A</v>
      </c>
      <c r="L2241" s="2" t="s">
        <v>8817</v>
      </c>
      <c r="M2241" t="s">
        <v>8357</v>
      </c>
      <c r="N2241" s="4"/>
    </row>
    <row r="2242" spans="1:14" ht="26" x14ac:dyDescent="0.3">
      <c r="A2242" s="1" t="str">
        <f>HYPERLINK("https://ipmanager.doe.gov/IPManager//ExternalLink.aspx?6ibkph2k9yi6F%2B0Vz7YoTnXVN2REjGcWVfHGppSMpMw%3D","Link")</f>
        <v>Link</v>
      </c>
      <c r="B2242" s="2" t="s">
        <v>7075</v>
      </c>
      <c r="C2242" s="2" t="s">
        <v>7076</v>
      </c>
      <c r="D2242" s="2" t="s">
        <v>5387</v>
      </c>
      <c r="E2242" s="2" t="s">
        <v>5388</v>
      </c>
      <c r="F2242" s="2"/>
      <c r="G2242" s="2" t="s">
        <v>9</v>
      </c>
      <c r="H2242" s="2"/>
      <c r="I2242" s="2" t="s">
        <v>9</v>
      </c>
      <c r="K2242" t="e">
        <v>#N/A</v>
      </c>
      <c r="L2242" s="2" t="s">
        <v>8818</v>
      </c>
      <c r="M2242" t="s">
        <v>8358</v>
      </c>
      <c r="N2242" s="4"/>
    </row>
    <row r="2243" spans="1:14" ht="65" x14ac:dyDescent="0.3">
      <c r="A2243" s="1" t="str">
        <f>HYPERLINK("https://ipmanager.doe.gov/IPManager//ExternalLink.aspx?6ibkph2k9yi6F%2B0Vz7YoTvE8yjoHgvp6cwc4xE9QbtQ%3D","Link")</f>
        <v>Link</v>
      </c>
      <c r="B2243" s="2" t="s">
        <v>7081</v>
      </c>
      <c r="C2243" s="2" t="s">
        <v>7078</v>
      </c>
      <c r="D2243" s="2" t="s">
        <v>3406</v>
      </c>
      <c r="E2243" s="2" t="s">
        <v>7079</v>
      </c>
      <c r="F2243" s="2" t="s">
        <v>7082</v>
      </c>
      <c r="G2243" s="2" t="s">
        <v>3661</v>
      </c>
      <c r="H2243" s="7"/>
      <c r="I2243" s="2" t="s">
        <v>9</v>
      </c>
      <c r="K2243" t="e">
        <v>#N/A</v>
      </c>
      <c r="L2243" s="2" t="s">
        <v>8819</v>
      </c>
      <c r="M2243" t="s">
        <v>8359</v>
      </c>
      <c r="N2243" s="4"/>
    </row>
    <row r="2244" spans="1:14" ht="65" x14ac:dyDescent="0.3">
      <c r="A2244" s="1" t="str">
        <f>HYPERLINK("https://ipmanager.doe.gov/IPManager//ExternalLink.aspx?6ibkph2k9yi6F%2B0Vz7YoTsTAnuFk5EoABhDCnOFKBrs%3D","Link")</f>
        <v>Link</v>
      </c>
      <c r="B2244" s="2" t="s">
        <v>7083</v>
      </c>
      <c r="C2244" s="2" t="s">
        <v>7078</v>
      </c>
      <c r="D2244" s="2" t="s">
        <v>3406</v>
      </c>
      <c r="E2244" s="2" t="s">
        <v>7079</v>
      </c>
      <c r="F2244" s="2" t="s">
        <v>7080</v>
      </c>
      <c r="G2244" s="2" t="s">
        <v>2992</v>
      </c>
      <c r="H2244" s="7"/>
      <c r="I2244" s="2" t="s">
        <v>9</v>
      </c>
      <c r="K2244" t="e">
        <v>#N/A</v>
      </c>
      <c r="L2244" s="2" t="s">
        <v>8819</v>
      </c>
      <c r="M2244" t="s">
        <v>8359</v>
      </c>
      <c r="N2244" s="4"/>
    </row>
    <row r="2245" spans="1:14" ht="65" x14ac:dyDescent="0.3">
      <c r="A2245" s="1" t="str">
        <f>HYPERLINK("https://ipmanager.doe.gov/IPManager//ExternalLink.aspx?6ibkph2k9yi6F%2B0Vz7YoTu0g4zH%2BOsvywJJgB885HaA%3D","Link")</f>
        <v>Link</v>
      </c>
      <c r="B2245" s="2" t="s">
        <v>7077</v>
      </c>
      <c r="C2245" s="2" t="s">
        <v>7078</v>
      </c>
      <c r="D2245" s="2" t="s">
        <v>3406</v>
      </c>
      <c r="E2245" s="2" t="s">
        <v>7079</v>
      </c>
      <c r="F2245" s="2"/>
      <c r="G2245" s="2" t="s">
        <v>9</v>
      </c>
      <c r="H2245" s="2"/>
      <c r="I2245" s="2" t="s">
        <v>9</v>
      </c>
      <c r="K2245" t="e">
        <v>#N/A</v>
      </c>
      <c r="L2245" s="2" t="s">
        <v>8819</v>
      </c>
      <c r="M2245" t="s">
        <v>8359</v>
      </c>
      <c r="N2245" s="4"/>
    </row>
    <row r="2246" spans="1:14" ht="65" x14ac:dyDescent="0.3">
      <c r="A2246" s="1" t="str">
        <f>HYPERLINK("https://ipmanager.doe.gov/IPManager//ExternalLink.aspx?6ibkph2k9yi6F%2B0Vz7YoTkqAgjuWMa9QNXwZBSKUjUc%3D","Link")</f>
        <v>Link</v>
      </c>
      <c r="B2246" s="2" t="s">
        <v>7084</v>
      </c>
      <c r="C2246" s="2" t="s">
        <v>7085</v>
      </c>
      <c r="D2246" s="2" t="s">
        <v>3455</v>
      </c>
      <c r="E2246" s="2" t="s">
        <v>7086</v>
      </c>
      <c r="F2246" s="2" t="s">
        <v>7087</v>
      </c>
      <c r="G2246" s="2" t="s">
        <v>5096</v>
      </c>
      <c r="H2246" s="2"/>
      <c r="I2246" s="2" t="s">
        <v>9</v>
      </c>
      <c r="K2246" t="e">
        <v>#N/A</v>
      </c>
      <c r="L2246" s="2" t="s">
        <v>8820</v>
      </c>
      <c r="M2246" t="s">
        <v>8360</v>
      </c>
      <c r="N2246" s="4"/>
    </row>
    <row r="2247" spans="1:14" ht="39" x14ac:dyDescent="0.3">
      <c r="A2247" s="1" t="str">
        <f>HYPERLINK("https://ipmanager.doe.gov/IPManager//ExternalLink.aspx?6ibkph2k9yi6F%2B0Vz7YoTp68px7nSN2gQWHAL%2B8t4pc%3D","Link")</f>
        <v>Link</v>
      </c>
      <c r="B2247" s="2" t="s">
        <v>7088</v>
      </c>
      <c r="C2247" s="2" t="s">
        <v>7089</v>
      </c>
      <c r="D2247" s="2" t="s">
        <v>903</v>
      </c>
      <c r="E2247" s="2" t="s">
        <v>7090</v>
      </c>
      <c r="F2247" s="2" t="s">
        <v>7091</v>
      </c>
      <c r="G2247" s="2" t="s">
        <v>7092</v>
      </c>
      <c r="H2247" s="7"/>
      <c r="I2247" s="2" t="s">
        <v>9</v>
      </c>
      <c r="K2247" t="e">
        <v>#N/A</v>
      </c>
      <c r="L2247" s="2" t="s">
        <v>8821</v>
      </c>
      <c r="M2247" t="s">
        <v>8361</v>
      </c>
      <c r="N2247" s="4"/>
    </row>
    <row r="2248" spans="1:14" ht="65" x14ac:dyDescent="0.3">
      <c r="A2248" s="1" t="str">
        <f>HYPERLINK("https://ipmanager.doe.gov/IPManager//ExternalLink.aspx?6ibkph2k9yi6F%2B0Vz7YoTu0g4zH%2BOsvy2kXR%2BfBYpu8%3D","Link")</f>
        <v>Link</v>
      </c>
      <c r="B2248" s="2" t="s">
        <v>7093</v>
      </c>
      <c r="C2248" s="2" t="s">
        <v>7089</v>
      </c>
      <c r="D2248" s="2" t="s">
        <v>903</v>
      </c>
      <c r="E2248" s="2" t="s">
        <v>7094</v>
      </c>
      <c r="F2248" s="2"/>
      <c r="G2248" s="2" t="s">
        <v>9</v>
      </c>
      <c r="H2248" s="2"/>
      <c r="I2248" s="2" t="s">
        <v>9</v>
      </c>
      <c r="K2248" t="e">
        <v>#N/A</v>
      </c>
      <c r="L2248" s="2" t="s">
        <v>8821</v>
      </c>
      <c r="M2248" t="s">
        <v>8361</v>
      </c>
      <c r="N2248" s="4"/>
    </row>
    <row r="2249" spans="1:14" ht="39" x14ac:dyDescent="0.3">
      <c r="A2249" s="1" t="str">
        <f>HYPERLINK("https://ipmanager.doe.gov/IPManager//ExternalLink.aspx?6ibkph2k9yi6F%2B0Vz7YoTsTAnuFk5EoAnIXzMwqaiKc%3D","Link")</f>
        <v>Link</v>
      </c>
      <c r="B2249" s="2" t="s">
        <v>7095</v>
      </c>
      <c r="C2249" s="2" t="s">
        <v>7089</v>
      </c>
      <c r="D2249" s="2" t="s">
        <v>903</v>
      </c>
      <c r="E2249" s="2" t="s">
        <v>7096</v>
      </c>
      <c r="F2249" s="2"/>
      <c r="G2249" s="2" t="s">
        <v>9</v>
      </c>
      <c r="H2249" s="2"/>
      <c r="I2249" s="2" t="s">
        <v>9</v>
      </c>
      <c r="K2249" t="e">
        <v>#N/A</v>
      </c>
      <c r="L2249" s="2" t="s">
        <v>8821</v>
      </c>
      <c r="M2249" t="s">
        <v>8361</v>
      </c>
      <c r="N2249" s="4"/>
    </row>
    <row r="2250" spans="1:14" ht="26" x14ac:dyDescent="0.3">
      <c r="A2250" s="1" t="str">
        <f>HYPERLINK("https://ipmanager.doe.gov/IPManager//ExternalLink.aspx?6ibkph2k9yi6F%2B0Vz7YoThEBhkR3uHVrG6tPy4KBHmc%3D","Link")</f>
        <v>Link</v>
      </c>
      <c r="B2250" s="2" t="s">
        <v>7097</v>
      </c>
      <c r="C2250" s="2" t="s">
        <v>7098</v>
      </c>
      <c r="D2250" s="2" t="s">
        <v>1474</v>
      </c>
      <c r="E2250" s="2" t="s">
        <v>7099</v>
      </c>
      <c r="F2250" s="2" t="s">
        <v>7100</v>
      </c>
      <c r="G2250" s="2" t="s">
        <v>7101</v>
      </c>
      <c r="H2250" s="7"/>
      <c r="I2250" s="2" t="s">
        <v>9</v>
      </c>
      <c r="K2250" t="e">
        <v>#N/A</v>
      </c>
      <c r="L2250" s="2" t="s">
        <v>8822</v>
      </c>
      <c r="M2250" t="s">
        <v>8362</v>
      </c>
      <c r="N2250" s="4"/>
    </row>
    <row r="2251" spans="1:14" ht="39" x14ac:dyDescent="0.3">
      <c r="A2251" s="1" t="str">
        <f>HYPERLINK("https://ipmanager.doe.gov/IPManager//ExternalLink.aspx?6ibkph2k9yi6F%2B0Vz7YoTvE8yjoHgvp6PN7wYoyuxt8%3D","Link")</f>
        <v>Link</v>
      </c>
      <c r="B2251" s="2" t="s">
        <v>7102</v>
      </c>
      <c r="C2251" s="2" t="s">
        <v>7103</v>
      </c>
      <c r="D2251" s="2" t="s">
        <v>770</v>
      </c>
      <c r="E2251" s="2" t="s">
        <v>7104</v>
      </c>
      <c r="F2251" s="2" t="s">
        <v>7105</v>
      </c>
      <c r="G2251" s="2" t="s">
        <v>5721</v>
      </c>
      <c r="H2251" s="7"/>
      <c r="I2251" s="2" t="s">
        <v>9</v>
      </c>
      <c r="K2251" t="e">
        <v>#N/A</v>
      </c>
      <c r="L2251" s="2" t="s">
        <v>8823</v>
      </c>
      <c r="M2251" t="s">
        <v>8363</v>
      </c>
      <c r="N2251" s="4"/>
    </row>
    <row r="2252" spans="1:14" ht="39" x14ac:dyDescent="0.3">
      <c r="A2252" s="1" t="str">
        <f>HYPERLINK("https://ipmanager.doe.gov/IPManager//ExternalLink.aspx?6ibkph2k9yi6F%2B0Vz7YoTkqAgjuWMa9QpEptnITcWLw%3D","Link")</f>
        <v>Link</v>
      </c>
      <c r="B2252" s="2" t="s">
        <v>7106</v>
      </c>
      <c r="C2252" s="2" t="s">
        <v>7103</v>
      </c>
      <c r="D2252" s="2" t="s">
        <v>770</v>
      </c>
      <c r="E2252" s="2" t="s">
        <v>7107</v>
      </c>
      <c r="F2252" s="2"/>
      <c r="G2252" s="2" t="s">
        <v>9</v>
      </c>
      <c r="H2252" s="2" t="s">
        <v>793</v>
      </c>
      <c r="I2252" s="2" t="s">
        <v>794</v>
      </c>
      <c r="K2252" t="e">
        <v>#N/A</v>
      </c>
      <c r="L2252" s="2" t="s">
        <v>8823</v>
      </c>
      <c r="M2252" t="s">
        <v>8363</v>
      </c>
      <c r="N2252" s="4"/>
    </row>
    <row r="2253" spans="1:14" ht="52" x14ac:dyDescent="0.3">
      <c r="A2253" s="1" t="str">
        <f>HYPERLINK("https://ipmanager.doe.gov/IPManager//ExternalLink.aspx?6ibkph2k9yi6F%2B0Vz7YoTp68px7nSN2g6aGTpico66Q%3D","Link")</f>
        <v>Link</v>
      </c>
      <c r="B2253" s="2" t="s">
        <v>7108</v>
      </c>
      <c r="C2253" s="2" t="s">
        <v>7109</v>
      </c>
      <c r="D2253" s="2" t="s">
        <v>4404</v>
      </c>
      <c r="E2253" s="2" t="s">
        <v>7110</v>
      </c>
      <c r="F2253" s="2"/>
      <c r="G2253" s="2" t="s">
        <v>9</v>
      </c>
      <c r="H2253" s="2"/>
      <c r="I2253" s="2" t="s">
        <v>9</v>
      </c>
      <c r="K2253" t="e">
        <v>#N/A</v>
      </c>
      <c r="L2253" s="2" t="s">
        <v>8824</v>
      </c>
      <c r="M2253" t="s">
        <v>8364</v>
      </c>
      <c r="N2253" s="4"/>
    </row>
    <row r="2254" spans="1:14" ht="39" x14ac:dyDescent="0.3">
      <c r="A2254" s="1" t="str">
        <f>HYPERLINK("https://ipmanager.doe.gov/IPManager//ExternalLink.aspx?6ibkph2k9yi6F%2B0Vz7YoTu0g4zH%2BOsvyUd1qIso8XUI%3D","Link")</f>
        <v>Link</v>
      </c>
      <c r="B2254" s="2" t="s">
        <v>7111</v>
      </c>
      <c r="C2254" s="2" t="s">
        <v>7109</v>
      </c>
      <c r="D2254" s="2" t="s">
        <v>1336</v>
      </c>
      <c r="E2254" s="2" t="s">
        <v>7112</v>
      </c>
      <c r="F2254" s="2"/>
      <c r="G2254" s="2" t="s">
        <v>9</v>
      </c>
      <c r="H2254" s="2"/>
      <c r="I2254" s="2" t="s">
        <v>9</v>
      </c>
      <c r="K2254" t="e">
        <v>#N/A</v>
      </c>
      <c r="L2254" s="2" t="s">
        <v>8824</v>
      </c>
      <c r="M2254" t="s">
        <v>8364</v>
      </c>
      <c r="N2254" s="4"/>
    </row>
    <row r="2255" spans="1:14" ht="39" x14ac:dyDescent="0.3">
      <c r="A2255" s="1" t="str">
        <f>HYPERLINK("https://ipmanager.doe.gov/IPManager//ExternalLink.aspx?6ibkph2k9yi6F%2B0Vz7YoTkqAgjuWMa9Q%2B6BwXbi4tJc%3D","Link")</f>
        <v>Link</v>
      </c>
      <c r="B2255" s="2" t="s">
        <v>7116</v>
      </c>
      <c r="C2255" s="2" t="s">
        <v>7114</v>
      </c>
      <c r="D2255" s="2" t="s">
        <v>1415</v>
      </c>
      <c r="E2255" s="2" t="s">
        <v>7117</v>
      </c>
      <c r="F2255" s="2" t="s">
        <v>7118</v>
      </c>
      <c r="G2255" s="2" t="s">
        <v>6039</v>
      </c>
      <c r="H2255" s="2"/>
      <c r="I2255" s="2" t="s">
        <v>9</v>
      </c>
      <c r="K2255" t="e">
        <v>#N/A</v>
      </c>
      <c r="L2255" s="2" t="s">
        <v>8825</v>
      </c>
      <c r="M2255" t="s">
        <v>8365</v>
      </c>
      <c r="N2255" s="4"/>
    </row>
    <row r="2256" spans="1:14" ht="39" x14ac:dyDescent="0.3">
      <c r="A2256" s="1" t="str">
        <f>HYPERLINK("https://ipmanager.doe.gov/IPManager//ExternalLink.aspx?6ibkph2k9yi6F%2B0Vz7YoTkqAgjuWMa9QX%2B2g1Rgi5zs%3D","Link")</f>
        <v>Link</v>
      </c>
      <c r="B2256" s="2" t="s">
        <v>7113</v>
      </c>
      <c r="C2256" s="2" t="s">
        <v>7114</v>
      </c>
      <c r="D2256" s="2" t="s">
        <v>1415</v>
      </c>
      <c r="E2256" s="2" t="s">
        <v>7115</v>
      </c>
      <c r="F2256" s="2"/>
      <c r="G2256" s="2" t="s">
        <v>9</v>
      </c>
      <c r="H2256" s="2"/>
      <c r="I2256" s="2" t="s">
        <v>9</v>
      </c>
      <c r="K2256" t="e">
        <v>#N/A</v>
      </c>
      <c r="L2256" s="2" t="s">
        <v>8825</v>
      </c>
      <c r="M2256" t="s">
        <v>8365</v>
      </c>
      <c r="N2256" s="4"/>
    </row>
    <row r="2257" spans="1:14" ht="26" x14ac:dyDescent="0.3">
      <c r="A2257" s="1" t="str">
        <f>HYPERLINK("https://ipmanager.doe.gov/IPManager//ExternalLink.aspx?6ibkph2k9yi6F%2B0Vz7YoThEBhkR3uHVrtPHihlca%2BCA%3D","Link")</f>
        <v>Link</v>
      </c>
      <c r="B2257" s="2" t="s">
        <v>7119</v>
      </c>
      <c r="C2257" s="2" t="s">
        <v>7120</v>
      </c>
      <c r="D2257" s="2" t="s">
        <v>1415</v>
      </c>
      <c r="E2257" s="2" t="s">
        <v>7121</v>
      </c>
      <c r="F2257" s="2" t="s">
        <v>7122</v>
      </c>
      <c r="G2257" s="2" t="s">
        <v>807</v>
      </c>
      <c r="H2257" s="2"/>
      <c r="I2257" s="2" t="s">
        <v>9</v>
      </c>
      <c r="K2257" t="e">
        <v>#N/A</v>
      </c>
      <c r="L2257" s="2" t="s">
        <v>8826</v>
      </c>
      <c r="M2257" t="s">
        <v>8366</v>
      </c>
      <c r="N2257" s="4"/>
    </row>
    <row r="2258" spans="1:14" ht="26" x14ac:dyDescent="0.3">
      <c r="A2258" s="1" t="str">
        <f>HYPERLINK("https://ipmanager.doe.gov/IPManager//ExternalLink.aspx?6ibkph2k9yi6F%2B0Vz7YoTp68px7nSN2gOOcQ5ai0E6w%3D","Link")</f>
        <v>Link</v>
      </c>
      <c r="B2258" s="2" t="s">
        <v>7123</v>
      </c>
      <c r="C2258" s="2" t="s">
        <v>7120</v>
      </c>
      <c r="D2258" s="2" t="s">
        <v>1415</v>
      </c>
      <c r="E2258" s="2" t="s">
        <v>7124</v>
      </c>
      <c r="F2258" s="2" t="s">
        <v>7125</v>
      </c>
      <c r="G2258" s="2" t="s">
        <v>7126</v>
      </c>
      <c r="H2258" s="2"/>
      <c r="I2258" s="2" t="s">
        <v>9</v>
      </c>
      <c r="K2258" t="e">
        <v>#N/A</v>
      </c>
      <c r="L2258" s="2" t="s">
        <v>8826</v>
      </c>
      <c r="M2258" t="s">
        <v>8366</v>
      </c>
      <c r="N2258" s="4"/>
    </row>
    <row r="2259" spans="1:14" ht="39" x14ac:dyDescent="0.3">
      <c r="A2259" s="1" t="str">
        <f>HYPERLINK("https://ipmanager.doe.gov/IPManager//ExternalLink.aspx?6ibkph2k9yi6F%2B0Vz7YoTsTAnuFk5EoAYMj6PDas86Q%3D","Link")</f>
        <v>Link</v>
      </c>
      <c r="B2259" s="2" t="s">
        <v>7127</v>
      </c>
      <c r="C2259" s="2" t="s">
        <v>7128</v>
      </c>
      <c r="D2259" s="2" t="s">
        <v>2019</v>
      </c>
      <c r="E2259" s="2" t="s">
        <v>7129</v>
      </c>
      <c r="F2259" s="2"/>
      <c r="G2259" s="2" t="s">
        <v>9</v>
      </c>
      <c r="H2259" s="2"/>
      <c r="I2259" s="2" t="s">
        <v>9</v>
      </c>
      <c r="K2259" t="e">
        <v>#N/A</v>
      </c>
      <c r="L2259" s="2" t="s">
        <v>8827</v>
      </c>
      <c r="M2259" t="s">
        <v>8367</v>
      </c>
      <c r="N2259" s="4"/>
    </row>
    <row r="2260" spans="1:14" ht="39" x14ac:dyDescent="0.3">
      <c r="A2260" s="1" t="str">
        <f>HYPERLINK("https://ipmanager.doe.gov/IPManager//ExternalLink.aspx?6ibkph2k9yi6F%2B0Vz7YoTsTAnuFk5EoABHbULKU%2Bz5w%3D","Link")</f>
        <v>Link</v>
      </c>
      <c r="B2260" s="2" t="s">
        <v>7130</v>
      </c>
      <c r="C2260" s="2" t="s">
        <v>7128</v>
      </c>
      <c r="D2260" s="2" t="s">
        <v>2019</v>
      </c>
      <c r="E2260" s="2" t="s">
        <v>7131</v>
      </c>
      <c r="F2260" s="2"/>
      <c r="G2260" s="2" t="s">
        <v>9</v>
      </c>
      <c r="H2260" s="2"/>
      <c r="I2260" s="2" t="s">
        <v>9</v>
      </c>
      <c r="K2260" t="e">
        <v>#N/A</v>
      </c>
      <c r="L2260" s="2" t="s">
        <v>8827</v>
      </c>
      <c r="M2260" t="s">
        <v>8367</v>
      </c>
      <c r="N2260" s="4"/>
    </row>
    <row r="2261" spans="1:14" ht="65" x14ac:dyDescent="0.3">
      <c r="A2261" s="1" t="str">
        <f>HYPERLINK("https://ipmanager.doe.gov/IPManager//ExternalLink.aspx?6ibkph2k9yi6F%2B0Vz7YoTvPUg%2FVZPl3i3FamaX9bJ8Q%3D","Link")</f>
        <v>Link</v>
      </c>
      <c r="B2261" s="2" t="s">
        <v>7132</v>
      </c>
      <c r="C2261" s="2" t="s">
        <v>7128</v>
      </c>
      <c r="D2261" s="2" t="s">
        <v>2019</v>
      </c>
      <c r="E2261" s="2" t="s">
        <v>7133</v>
      </c>
      <c r="F2261" s="2"/>
      <c r="G2261" s="2" t="s">
        <v>9</v>
      </c>
      <c r="H2261" s="2"/>
      <c r="I2261" s="2" t="s">
        <v>9</v>
      </c>
      <c r="K2261" t="e">
        <v>#N/A</v>
      </c>
      <c r="L2261" s="2" t="s">
        <v>8827</v>
      </c>
      <c r="M2261" t="s">
        <v>8367</v>
      </c>
      <c r="N2261" s="4"/>
    </row>
    <row r="2262" spans="1:14" ht="65" x14ac:dyDescent="0.3">
      <c r="A2262" s="1" t="str">
        <f>HYPERLINK("https://ipmanager.doe.gov/IPManager//ExternalLink.aspx?6ibkph2k9yi6F%2B0Vz7YoTvE8yjoHgvp6zWQlo2Llbuw%3D","Link")</f>
        <v>Link</v>
      </c>
      <c r="B2262" s="2" t="s">
        <v>7134</v>
      </c>
      <c r="C2262" s="2" t="s">
        <v>7128</v>
      </c>
      <c r="D2262" s="2" t="s">
        <v>2019</v>
      </c>
      <c r="E2262" s="2" t="s">
        <v>7135</v>
      </c>
      <c r="F2262" s="2"/>
      <c r="G2262" s="2" t="s">
        <v>9</v>
      </c>
      <c r="H2262" s="2"/>
      <c r="I2262" s="2" t="s">
        <v>9</v>
      </c>
      <c r="K2262" t="e">
        <v>#N/A</v>
      </c>
      <c r="L2262" s="2" t="s">
        <v>8827</v>
      </c>
      <c r="M2262" t="s">
        <v>8367</v>
      </c>
      <c r="N2262" s="4"/>
    </row>
    <row r="2263" spans="1:14" ht="52" x14ac:dyDescent="0.3">
      <c r="A2263" s="1" t="str">
        <f>HYPERLINK("https://ipmanager.doe.gov/IPManager//ExternalLink.aspx?6ibkph2k9yi6F%2B0Vz7YoTkqAgjuWMa9QrB9OApYgdyU%3D","Link")</f>
        <v>Link</v>
      </c>
      <c r="B2263" s="2" t="s">
        <v>7136</v>
      </c>
      <c r="C2263" s="2" t="s">
        <v>7128</v>
      </c>
      <c r="D2263" s="2" t="s">
        <v>2019</v>
      </c>
      <c r="E2263" s="2" t="s">
        <v>7137</v>
      </c>
      <c r="F2263" s="2"/>
      <c r="G2263" s="2" t="s">
        <v>9</v>
      </c>
      <c r="H2263" s="2"/>
      <c r="I2263" s="2" t="s">
        <v>9</v>
      </c>
      <c r="K2263" t="e">
        <v>#N/A</v>
      </c>
      <c r="L2263" s="2" t="s">
        <v>8827</v>
      </c>
      <c r="M2263" t="s">
        <v>8367</v>
      </c>
      <c r="N2263" s="4"/>
    </row>
    <row r="2264" spans="1:14" ht="39" x14ac:dyDescent="0.3">
      <c r="A2264" s="1" t="str">
        <f>HYPERLINK("https://ipmanager.doe.gov/IPManager//ExternalLink.aspx?6ibkph2k9yi6F%2B0Vz7YoTkqAgjuWMa9QM6iKNye2W7Q%3D","Link")</f>
        <v>Link</v>
      </c>
      <c r="B2264" s="2" t="s">
        <v>7138</v>
      </c>
      <c r="C2264" s="2" t="s">
        <v>7139</v>
      </c>
      <c r="D2264" s="2" t="s">
        <v>1775</v>
      </c>
      <c r="E2264" s="2" t="s">
        <v>7140</v>
      </c>
      <c r="F2264" s="2" t="s">
        <v>7141</v>
      </c>
      <c r="G2264" s="2" t="s">
        <v>6320</v>
      </c>
      <c r="H2264" s="7"/>
      <c r="I2264" s="2" t="s">
        <v>9</v>
      </c>
      <c r="K2264" t="e">
        <v>#N/A</v>
      </c>
      <c r="L2264" s="2" t="s">
        <v>8828</v>
      </c>
      <c r="M2264" t="s">
        <v>8368</v>
      </c>
      <c r="N2264" s="4"/>
    </row>
    <row r="2265" spans="1:14" ht="39" x14ac:dyDescent="0.3">
      <c r="A2265" s="1" t="str">
        <f>HYPERLINK("https://ipmanager.doe.gov/IPManager//ExternalLink.aspx?6ibkph2k9yi6F%2B0Vz7YoTkqAgjuWMa9QsU9RSTOylWE%3D","Link")</f>
        <v>Link</v>
      </c>
      <c r="B2265" s="2" t="s">
        <v>7142</v>
      </c>
      <c r="C2265" s="2" t="s">
        <v>7143</v>
      </c>
      <c r="D2265" s="2" t="s">
        <v>135</v>
      </c>
      <c r="E2265" s="2" t="s">
        <v>7144</v>
      </c>
      <c r="F2265" s="2"/>
      <c r="G2265" s="2" t="s">
        <v>9</v>
      </c>
      <c r="H2265" s="2"/>
      <c r="I2265" s="2" t="s">
        <v>9</v>
      </c>
      <c r="K2265" t="e">
        <v>#N/A</v>
      </c>
      <c r="L2265" s="2" t="s">
        <v>8829</v>
      </c>
      <c r="M2265" t="s">
        <v>8369</v>
      </c>
      <c r="N2265" s="4"/>
    </row>
    <row r="2266" spans="1:14" ht="39" x14ac:dyDescent="0.3">
      <c r="A2266" s="1" t="str">
        <f>HYPERLINK("https://ipmanager.doe.gov/IPManager//ExternalLink.aspx?6ibkph2k9yi6F%2B0Vz7YoTkqAgjuWMa9Qnk2hxYPTXsE%3D","Link")</f>
        <v>Link</v>
      </c>
      <c r="B2266" s="2" t="s">
        <v>7145</v>
      </c>
      <c r="C2266" s="2" t="s">
        <v>7143</v>
      </c>
      <c r="D2266" s="2" t="s">
        <v>135</v>
      </c>
      <c r="E2266" s="2" t="s">
        <v>7146</v>
      </c>
      <c r="F2266" s="2"/>
      <c r="G2266" s="2" t="s">
        <v>9</v>
      </c>
      <c r="H2266" s="2"/>
      <c r="I2266" s="2" t="s">
        <v>9</v>
      </c>
      <c r="K2266" t="e">
        <v>#N/A</v>
      </c>
      <c r="L2266" s="2" t="s">
        <v>8829</v>
      </c>
      <c r="M2266" t="s">
        <v>8369</v>
      </c>
      <c r="N2266" s="4"/>
    </row>
    <row r="2267" spans="1:14" ht="39" x14ac:dyDescent="0.3">
      <c r="A2267" s="1" t="str">
        <f>HYPERLINK("https://ipmanager.doe.gov/IPManager//ExternalLink.aspx?6ibkph2k9yi6F%2B0Vz7YoTkqAgjuWMa9Q81nhRddBl0g%3D","Link")</f>
        <v>Link</v>
      </c>
      <c r="B2267" s="2" t="s">
        <v>7147</v>
      </c>
      <c r="C2267" s="2" t="s">
        <v>7143</v>
      </c>
      <c r="D2267" s="2" t="s">
        <v>135</v>
      </c>
      <c r="E2267" s="2" t="s">
        <v>7148</v>
      </c>
      <c r="F2267" s="2"/>
      <c r="G2267" s="2" t="s">
        <v>9</v>
      </c>
      <c r="H2267" s="2"/>
      <c r="I2267" s="2" t="s">
        <v>9</v>
      </c>
      <c r="K2267" t="e">
        <v>#N/A</v>
      </c>
      <c r="L2267" s="2" t="s">
        <v>8829</v>
      </c>
      <c r="M2267" t="s">
        <v>8369</v>
      </c>
      <c r="N2267" s="4"/>
    </row>
    <row r="2268" spans="1:14" ht="52" x14ac:dyDescent="0.3">
      <c r="A2268" s="1" t="str">
        <f>HYPERLINK("https://ipmanager.doe.gov/IPManager//ExternalLink.aspx?6ibkph2k9yi6F%2B0Vz7YoTsTAnuFk5EoA6y4xvHx7nRo%3D","Link")</f>
        <v>Link</v>
      </c>
      <c r="B2268" s="2" t="s">
        <v>7149</v>
      </c>
      <c r="C2268" s="2" t="s">
        <v>7143</v>
      </c>
      <c r="D2268" s="2" t="s">
        <v>135</v>
      </c>
      <c r="E2268" s="2" t="s">
        <v>7150</v>
      </c>
      <c r="F2268" s="2"/>
      <c r="G2268" s="2" t="s">
        <v>9</v>
      </c>
      <c r="H2268" s="2"/>
      <c r="I2268" s="2" t="s">
        <v>9</v>
      </c>
      <c r="K2268" t="e">
        <v>#N/A</v>
      </c>
      <c r="L2268" s="2" t="s">
        <v>8829</v>
      </c>
      <c r="M2268" t="s">
        <v>8369</v>
      </c>
      <c r="N2268" s="4"/>
    </row>
    <row r="2269" spans="1:14" ht="52" x14ac:dyDescent="0.3">
      <c r="A2269" s="1" t="str">
        <f>HYPERLINK("https://ipmanager.doe.gov/IPManager//ExternalLink.aspx?6ibkph2k9yi6F%2B0Vz7YoTu0g4zH%2BOsvy2MArXZUx71k%3D","Link")</f>
        <v>Link</v>
      </c>
      <c r="B2269" s="2" t="s">
        <v>7151</v>
      </c>
      <c r="C2269" s="2" t="s">
        <v>7143</v>
      </c>
      <c r="D2269" s="2" t="s">
        <v>135</v>
      </c>
      <c r="E2269" s="2" t="s">
        <v>7152</v>
      </c>
      <c r="F2269" s="2"/>
      <c r="G2269" s="2" t="s">
        <v>9</v>
      </c>
      <c r="H2269" s="2"/>
      <c r="I2269" s="2" t="s">
        <v>9</v>
      </c>
      <c r="K2269" t="e">
        <v>#N/A</v>
      </c>
      <c r="L2269" s="2" t="s">
        <v>8829</v>
      </c>
      <c r="M2269" t="s">
        <v>8369</v>
      </c>
      <c r="N2269" s="4"/>
    </row>
    <row r="2270" spans="1:14" ht="39" x14ac:dyDescent="0.3">
      <c r="A2270" s="1" t="str">
        <f>HYPERLINK("https://ipmanager.doe.gov/IPManager//ExternalLink.aspx?6ibkph2k9yi6F%2B0Vz7YoTu0g4zH%2BOsvy%2FGRT53H0v2U%3D","Link")</f>
        <v>Link</v>
      </c>
      <c r="B2270" s="2" t="s">
        <v>7153</v>
      </c>
      <c r="C2270" s="2" t="s">
        <v>7143</v>
      </c>
      <c r="D2270" s="2" t="s">
        <v>135</v>
      </c>
      <c r="E2270" s="2" t="s">
        <v>7154</v>
      </c>
      <c r="F2270" s="2"/>
      <c r="G2270" s="2" t="s">
        <v>9</v>
      </c>
      <c r="H2270" s="2"/>
      <c r="I2270" s="2" t="s">
        <v>9</v>
      </c>
      <c r="K2270" t="e">
        <v>#N/A</v>
      </c>
      <c r="L2270" s="2" t="s">
        <v>8829</v>
      </c>
      <c r="M2270" t="s">
        <v>8369</v>
      </c>
      <c r="N2270" s="4"/>
    </row>
    <row r="2271" spans="1:14" ht="39" x14ac:dyDescent="0.3">
      <c r="A2271" s="1" t="str">
        <f>HYPERLINK("https://ipmanager.doe.gov/IPManager//ExternalLink.aspx?6ibkph2k9yi6F%2B0Vz7YoTvE8yjoHgvp62f%2FRVNfLZII%3D","Link")</f>
        <v>Link</v>
      </c>
      <c r="B2271" s="2" t="s">
        <v>7155</v>
      </c>
      <c r="C2271" s="2" t="s">
        <v>7143</v>
      </c>
      <c r="D2271" s="2" t="s">
        <v>135</v>
      </c>
      <c r="E2271" s="2" t="s">
        <v>6842</v>
      </c>
      <c r="F2271" s="2"/>
      <c r="G2271" s="2" t="s">
        <v>9</v>
      </c>
      <c r="H2271" s="2"/>
      <c r="I2271" s="2" t="s">
        <v>9</v>
      </c>
      <c r="K2271" t="e">
        <v>#N/A</v>
      </c>
      <c r="L2271" s="2" t="s">
        <v>8829</v>
      </c>
      <c r="M2271" t="s">
        <v>8369</v>
      </c>
      <c r="N2271" s="4"/>
    </row>
    <row r="2272" spans="1:14" ht="65" x14ac:dyDescent="0.3">
      <c r="A2272" s="1" t="str">
        <f>HYPERLINK("https://ipmanager.doe.gov/IPManager//ExternalLink.aspx?6ibkph2k9yi6F%2B0Vz7YoTvE8yjoHgvp6vi9h6pHDg%2F4%3D","Link")</f>
        <v>Link</v>
      </c>
      <c r="B2272" s="2" t="s">
        <v>7156</v>
      </c>
      <c r="C2272" s="2" t="s">
        <v>7157</v>
      </c>
      <c r="D2272" s="2" t="s">
        <v>7158</v>
      </c>
      <c r="E2272" s="2" t="s">
        <v>7159</v>
      </c>
      <c r="F2272" s="2"/>
      <c r="G2272" s="2" t="s">
        <v>9</v>
      </c>
      <c r="H2272" s="2"/>
      <c r="I2272" s="2" t="s">
        <v>9</v>
      </c>
      <c r="K2272" t="e">
        <v>#N/A</v>
      </c>
      <c r="L2272" s="2" t="e">
        <v>#N/A</v>
      </c>
      <c r="M2272" t="e">
        <v>#N/A</v>
      </c>
      <c r="N2272" s="4"/>
    </row>
    <row r="2273" spans="1:14" ht="39" x14ac:dyDescent="0.3">
      <c r="A2273" s="1" t="str">
        <f>HYPERLINK("https://ipmanager.doe.gov/IPManager//ExternalLink.aspx?6ibkph2k9yi6F%2B0Vz7YoTsTAnuFk5EoAtpFhhlfbqEQ%3D","Link")</f>
        <v>Link</v>
      </c>
      <c r="B2273" s="2" t="s">
        <v>7160</v>
      </c>
      <c r="C2273" s="2" t="s">
        <v>7161</v>
      </c>
      <c r="D2273" s="2" t="s">
        <v>7162</v>
      </c>
      <c r="E2273" s="2" t="s">
        <v>7163</v>
      </c>
      <c r="F2273" s="2"/>
      <c r="G2273" s="2" t="s">
        <v>9</v>
      </c>
      <c r="H2273" s="2"/>
      <c r="I2273" s="2" t="s">
        <v>9</v>
      </c>
      <c r="K2273" t="e">
        <v>#N/A</v>
      </c>
      <c r="L2273" s="2" t="s">
        <v>8830</v>
      </c>
      <c r="M2273" t="s">
        <v>8370</v>
      </c>
      <c r="N2273" s="4"/>
    </row>
    <row r="2274" spans="1:14" ht="39" x14ac:dyDescent="0.3">
      <c r="A2274" s="1" t="str">
        <f>HYPERLINK("https://ipmanager.doe.gov/IPManager//ExternalLink.aspx?6ibkph2k9yi6F%2B0Vz7YoTkqAgjuWMa9Qm%2Fv6cMdFhLg%3D","Link")</f>
        <v>Link</v>
      </c>
      <c r="B2274" s="2" t="s">
        <v>7164</v>
      </c>
      <c r="C2274" s="2" t="s">
        <v>7161</v>
      </c>
      <c r="D2274" s="2" t="s">
        <v>7162</v>
      </c>
      <c r="E2274" s="2" t="s">
        <v>7165</v>
      </c>
      <c r="F2274" s="2"/>
      <c r="G2274" s="2" t="s">
        <v>9</v>
      </c>
      <c r="H2274" s="2"/>
      <c r="I2274" s="2" t="s">
        <v>9</v>
      </c>
      <c r="K2274" t="e">
        <v>#N/A</v>
      </c>
      <c r="L2274" s="2" t="s">
        <v>8830</v>
      </c>
      <c r="M2274" t="s">
        <v>8370</v>
      </c>
      <c r="N2274" s="4"/>
    </row>
    <row r="2275" spans="1:14" ht="39" x14ac:dyDescent="0.3">
      <c r="A2275" s="1" t="str">
        <f>HYPERLINK("https://ipmanager.doe.gov/IPManager//ExternalLink.aspx?6ibkph2k9yi6F%2B0Vz7YoTvE8yjoHgvp6ft%2FoBDaCr9w%3D","Link")</f>
        <v>Link</v>
      </c>
      <c r="B2275" s="2" t="s">
        <v>7166</v>
      </c>
      <c r="C2275" s="2" t="s">
        <v>7167</v>
      </c>
      <c r="D2275" s="2" t="s">
        <v>1064</v>
      </c>
      <c r="E2275" s="2" t="s">
        <v>7168</v>
      </c>
      <c r="F2275" s="2"/>
      <c r="G2275" s="2" t="s">
        <v>9</v>
      </c>
      <c r="H2275" s="2"/>
      <c r="I2275" s="2" t="s">
        <v>9</v>
      </c>
      <c r="K2275" t="e">
        <v>#N/A</v>
      </c>
      <c r="L2275" s="2" t="s">
        <v>8831</v>
      </c>
      <c r="M2275" t="s">
        <v>8371</v>
      </c>
      <c r="N2275" s="4"/>
    </row>
    <row r="2276" spans="1:14" ht="78" x14ac:dyDescent="0.3">
      <c r="A2276" s="1" t="str">
        <f>HYPERLINK("https://ipmanager.doe.gov/IPManager//ExternalLink.aspx?6ibkph2k9yi6F%2B0Vz7YoTu0g4zH%2BOsvyp9AKtaVePQo%3D","Link")</f>
        <v>Link</v>
      </c>
      <c r="B2276" s="2" t="s">
        <v>7175</v>
      </c>
      <c r="C2276" s="2" t="s">
        <v>7170</v>
      </c>
      <c r="D2276" s="2" t="s">
        <v>6205</v>
      </c>
      <c r="E2276" s="2" t="s">
        <v>7176</v>
      </c>
      <c r="F2276" s="2" t="s">
        <v>7177</v>
      </c>
      <c r="G2276" s="2" t="s">
        <v>7178</v>
      </c>
      <c r="H2276" s="7"/>
      <c r="I2276" s="2" t="s">
        <v>9</v>
      </c>
      <c r="K2276" t="e">
        <v>#N/A</v>
      </c>
      <c r="L2276" s="2" t="s">
        <v>8430</v>
      </c>
      <c r="M2276" t="s">
        <v>8372</v>
      </c>
      <c r="N2276" s="4"/>
    </row>
    <row r="2277" spans="1:14" ht="39" x14ac:dyDescent="0.3">
      <c r="A2277" s="1" t="str">
        <f>HYPERLINK("https://ipmanager.doe.gov/IPManager//ExternalLink.aspx?6ibkph2k9yi6F%2B0Vz7YoTsTAnuFk5EoAzwdJIbcyTwM%3D","Link")</f>
        <v>Link</v>
      </c>
      <c r="B2277" s="2" t="s">
        <v>7169</v>
      </c>
      <c r="C2277" s="2" t="s">
        <v>7170</v>
      </c>
      <c r="D2277" s="2" t="s">
        <v>6205</v>
      </c>
      <c r="E2277" s="2" t="s">
        <v>7171</v>
      </c>
      <c r="F2277" s="2"/>
      <c r="G2277" s="2" t="s">
        <v>9</v>
      </c>
      <c r="H2277" s="2"/>
      <c r="I2277" s="2" t="s">
        <v>9</v>
      </c>
      <c r="K2277" t="e">
        <v>#N/A</v>
      </c>
      <c r="L2277" s="2" t="s">
        <v>8430</v>
      </c>
      <c r="M2277" t="s">
        <v>8372</v>
      </c>
      <c r="N2277" s="4"/>
    </row>
    <row r="2278" spans="1:14" ht="52" x14ac:dyDescent="0.3">
      <c r="A2278" s="1" t="str">
        <f>HYPERLINK("https://ipmanager.doe.gov/IPManager//ExternalLink.aspx?6ibkph2k9yi6F%2B0Vz7YoTkqAgjuWMa9QjG8oMj61gKk%3D","Link")</f>
        <v>Link</v>
      </c>
      <c r="B2278" s="2" t="s">
        <v>7172</v>
      </c>
      <c r="C2278" s="2" t="s">
        <v>7170</v>
      </c>
      <c r="D2278" s="2" t="s">
        <v>6205</v>
      </c>
      <c r="E2278" s="2" t="s">
        <v>7173</v>
      </c>
      <c r="F2278" s="2"/>
      <c r="G2278" s="2" t="s">
        <v>9</v>
      </c>
      <c r="H2278" s="2"/>
      <c r="I2278" s="2" t="s">
        <v>9</v>
      </c>
      <c r="K2278" t="e">
        <v>#N/A</v>
      </c>
      <c r="L2278" s="2" t="s">
        <v>8430</v>
      </c>
      <c r="M2278" t="s">
        <v>8372</v>
      </c>
      <c r="N2278" s="4"/>
    </row>
    <row r="2279" spans="1:14" ht="39" x14ac:dyDescent="0.3">
      <c r="A2279" s="1" t="str">
        <f>HYPERLINK("https://ipmanager.doe.gov/IPManager//ExternalLink.aspx?6ibkph2k9yi6F%2B0Vz7YoTsTAnuFk5EoA9aBfiGhOIzQ%3D","Link")</f>
        <v>Link</v>
      </c>
      <c r="B2279" s="2" t="s">
        <v>7174</v>
      </c>
      <c r="C2279" s="2" t="s">
        <v>7170</v>
      </c>
      <c r="D2279" s="2" t="s">
        <v>6205</v>
      </c>
      <c r="E2279" s="2" t="s">
        <v>6063</v>
      </c>
      <c r="F2279" s="2"/>
      <c r="G2279" s="2" t="s">
        <v>9</v>
      </c>
      <c r="H2279" s="2"/>
      <c r="I2279" s="2" t="s">
        <v>9</v>
      </c>
      <c r="K2279" t="e">
        <v>#N/A</v>
      </c>
      <c r="L2279" s="2" t="s">
        <v>8430</v>
      </c>
      <c r="M2279" t="s">
        <v>8372</v>
      </c>
      <c r="N2279" s="4"/>
    </row>
    <row r="2280" spans="1:14" ht="65" x14ac:dyDescent="0.3">
      <c r="A2280" s="1" t="str">
        <f>HYPERLINK("https://ipmanager.doe.gov/IPManager//ExternalLink.aspx?6ibkph2k9yi6F%2B0Vz7YoTsTAnuFk5EoAH9HEzQsOB9c%3D","Link")</f>
        <v>Link</v>
      </c>
      <c r="B2280" s="2" t="s">
        <v>7179</v>
      </c>
      <c r="C2280" s="2" t="s">
        <v>7170</v>
      </c>
      <c r="D2280" s="2" t="s">
        <v>6205</v>
      </c>
      <c r="E2280" s="2" t="s">
        <v>7180</v>
      </c>
      <c r="F2280" s="2"/>
      <c r="G2280" s="2" t="s">
        <v>9</v>
      </c>
      <c r="H2280" s="2"/>
      <c r="I2280" s="2" t="s">
        <v>9</v>
      </c>
      <c r="K2280" t="e">
        <v>#N/A</v>
      </c>
      <c r="L2280" s="2" t="s">
        <v>8430</v>
      </c>
      <c r="M2280" t="s">
        <v>8372</v>
      </c>
      <c r="N2280" s="4"/>
    </row>
    <row r="2281" spans="1:14" ht="65" x14ac:dyDescent="0.3">
      <c r="A2281" s="1" t="str">
        <f>HYPERLINK("https://ipmanager.doe.gov/IPManager//ExternalLink.aspx?6ibkph2k9yi6F%2B0Vz7YoTsTAnuFk5EoAF4vdfQHoN7I%3D","Link")</f>
        <v>Link</v>
      </c>
      <c r="B2281" s="2" t="s">
        <v>7181</v>
      </c>
      <c r="C2281" s="2" t="s">
        <v>7182</v>
      </c>
      <c r="D2281" s="2" t="s">
        <v>348</v>
      </c>
      <c r="E2281" s="2" t="s">
        <v>7183</v>
      </c>
      <c r="F2281" s="2"/>
      <c r="G2281" s="2" t="s">
        <v>9</v>
      </c>
      <c r="H2281" s="2"/>
      <c r="I2281" s="2" t="s">
        <v>9</v>
      </c>
      <c r="K2281" t="e">
        <v>#N/A</v>
      </c>
      <c r="L2281" s="2" t="s">
        <v>8832</v>
      </c>
      <c r="M2281" t="s">
        <v>8373</v>
      </c>
      <c r="N2281" s="4"/>
    </row>
    <row r="2282" spans="1:14" ht="52" x14ac:dyDescent="0.3">
      <c r="A2282" s="1" t="str">
        <f>HYPERLINK("https://ipmanager.doe.gov/IPManager//ExternalLink.aspx?6ibkph2k9yi6F%2B0Vz7YoTvE8yjoHgvp6wt3m0vaxCA0%3D","Link")</f>
        <v>Link</v>
      </c>
      <c r="B2282" s="2" t="s">
        <v>7184</v>
      </c>
      <c r="C2282" s="2" t="s">
        <v>7185</v>
      </c>
      <c r="D2282" s="2" t="s">
        <v>7186</v>
      </c>
      <c r="E2282" s="2" t="s">
        <v>7187</v>
      </c>
      <c r="F2282" s="2" t="s">
        <v>7188</v>
      </c>
      <c r="G2282" s="2" t="s">
        <v>5629</v>
      </c>
      <c r="H2282" s="7"/>
      <c r="I2282" s="2" t="s">
        <v>9</v>
      </c>
      <c r="K2282" t="e">
        <v>#N/A</v>
      </c>
      <c r="L2282" s="2" t="s">
        <v>8833</v>
      </c>
      <c r="M2282" t="s">
        <v>8374</v>
      </c>
      <c r="N2282" s="4"/>
    </row>
    <row r="2283" spans="1:14" ht="78" x14ac:dyDescent="0.3">
      <c r="A2283" s="1" t="str">
        <f>HYPERLINK("https://ipmanager.doe.gov/IPManager//ExternalLink.aspx?6ibkph2k9yi6F%2B0Vz7YoTp68px7nSN2gMYzGTnmCttM%3D","Link")</f>
        <v>Link</v>
      </c>
      <c r="B2283" s="2" t="s">
        <v>7189</v>
      </c>
      <c r="C2283" s="2" t="s">
        <v>7190</v>
      </c>
      <c r="D2283" s="2" t="s">
        <v>3066</v>
      </c>
      <c r="E2283" s="2" t="s">
        <v>7191</v>
      </c>
      <c r="F2283" s="2" t="s">
        <v>7192</v>
      </c>
      <c r="G2283" s="2" t="s">
        <v>4780</v>
      </c>
      <c r="H2283" s="7"/>
      <c r="I2283" s="2" t="s">
        <v>9</v>
      </c>
      <c r="K2283" t="e">
        <v>#N/A</v>
      </c>
      <c r="L2283" s="2" t="s">
        <v>8834</v>
      </c>
      <c r="M2283" t="s">
        <v>8375</v>
      </c>
      <c r="N2283" s="4"/>
    </row>
    <row r="2284" spans="1:14" ht="65" x14ac:dyDescent="0.3">
      <c r="A2284" s="1" t="str">
        <f>HYPERLINK("https://ipmanager.doe.gov/IPManager//ExternalLink.aspx?6ibkph2k9yi6F%2B0Vz7YoTsTAnuFk5EoAWiFG40cPJko%3D","Link")</f>
        <v>Link</v>
      </c>
      <c r="B2284" s="2" t="s">
        <v>7193</v>
      </c>
      <c r="C2284" s="2" t="s">
        <v>7194</v>
      </c>
      <c r="D2284" s="2" t="s">
        <v>2019</v>
      </c>
      <c r="E2284" s="2" t="s">
        <v>7195</v>
      </c>
      <c r="F2284" s="2"/>
      <c r="G2284" s="2" t="s">
        <v>9</v>
      </c>
      <c r="H2284" s="2"/>
      <c r="I2284" s="2" t="s">
        <v>9</v>
      </c>
      <c r="K2284" t="e">
        <v>#N/A</v>
      </c>
      <c r="L2284" s="2" t="s">
        <v>8835</v>
      </c>
      <c r="M2284" t="s">
        <v>8376</v>
      </c>
      <c r="N2284" s="4"/>
    </row>
    <row r="2285" spans="1:14" ht="26" x14ac:dyDescent="0.3">
      <c r="A2285" s="1" t="str">
        <f>HYPERLINK("https://ipmanager.doe.gov/IPManager//ExternalLink.aspx?6ibkph2k9yi6F%2B0Vz7YoTsTAnuFk5EoAZwBJwVbe4E4%3D","Link")</f>
        <v>Link</v>
      </c>
      <c r="B2285" s="2" t="s">
        <v>7196</v>
      </c>
      <c r="C2285" s="2" t="s">
        <v>7197</v>
      </c>
      <c r="D2285" s="2" t="s">
        <v>7198</v>
      </c>
      <c r="E2285" s="2" t="s">
        <v>7199</v>
      </c>
      <c r="F2285" s="2" t="s">
        <v>7200</v>
      </c>
      <c r="G2285" s="2" t="s">
        <v>7201</v>
      </c>
      <c r="H2285" s="7"/>
      <c r="I2285" s="2" t="s">
        <v>9</v>
      </c>
      <c r="K2285" t="e">
        <v>#N/A</v>
      </c>
      <c r="L2285" s="2" t="s">
        <v>8836</v>
      </c>
      <c r="M2285" t="s">
        <v>8377</v>
      </c>
      <c r="N2285" s="4"/>
    </row>
    <row r="2286" spans="1:14" ht="65" x14ac:dyDescent="0.3">
      <c r="A2286" s="1" t="str">
        <f>HYPERLINK("https://ipmanager.doe.gov/IPManager//ExternalLink.aspx?6ibkph2k9yi6F%2B0Vz7YoTvE8yjoHgvp6IAS3WjnCpgU%3D","Link")</f>
        <v>Link</v>
      </c>
      <c r="B2286" s="2" t="s">
        <v>7202</v>
      </c>
      <c r="C2286" s="2" t="s">
        <v>7203</v>
      </c>
      <c r="D2286" s="2" t="s">
        <v>2019</v>
      </c>
      <c r="E2286" s="2" t="s">
        <v>7204</v>
      </c>
      <c r="F2286" s="2"/>
      <c r="G2286" s="2" t="s">
        <v>9</v>
      </c>
      <c r="H2286" s="2"/>
      <c r="I2286" s="2" t="s">
        <v>9</v>
      </c>
      <c r="K2286" t="e">
        <v>#N/A</v>
      </c>
      <c r="L2286" s="2" t="s">
        <v>8837</v>
      </c>
      <c r="M2286" t="s">
        <v>8378</v>
      </c>
      <c r="N2286" s="4"/>
    </row>
    <row r="2287" spans="1:14" ht="65" x14ac:dyDescent="0.3">
      <c r="A2287" s="1" t="str">
        <f>HYPERLINK("https://ipmanager.doe.gov/IPManager//ExternalLink.aspx?6ibkph2k9yi6F%2B0Vz7YoTvE8yjoHgvp6iw6QZHHnUp4%3D","Link")</f>
        <v>Link</v>
      </c>
      <c r="B2287" s="2" t="s">
        <v>7205</v>
      </c>
      <c r="C2287" s="2" t="s">
        <v>7203</v>
      </c>
      <c r="D2287" s="2" t="s">
        <v>2019</v>
      </c>
      <c r="E2287" s="2" t="s">
        <v>7206</v>
      </c>
      <c r="F2287" s="2"/>
      <c r="G2287" s="2" t="s">
        <v>9</v>
      </c>
      <c r="H2287" s="2"/>
      <c r="I2287" s="2" t="s">
        <v>9</v>
      </c>
      <c r="K2287" t="e">
        <v>#N/A</v>
      </c>
      <c r="L2287" s="2" t="s">
        <v>8837</v>
      </c>
      <c r="M2287" t="s">
        <v>8378</v>
      </c>
      <c r="N2287" s="4"/>
    </row>
    <row r="2288" spans="1:14" ht="39" x14ac:dyDescent="0.3">
      <c r="A2288" s="1" t="str">
        <f>HYPERLINK("https://ipmanager.doe.gov/IPManager//ExternalLink.aspx?6ibkph2k9yi6F%2B0Vz7YoTvE8yjoHgvp6MLL0hTtQdJY%3D","Link")</f>
        <v>Link</v>
      </c>
      <c r="B2288" s="2" t="s">
        <v>7207</v>
      </c>
      <c r="C2288" s="2" t="s">
        <v>7208</v>
      </c>
      <c r="D2288" s="2" t="s">
        <v>4275</v>
      </c>
      <c r="E2288" s="2" t="s">
        <v>7209</v>
      </c>
      <c r="F2288" s="2" t="s">
        <v>7210</v>
      </c>
      <c r="G2288" s="2" t="s">
        <v>1270</v>
      </c>
      <c r="H2288" s="2"/>
      <c r="I2288" s="2" t="s">
        <v>9</v>
      </c>
      <c r="K2288" t="e">
        <v>#N/A</v>
      </c>
      <c r="L2288" s="2" t="s">
        <v>8838</v>
      </c>
      <c r="M2288" t="s">
        <v>8379</v>
      </c>
      <c r="N2288" s="4"/>
    </row>
    <row r="2289" spans="1:14" ht="26" x14ac:dyDescent="0.3">
      <c r="A2289" s="1" t="str">
        <f>HYPERLINK("https://ipmanager.doe.gov/IPManager//ExternalLink.aspx?6ibkph2k9yi6F%2B0Vz7YoTkqAgjuWMa9Q64Pd9rUVytE%3D","Link")</f>
        <v>Link</v>
      </c>
      <c r="B2289" s="2" t="s">
        <v>7211</v>
      </c>
      <c r="C2289" s="2" t="s">
        <v>7212</v>
      </c>
      <c r="D2289" s="2" t="s">
        <v>3238</v>
      </c>
      <c r="E2289" s="2" t="s">
        <v>7213</v>
      </c>
      <c r="F2289" s="2"/>
      <c r="G2289" s="2" t="s">
        <v>9</v>
      </c>
      <c r="H2289" s="2"/>
      <c r="I2289" s="2" t="s">
        <v>9</v>
      </c>
      <c r="K2289" t="e">
        <v>#N/A</v>
      </c>
      <c r="L2289" s="2" t="s">
        <v>8839</v>
      </c>
      <c r="M2289" t="s">
        <v>8380</v>
      </c>
      <c r="N2289" s="4"/>
    </row>
    <row r="2290" spans="1:14" ht="39" x14ac:dyDescent="0.3">
      <c r="A2290" s="1" t="str">
        <f>HYPERLINK("https://ipmanager.doe.gov/IPManager//ExternalLink.aspx?6ibkph2k9yi6F%2B0Vz7YoTkqAgjuWMa9QcfTQgYvS8j0%3D","Link")</f>
        <v>Link</v>
      </c>
      <c r="B2290" s="2" t="s">
        <v>7214</v>
      </c>
      <c r="C2290" s="2" t="s">
        <v>7212</v>
      </c>
      <c r="D2290" s="2" t="s">
        <v>1246</v>
      </c>
      <c r="E2290" s="2" t="s">
        <v>7215</v>
      </c>
      <c r="F2290" s="2"/>
      <c r="G2290" s="2" t="s">
        <v>9</v>
      </c>
      <c r="H2290" s="2"/>
      <c r="I2290" s="2" t="s">
        <v>9</v>
      </c>
      <c r="K2290" t="e">
        <v>#N/A</v>
      </c>
      <c r="L2290" s="2" t="s">
        <v>8839</v>
      </c>
      <c r="M2290" t="s">
        <v>8380</v>
      </c>
      <c r="N2290" s="4"/>
    </row>
    <row r="2291" spans="1:14" ht="26" x14ac:dyDescent="0.3">
      <c r="A2291" s="1" t="str">
        <f>HYPERLINK("https://ipmanager.doe.gov/IPManager//ExternalLink.aspx?6ibkph2k9yi6F%2B0Vz7YoTsTAnuFk5EoAYOz44GD%2BC7U%3D","Link")</f>
        <v>Link</v>
      </c>
      <c r="B2291" s="2" t="s">
        <v>7216</v>
      </c>
      <c r="C2291" s="2" t="s">
        <v>7217</v>
      </c>
      <c r="D2291" s="2" t="s">
        <v>1474</v>
      </c>
      <c r="E2291" s="2" t="s">
        <v>7218</v>
      </c>
      <c r="F2291" s="2" t="s">
        <v>7219</v>
      </c>
      <c r="G2291" s="2" t="s">
        <v>7220</v>
      </c>
      <c r="H2291" s="7"/>
      <c r="I2291" s="2" t="s">
        <v>9</v>
      </c>
      <c r="K2291" t="e">
        <v>#N/A</v>
      </c>
      <c r="L2291" s="2" t="s">
        <v>8840</v>
      </c>
      <c r="M2291" t="s">
        <v>8381</v>
      </c>
      <c r="N2291" s="4"/>
    </row>
    <row r="2292" spans="1:14" ht="26" x14ac:dyDescent="0.3">
      <c r="A2292" s="1" t="str">
        <f>HYPERLINK("https://ipmanager.doe.gov/IPManager//ExternalLink.aspx?6ibkph2k9yi6F%2B0Vz7YoTvE8yjoHgvp6bxXaFb89NT4%3D","Link")</f>
        <v>Link</v>
      </c>
      <c r="B2292" s="2" t="s">
        <v>7221</v>
      </c>
      <c r="C2292" s="2" t="s">
        <v>7217</v>
      </c>
      <c r="D2292" s="2" t="s">
        <v>1474</v>
      </c>
      <c r="E2292" s="2" t="s">
        <v>7218</v>
      </c>
      <c r="F2292" s="2"/>
      <c r="G2292" s="2" t="s">
        <v>9</v>
      </c>
      <c r="H2292" s="2"/>
      <c r="I2292" s="2" t="s">
        <v>9</v>
      </c>
      <c r="K2292" t="e">
        <v>#N/A</v>
      </c>
      <c r="L2292" s="2" t="s">
        <v>8840</v>
      </c>
      <c r="M2292" t="s">
        <v>8381</v>
      </c>
      <c r="N2292" s="4"/>
    </row>
    <row r="2293" spans="1:14" ht="52" x14ac:dyDescent="0.3">
      <c r="A2293" s="1" t="str">
        <f>HYPERLINK("https://ipmanager.doe.gov/IPManager//ExternalLink.aspx?6ibkph2k9yi6F%2B0Vz7YoTvE8yjoHgvp6MilMT2gPze4%3D","Link")</f>
        <v>Link</v>
      </c>
      <c r="B2293" s="2" t="s">
        <v>7222</v>
      </c>
      <c r="C2293" s="2" t="s">
        <v>7223</v>
      </c>
      <c r="D2293" s="2" t="s">
        <v>4173</v>
      </c>
      <c r="E2293" s="2" t="s">
        <v>7224</v>
      </c>
      <c r="F2293" s="2"/>
      <c r="G2293" s="2" t="s">
        <v>9</v>
      </c>
      <c r="H2293" s="2"/>
      <c r="I2293" s="2" t="s">
        <v>9</v>
      </c>
      <c r="K2293" t="e">
        <v>#N/A</v>
      </c>
      <c r="L2293" s="2" t="s">
        <v>8841</v>
      </c>
      <c r="M2293" t="s">
        <v>8382</v>
      </c>
      <c r="N2293" s="4"/>
    </row>
    <row r="2294" spans="1:14" ht="26" x14ac:dyDescent="0.3">
      <c r="A2294" s="1" t="str">
        <f>HYPERLINK("https://ipmanager.doe.gov/IPManager//ExternalLink.aspx?6ibkph2k9yi6F%2B0Vz7YoTvPUg%2FVZPl3i5l3HplwkVJI%3D","Link")</f>
        <v>Link</v>
      </c>
      <c r="B2294" s="2" t="s">
        <v>7225</v>
      </c>
      <c r="C2294" s="2" t="s">
        <v>7226</v>
      </c>
      <c r="D2294" s="2" t="s">
        <v>7227</v>
      </c>
      <c r="E2294" s="2" t="s">
        <v>7228</v>
      </c>
      <c r="F2294" s="2"/>
      <c r="G2294" s="2" t="s">
        <v>9</v>
      </c>
      <c r="H2294" s="2"/>
      <c r="I2294" s="2" t="s">
        <v>9</v>
      </c>
      <c r="K2294" t="e">
        <v>#N/A</v>
      </c>
      <c r="L2294" s="2" t="s">
        <v>8842</v>
      </c>
      <c r="M2294" t="s">
        <v>8383</v>
      </c>
      <c r="N2294" s="4"/>
    </row>
    <row r="2295" spans="1:14" ht="26" x14ac:dyDescent="0.3">
      <c r="A2295" s="1" t="str">
        <f>HYPERLINK("https://ipmanager.doe.gov/IPManager//ExternalLink.aspx?6ibkph2k9yi6F%2B0Vz7YoThEBhkR3uHVrSRtLZ57nlgk%3D","Link")</f>
        <v>Link</v>
      </c>
      <c r="B2295" s="2" t="s">
        <v>7229</v>
      </c>
      <c r="C2295" s="2" t="s">
        <v>7230</v>
      </c>
      <c r="D2295" s="2" t="s">
        <v>1952</v>
      </c>
      <c r="E2295" s="2" t="s">
        <v>7231</v>
      </c>
      <c r="F2295" s="2"/>
      <c r="G2295" s="2" t="s">
        <v>9</v>
      </c>
      <c r="H2295" s="2"/>
      <c r="I2295" s="2" t="s">
        <v>9</v>
      </c>
      <c r="K2295" t="e">
        <v>#N/A</v>
      </c>
      <c r="L2295" s="2" t="s">
        <v>8843</v>
      </c>
      <c r="M2295" t="s">
        <v>8384</v>
      </c>
      <c r="N2295" s="4"/>
    </row>
    <row r="2296" spans="1:14" ht="26" x14ac:dyDescent="0.3">
      <c r="A2296" s="1" t="str">
        <f>HYPERLINK("https://ipmanager.doe.gov/IPManager//ExternalLink.aspx?6ibkph2k9yi6F%2B0Vz7YoTvE8yjoHgvp6djNrhyOM1jA%3D","Link")</f>
        <v>Link</v>
      </c>
      <c r="B2296" s="2" t="s">
        <v>7235</v>
      </c>
      <c r="C2296" s="2" t="s">
        <v>7233</v>
      </c>
      <c r="D2296" s="2" t="s">
        <v>3059</v>
      </c>
      <c r="E2296" s="2" t="s">
        <v>7236</v>
      </c>
      <c r="F2296" s="2" t="s">
        <v>7237</v>
      </c>
      <c r="G2296" s="2" t="s">
        <v>7238</v>
      </c>
      <c r="H2296" s="2"/>
      <c r="I2296" s="2" t="s">
        <v>9</v>
      </c>
      <c r="K2296" t="e">
        <v>#N/A</v>
      </c>
      <c r="L2296" s="2" t="s">
        <v>8844</v>
      </c>
      <c r="M2296" t="s">
        <v>8385</v>
      </c>
      <c r="N2296" s="4"/>
    </row>
    <row r="2297" spans="1:14" ht="26" x14ac:dyDescent="0.3">
      <c r="A2297" s="1" t="str">
        <f>HYPERLINK("https://ipmanager.doe.gov/IPManager//ExternalLink.aspx?6ibkph2k9yi6F%2B0Vz7YoTvE8yjoHgvp606Nz2QqUxE0%3D","Link")</f>
        <v>Link</v>
      </c>
      <c r="B2297" s="2" t="s">
        <v>7239</v>
      </c>
      <c r="C2297" s="2" t="s">
        <v>7233</v>
      </c>
      <c r="D2297" s="2" t="s">
        <v>3059</v>
      </c>
      <c r="E2297" s="2" t="s">
        <v>7240</v>
      </c>
      <c r="F2297" s="2" t="s">
        <v>7241</v>
      </c>
      <c r="G2297" s="2" t="s">
        <v>5434</v>
      </c>
      <c r="H2297" s="2"/>
      <c r="I2297" s="2" t="s">
        <v>9</v>
      </c>
      <c r="K2297" t="e">
        <v>#N/A</v>
      </c>
      <c r="L2297" s="2" t="s">
        <v>8844</v>
      </c>
      <c r="M2297" t="s">
        <v>8385</v>
      </c>
      <c r="N2297" s="4"/>
    </row>
    <row r="2298" spans="1:14" ht="39" x14ac:dyDescent="0.3">
      <c r="A2298" s="1" t="str">
        <f>HYPERLINK("https://ipmanager.doe.gov/IPManager//ExternalLink.aspx?6ibkph2k9yi6F%2B0Vz7YoThEBhkR3uHVrp2CmegMQrG8%3D","Link")</f>
        <v>Link</v>
      </c>
      <c r="B2298" s="2" t="s">
        <v>7232</v>
      </c>
      <c r="C2298" s="2" t="s">
        <v>7233</v>
      </c>
      <c r="D2298" s="2" t="s">
        <v>3062</v>
      </c>
      <c r="E2298" s="2" t="s">
        <v>7234</v>
      </c>
      <c r="F2298" s="2"/>
      <c r="G2298" s="2" t="s">
        <v>9</v>
      </c>
      <c r="H2298" s="2"/>
      <c r="I2298" s="2" t="s">
        <v>9</v>
      </c>
      <c r="K2298" t="e">
        <v>#N/A</v>
      </c>
      <c r="L2298" s="2" t="s">
        <v>8844</v>
      </c>
      <c r="M2298" t="s">
        <v>8385</v>
      </c>
      <c r="N2298" s="4"/>
    </row>
    <row r="2299" spans="1:14" ht="26" x14ac:dyDescent="0.3">
      <c r="A2299" s="1" t="str">
        <f>HYPERLINK("https://ipmanager.doe.gov/IPManager//ExternalLink.aspx?6ibkph2k9yi6F%2B0Vz7YoTvE8yjoHgvp6qbsc8H%2BkL30%3D","Link")</f>
        <v>Link</v>
      </c>
      <c r="B2299" s="2" t="s">
        <v>7242</v>
      </c>
      <c r="C2299" s="2" t="s">
        <v>7243</v>
      </c>
      <c r="D2299" s="2" t="s">
        <v>2957</v>
      </c>
      <c r="E2299" s="2" t="s">
        <v>7244</v>
      </c>
      <c r="F2299" s="2" t="s">
        <v>7245</v>
      </c>
      <c r="G2299" s="2" t="s">
        <v>6323</v>
      </c>
      <c r="H2299" s="7"/>
      <c r="I2299" s="2" t="s">
        <v>9</v>
      </c>
      <c r="K2299" t="e">
        <v>#N/A</v>
      </c>
      <c r="L2299" s="2" t="s">
        <v>8845</v>
      </c>
      <c r="M2299" t="s">
        <v>8386</v>
      </c>
      <c r="N2299" s="4"/>
    </row>
    <row r="2300" spans="1:14" ht="26" x14ac:dyDescent="0.3">
      <c r="A2300" s="1" t="str">
        <f>HYPERLINK("https://ipmanager.doe.gov/IPManager//ExternalLink.aspx?6ibkph2k9yi6F%2B0Vz7YoTvE8yjoHgvp603f8nhe5NoU%3D","Link")</f>
        <v>Link</v>
      </c>
      <c r="B2300" s="2" t="s">
        <v>7246</v>
      </c>
      <c r="C2300" s="2" t="s">
        <v>7243</v>
      </c>
      <c r="D2300" s="2" t="s">
        <v>7158</v>
      </c>
      <c r="E2300" s="2" t="s">
        <v>7247</v>
      </c>
      <c r="F2300" s="2" t="s">
        <v>7248</v>
      </c>
      <c r="G2300" s="2" t="s">
        <v>1270</v>
      </c>
      <c r="H2300" s="2"/>
      <c r="I2300" s="2" t="s">
        <v>9</v>
      </c>
      <c r="K2300" t="e">
        <v>#N/A</v>
      </c>
      <c r="L2300" s="2" t="s">
        <v>8845</v>
      </c>
      <c r="M2300" t="s">
        <v>8386</v>
      </c>
      <c r="N2300" s="4"/>
    </row>
    <row r="2301" spans="1:14" ht="39" x14ac:dyDescent="0.3">
      <c r="A2301" s="1" t="str">
        <f>HYPERLINK("https://ipmanager.doe.gov/IPManager//ExternalLink.aspx?6ibkph2k9yi6F%2B0Vz7YoTvE8yjoHgvp6WYfg0LeTb4k%3D","Link")</f>
        <v>Link</v>
      </c>
      <c r="B2301" s="2" t="s">
        <v>7249</v>
      </c>
      <c r="C2301" s="2" t="s">
        <v>7250</v>
      </c>
      <c r="D2301" s="2" t="s">
        <v>7251</v>
      </c>
      <c r="E2301" s="2" t="s">
        <v>7252</v>
      </c>
      <c r="F2301" s="2" t="s">
        <v>7253</v>
      </c>
      <c r="G2301" s="2" t="s">
        <v>3625</v>
      </c>
      <c r="H2301" s="2"/>
      <c r="I2301" s="2" t="s">
        <v>9</v>
      </c>
      <c r="K2301" t="e">
        <v>#N/A</v>
      </c>
      <c r="L2301" s="2" t="s">
        <v>8846</v>
      </c>
      <c r="M2301" t="s">
        <v>8387</v>
      </c>
      <c r="N2301" s="4"/>
    </row>
    <row r="2302" spans="1:14" ht="65" x14ac:dyDescent="0.3">
      <c r="A2302" s="1" t="str">
        <f>HYPERLINK("https://ipmanager.doe.gov/IPManager//ExternalLink.aspx?6ibkph2k9yi6F%2B0Vz7YoTvE8yjoHgvp6Fwp%2FKS%2B5ptA%3D","Link")</f>
        <v>Link</v>
      </c>
      <c r="B2302" s="2" t="s">
        <v>7254</v>
      </c>
      <c r="C2302" s="2" t="s">
        <v>7255</v>
      </c>
      <c r="D2302" s="2" t="s">
        <v>3768</v>
      </c>
      <c r="E2302" s="2" t="s">
        <v>7256</v>
      </c>
      <c r="F2302" s="2"/>
      <c r="G2302" s="2" t="s">
        <v>9</v>
      </c>
      <c r="H2302" s="2"/>
      <c r="I2302" s="2" t="s">
        <v>9</v>
      </c>
      <c r="K2302" t="e">
        <v>#N/A</v>
      </c>
      <c r="L2302" s="2" t="s">
        <v>8707</v>
      </c>
      <c r="M2302" t="s">
        <v>8388</v>
      </c>
      <c r="N2302" s="4"/>
    </row>
    <row r="2303" spans="1:14" ht="78" x14ac:dyDescent="0.3">
      <c r="A2303" s="1" t="str">
        <f>HYPERLINK("https://ipmanager.doe.gov/IPManager//ExternalLink.aspx?6ibkph2k9yi6F%2B0Vz7YoTkqAgjuWMa9QIKKTPOxRlYY%3D","Link")</f>
        <v>Link</v>
      </c>
      <c r="B2303" s="2" t="s">
        <v>7257</v>
      </c>
      <c r="C2303" s="2" t="s">
        <v>7255</v>
      </c>
      <c r="D2303" s="2" t="s">
        <v>3768</v>
      </c>
      <c r="E2303" s="2" t="s">
        <v>7258</v>
      </c>
      <c r="F2303" s="2"/>
      <c r="G2303" s="2" t="s">
        <v>9</v>
      </c>
      <c r="H2303" s="2"/>
      <c r="I2303" s="2" t="s">
        <v>9</v>
      </c>
      <c r="K2303" t="e">
        <v>#N/A</v>
      </c>
      <c r="L2303" s="2" t="s">
        <v>8707</v>
      </c>
      <c r="M2303" t="s">
        <v>8388</v>
      </c>
      <c r="N2303" s="4"/>
    </row>
    <row r="2304" spans="1:14" ht="78" x14ac:dyDescent="0.3">
      <c r="A2304" s="1" t="str">
        <f>HYPERLINK("https://ipmanager.doe.gov/IPManager//ExternalLink.aspx?6ibkph2k9yi6F%2B0Vz7YoTp68px7nSN2gHSu1DXm%2BKc0%3D","Link")</f>
        <v>Link</v>
      </c>
      <c r="B2304" s="2" t="s">
        <v>7259</v>
      </c>
      <c r="C2304" s="2" t="s">
        <v>7255</v>
      </c>
      <c r="D2304" s="2" t="s">
        <v>3768</v>
      </c>
      <c r="E2304" s="2" t="s">
        <v>7260</v>
      </c>
      <c r="F2304" s="2"/>
      <c r="G2304" s="2" t="s">
        <v>9</v>
      </c>
      <c r="H2304" s="2"/>
      <c r="I2304" s="2" t="s">
        <v>9</v>
      </c>
      <c r="K2304" t="e">
        <v>#N/A</v>
      </c>
      <c r="L2304" s="2" t="s">
        <v>8707</v>
      </c>
      <c r="M2304" t="s">
        <v>8388</v>
      </c>
      <c r="N2304" s="4"/>
    </row>
    <row r="2305" spans="1:14" ht="52" x14ac:dyDescent="0.3">
      <c r="A2305" s="1" t="str">
        <f>HYPERLINK("https://ipmanager.doe.gov/IPManager//ExternalLink.aspx?6ibkph2k9yi6F%2B0Vz7YoTvE8yjoHgvp6XHypT0fzPqk%3D","Link")</f>
        <v>Link</v>
      </c>
      <c r="B2305" s="2" t="s">
        <v>7261</v>
      </c>
      <c r="C2305" s="2" t="s">
        <v>7262</v>
      </c>
      <c r="D2305" s="2" t="s">
        <v>1336</v>
      </c>
      <c r="E2305" s="2" t="s">
        <v>7263</v>
      </c>
      <c r="F2305" s="2"/>
      <c r="G2305" s="2" t="s">
        <v>9</v>
      </c>
      <c r="H2305" s="2"/>
      <c r="I2305" s="2" t="s">
        <v>9</v>
      </c>
      <c r="K2305" t="e">
        <v>#N/A</v>
      </c>
      <c r="L2305" s="2" t="s">
        <v>8641</v>
      </c>
      <c r="M2305" t="s">
        <v>8182</v>
      </c>
      <c r="N2305" s="4"/>
    </row>
    <row r="2306" spans="1:14" x14ac:dyDescent="0.3">
      <c r="A2306" s="1" t="str">
        <f>HYPERLINK("https://ipmanager.doe.gov/IPManager//ExternalLink.aspx?6ibkph2k9yi6F%2B0Vz7YoTsTAnuFk5EoAjc4xw4P3g%2FQ%3D","Link")</f>
        <v>Link</v>
      </c>
      <c r="B2306" s="2" t="s">
        <v>7264</v>
      </c>
      <c r="C2306" s="2" t="s">
        <v>7265</v>
      </c>
      <c r="D2306" s="2" t="s">
        <v>3066</v>
      </c>
      <c r="E2306" s="2" t="s">
        <v>7266</v>
      </c>
      <c r="F2306" s="2"/>
      <c r="G2306" s="2" t="s">
        <v>9</v>
      </c>
      <c r="H2306" s="2"/>
      <c r="I2306" s="2" t="s">
        <v>9</v>
      </c>
      <c r="K2306" t="e">
        <v>#N/A</v>
      </c>
      <c r="L2306" s="2" t="s">
        <v>8847</v>
      </c>
      <c r="M2306" t="s">
        <v>8389</v>
      </c>
      <c r="N2306" s="4"/>
    </row>
    <row r="2307" spans="1:14" ht="52" x14ac:dyDescent="0.3">
      <c r="A2307" s="1" t="str">
        <f>HYPERLINK("https://ipmanager.doe.gov/IPManager//ExternalLink.aspx?6ibkph2k9yi6F%2B0Vz7YoTsTAnuFk5EoA6Qz0md1Azkw%3D","Link")</f>
        <v>Link</v>
      </c>
      <c r="B2307" s="2" t="s">
        <v>7267</v>
      </c>
      <c r="C2307" s="2" t="s">
        <v>7268</v>
      </c>
      <c r="D2307" s="2" t="s">
        <v>6925</v>
      </c>
      <c r="E2307" s="2" t="s">
        <v>7269</v>
      </c>
      <c r="F2307" s="2"/>
      <c r="G2307" s="2" t="s">
        <v>9</v>
      </c>
      <c r="H2307" s="2"/>
      <c r="I2307" s="2" t="s">
        <v>9</v>
      </c>
      <c r="K2307" t="e">
        <v>#N/A</v>
      </c>
      <c r="L2307" s="2" t="s">
        <v>8848</v>
      </c>
      <c r="M2307" t="s">
        <v>8390</v>
      </c>
      <c r="N2307" s="4"/>
    </row>
    <row r="2308" spans="1:14" ht="39" x14ac:dyDescent="0.3">
      <c r="A2308" s="1" t="str">
        <f>HYPERLINK("https://ipmanager.doe.gov/IPManager//ExternalLink.aspx?6ibkph2k9yi6F%2B0Vz7YoTvE8yjoHgvp6cXWbJNOoSM8%3D","Link")</f>
        <v>Link</v>
      </c>
      <c r="B2308" s="2" t="s">
        <v>7270</v>
      </c>
      <c r="C2308" s="2" t="s">
        <v>7268</v>
      </c>
      <c r="D2308" s="2" t="s">
        <v>6925</v>
      </c>
      <c r="E2308" s="2" t="s">
        <v>6926</v>
      </c>
      <c r="F2308" s="2"/>
      <c r="G2308" s="2" t="s">
        <v>9</v>
      </c>
      <c r="H2308" s="2"/>
      <c r="I2308" s="2" t="s">
        <v>9</v>
      </c>
      <c r="K2308" t="e">
        <v>#N/A</v>
      </c>
      <c r="L2308" s="2" t="s">
        <v>8848</v>
      </c>
      <c r="M2308" t="s">
        <v>8390</v>
      </c>
      <c r="N2308" s="4"/>
    </row>
    <row r="2309" spans="1:14" ht="65" x14ac:dyDescent="0.3">
      <c r="A2309" s="1" t="str">
        <f>HYPERLINK("https://ipmanager.doe.gov/IPManager//ExternalLink.aspx?6ibkph2k9yi6F%2B0Vz7YoTvE8yjoHgvp6E7%2BqhQTHjuw%3D","Link")</f>
        <v>Link</v>
      </c>
      <c r="B2309" s="2" t="s">
        <v>7271</v>
      </c>
      <c r="C2309" s="2" t="s">
        <v>7268</v>
      </c>
      <c r="D2309" s="2" t="s">
        <v>6925</v>
      </c>
      <c r="E2309" s="2" t="s">
        <v>7272</v>
      </c>
      <c r="F2309" s="2"/>
      <c r="G2309" s="2" t="s">
        <v>9</v>
      </c>
      <c r="H2309" s="2"/>
      <c r="I2309" s="2" t="s">
        <v>9</v>
      </c>
      <c r="K2309" t="e">
        <v>#N/A</v>
      </c>
      <c r="L2309" s="2" t="s">
        <v>8848</v>
      </c>
      <c r="M2309" t="s">
        <v>8390</v>
      </c>
      <c r="N2309" s="4"/>
    </row>
    <row r="2310" spans="1:14" ht="65" x14ac:dyDescent="0.3">
      <c r="A2310" s="1" t="str">
        <f>HYPERLINK("https://ipmanager.doe.gov/IPManager//ExternalLink.aspx?6ibkph2k9yi6F%2B0Vz7YoTsTAnuFk5EoAfiQReCjR9Pg%3D","Link")</f>
        <v>Link</v>
      </c>
      <c r="B2310" s="2" t="s">
        <v>7273</v>
      </c>
      <c r="C2310" s="2" t="s">
        <v>7268</v>
      </c>
      <c r="D2310" s="2" t="s">
        <v>6925</v>
      </c>
      <c r="E2310" s="2" t="s">
        <v>7274</v>
      </c>
      <c r="F2310" s="2"/>
      <c r="G2310" s="2" t="s">
        <v>9</v>
      </c>
      <c r="H2310" s="2"/>
      <c r="I2310" s="2" t="s">
        <v>9</v>
      </c>
      <c r="K2310" t="e">
        <v>#N/A</v>
      </c>
      <c r="L2310" s="2" t="s">
        <v>8848</v>
      </c>
      <c r="M2310" t="s">
        <v>8390</v>
      </c>
      <c r="N2310" s="4"/>
    </row>
    <row r="2311" spans="1:14" ht="39" x14ac:dyDescent="0.3">
      <c r="A2311" s="1" t="str">
        <f>HYPERLINK("https://ipmanager.doe.gov/IPManager//ExternalLink.aspx?6ibkph2k9yi6F%2B0Vz7YoTvE8yjoHgvp6rqnsWT9iV0Y%3D","Link")</f>
        <v>Link</v>
      </c>
      <c r="B2311" s="2" t="s">
        <v>7275</v>
      </c>
      <c r="C2311" s="2" t="s">
        <v>7268</v>
      </c>
      <c r="D2311" s="2" t="s">
        <v>6925</v>
      </c>
      <c r="E2311" s="2" t="s">
        <v>7276</v>
      </c>
      <c r="F2311" s="2"/>
      <c r="G2311" s="2" t="s">
        <v>9</v>
      </c>
      <c r="H2311" s="2"/>
      <c r="I2311" s="2" t="s">
        <v>9</v>
      </c>
      <c r="K2311" t="e">
        <v>#N/A</v>
      </c>
      <c r="L2311" s="2" t="s">
        <v>8848</v>
      </c>
      <c r="M2311" t="s">
        <v>8390</v>
      </c>
      <c r="N2311" s="4"/>
    </row>
    <row r="2312" spans="1:14" ht="65" x14ac:dyDescent="0.3">
      <c r="A2312" s="1" t="str">
        <f>HYPERLINK("https://ipmanager.doe.gov/IPManager//ExternalLink.aspx?6ibkph2k9yi6F%2B0Vz7YoThEBhkR3uHVrdr70TyqSOe4%3D","Link")</f>
        <v>Link</v>
      </c>
      <c r="B2312" s="2" t="s">
        <v>7277</v>
      </c>
      <c r="C2312" s="2" t="s">
        <v>7278</v>
      </c>
      <c r="D2312" s="2" t="s">
        <v>6200</v>
      </c>
      <c r="E2312" s="2" t="s">
        <v>7279</v>
      </c>
      <c r="F2312" s="2" t="s">
        <v>7280</v>
      </c>
      <c r="G2312" s="2" t="s">
        <v>6480</v>
      </c>
      <c r="H2312" s="7"/>
      <c r="I2312" s="2" t="s">
        <v>9</v>
      </c>
      <c r="K2312" t="e">
        <v>#N/A</v>
      </c>
      <c r="L2312" s="2" t="s">
        <v>8780</v>
      </c>
      <c r="M2312" t="s">
        <v>8320</v>
      </c>
      <c r="N2312" s="4"/>
    </row>
    <row r="2313" spans="1:14" ht="26" x14ac:dyDescent="0.3">
      <c r="A2313" s="1" t="str">
        <f>HYPERLINK("https://ipmanager.doe.gov/IPManager//ExternalLink.aspx?6ibkph2k9yi6F%2B0Vz7YoTvE8yjoHgvp67iK5ujQQ97E%3D","Link")</f>
        <v>Link</v>
      </c>
      <c r="B2313" s="2" t="s">
        <v>7281</v>
      </c>
      <c r="C2313" s="2" t="s">
        <v>7282</v>
      </c>
      <c r="D2313" s="2" t="s">
        <v>7283</v>
      </c>
      <c r="E2313" s="2" t="s">
        <v>7284</v>
      </c>
      <c r="F2313" s="2"/>
      <c r="G2313" s="2" t="s">
        <v>9</v>
      </c>
      <c r="H2313" s="2"/>
      <c r="I2313" s="2" t="s">
        <v>9</v>
      </c>
      <c r="K2313" t="e">
        <v>#N/A</v>
      </c>
      <c r="L2313" s="2" t="s">
        <v>8849</v>
      </c>
      <c r="M2313" t="s">
        <v>8391</v>
      </c>
      <c r="N2313" s="4"/>
    </row>
    <row r="2314" spans="1:14" ht="78" x14ac:dyDescent="0.3">
      <c r="A2314" s="1" t="str">
        <f>HYPERLINK("https://ipmanager.doe.gov/IPManager//ExternalLink.aspx?6ibkph2k9yi6F%2B0Vz7YoTvE8yjoHgvp6kfY2oah6%2BQM%3D","Link")</f>
        <v>Link</v>
      </c>
      <c r="B2314" s="2" t="s">
        <v>7285</v>
      </c>
      <c r="C2314" s="2" t="s">
        <v>7286</v>
      </c>
      <c r="D2314" s="2" t="s">
        <v>3768</v>
      </c>
      <c r="E2314" s="2" t="s">
        <v>7287</v>
      </c>
      <c r="F2314" s="2" t="s">
        <v>7288</v>
      </c>
      <c r="G2314" s="2" t="s">
        <v>1265</v>
      </c>
      <c r="H2314" s="7"/>
      <c r="I2314" s="2" t="s">
        <v>9</v>
      </c>
      <c r="K2314" t="e">
        <v>#N/A</v>
      </c>
      <c r="L2314" s="2" t="s">
        <v>8850</v>
      </c>
      <c r="M2314" t="s">
        <v>8392</v>
      </c>
      <c r="N2314" s="4"/>
    </row>
    <row r="2315" spans="1:14" ht="52" x14ac:dyDescent="0.3">
      <c r="A2315" s="1" t="str">
        <f>HYPERLINK("https://ipmanager.doe.gov/IPManager//ExternalLink.aspx?6ibkph2k9yi6F%2B0Vz7YoTvE8yjoHgvp6vweunzzCmzk%3D","Link")</f>
        <v>Link</v>
      </c>
      <c r="B2315" s="2" t="s">
        <v>7289</v>
      </c>
      <c r="C2315" s="2" t="s">
        <v>7290</v>
      </c>
      <c r="D2315" s="2" t="s">
        <v>12</v>
      </c>
      <c r="E2315" s="2" t="s">
        <v>7291</v>
      </c>
      <c r="F2315" s="2" t="s">
        <v>7292</v>
      </c>
      <c r="G2315" s="2" t="s">
        <v>7293</v>
      </c>
      <c r="H2315" s="7"/>
      <c r="I2315" s="2" t="s">
        <v>9</v>
      </c>
      <c r="K2315" t="e">
        <v>#N/A</v>
      </c>
      <c r="L2315" s="2" t="s">
        <v>8851</v>
      </c>
      <c r="M2315" t="s">
        <v>8393</v>
      </c>
      <c r="N2315" s="4"/>
    </row>
    <row r="2316" spans="1:14" ht="52" x14ac:dyDescent="0.3">
      <c r="A2316" s="1" t="str">
        <f>HYPERLINK("https://ipmanager.doe.gov/IPManager//ExternalLink.aspx?6ibkph2k9yi6F%2B0Vz7YoTkqAgjuWMa9QrgkE8A6PiaU%3D","Link")</f>
        <v>Link</v>
      </c>
      <c r="B2316" s="2" t="s">
        <v>7294</v>
      </c>
      <c r="C2316" s="2" t="s">
        <v>7295</v>
      </c>
      <c r="D2316" s="2" t="s">
        <v>3285</v>
      </c>
      <c r="E2316" s="2" t="s">
        <v>7296</v>
      </c>
      <c r="F2316" s="2"/>
      <c r="G2316" s="2" t="s">
        <v>9</v>
      </c>
      <c r="H2316" s="2"/>
      <c r="I2316" s="2" t="s">
        <v>9</v>
      </c>
      <c r="K2316" t="e">
        <v>#N/A</v>
      </c>
      <c r="L2316" s="2" t="s">
        <v>8852</v>
      </c>
      <c r="M2316" t="s">
        <v>8394</v>
      </c>
      <c r="N2316" s="4"/>
    </row>
    <row r="2317" spans="1:14" ht="39" x14ac:dyDescent="0.3">
      <c r="A2317" s="1" t="str">
        <f>HYPERLINK("https://ipmanager.doe.gov/IPManager//ExternalLink.aspx?6ibkph2k9yi6F%2B0Vz7YoTp68px7nSN2gCG1Ucou1H1k%3D","Link")</f>
        <v>Link</v>
      </c>
      <c r="B2317" s="2" t="s">
        <v>7297</v>
      </c>
      <c r="C2317" s="2" t="s">
        <v>7298</v>
      </c>
      <c r="D2317" s="2" t="s">
        <v>4404</v>
      </c>
      <c r="E2317" s="2" t="s">
        <v>7299</v>
      </c>
      <c r="F2317" s="2"/>
      <c r="G2317" s="2" t="s">
        <v>9</v>
      </c>
      <c r="H2317" s="2"/>
      <c r="I2317" s="2" t="s">
        <v>9</v>
      </c>
      <c r="K2317" t="e">
        <v>#N/A</v>
      </c>
      <c r="L2317" s="2" t="s">
        <v>8853</v>
      </c>
      <c r="M2317" t="s">
        <v>8395</v>
      </c>
      <c r="N2317" s="4"/>
    </row>
    <row r="2318" spans="1:14" ht="52" x14ac:dyDescent="0.3">
      <c r="A2318" s="1" t="str">
        <f>HYPERLINK("https://ipmanager.doe.gov/IPManager//ExternalLink.aspx?6ibkph2k9yi6F%2B0Vz7YoTp68px7nSN2gH%2B82k8brm%2FE%3D","Link")</f>
        <v>Link</v>
      </c>
      <c r="B2318" s="2" t="s">
        <v>7300</v>
      </c>
      <c r="C2318" s="2" t="s">
        <v>7301</v>
      </c>
      <c r="D2318" s="2" t="s">
        <v>1474</v>
      </c>
      <c r="E2318" s="2" t="s">
        <v>7302</v>
      </c>
      <c r="F2318" s="2"/>
      <c r="G2318" s="2" t="s">
        <v>9</v>
      </c>
      <c r="H2318" s="2"/>
      <c r="I2318" s="2" t="s">
        <v>9</v>
      </c>
      <c r="K2318" t="e">
        <v>#N/A</v>
      </c>
      <c r="L2318" s="2" t="s">
        <v>8854</v>
      </c>
      <c r="M2318" t="s">
        <v>8396</v>
      </c>
      <c r="N2318" s="4"/>
    </row>
    <row r="2319" spans="1:14" ht="91" x14ac:dyDescent="0.3">
      <c r="A2319" s="1" t="str">
        <f>HYPERLINK("https://ipmanager.doe.gov/IPManager//ExternalLink.aspx?6ibkph2k9yi6F%2B0Vz7YoTp68px7nSN2gh7DOW0HuDxM%3D","Link")</f>
        <v>Link</v>
      </c>
      <c r="B2319" s="2" t="s">
        <v>7303</v>
      </c>
      <c r="C2319" s="12" t="s">
        <v>7316</v>
      </c>
      <c r="D2319" s="2" t="s">
        <v>7305</v>
      </c>
      <c r="E2319" s="2" t="s">
        <v>7306</v>
      </c>
      <c r="F2319" s="2" t="s">
        <v>7307</v>
      </c>
      <c r="G2319" s="2" t="s">
        <v>3377</v>
      </c>
      <c r="H2319" s="2"/>
      <c r="I2319" s="2" t="s">
        <v>9</v>
      </c>
      <c r="J2319" t="s">
        <v>8431</v>
      </c>
      <c r="K2319" t="s">
        <v>7427</v>
      </c>
      <c r="L2319" s="2" t="s">
        <v>8773</v>
      </c>
      <c r="M2319" s="10" t="s">
        <v>8313</v>
      </c>
      <c r="N2319" s="4" t="s">
        <v>8433</v>
      </c>
    </row>
    <row r="2320" spans="1:14" ht="91" x14ac:dyDescent="0.3">
      <c r="A2320" s="1" t="str">
        <f>HYPERLINK("https://ipmanager.doe.gov/IPManager//ExternalLink.aspx?6ibkph2k9yi6F%2B0Vz7YoTp68px7nSN2grDjMt5rsy8I%3D","Link")</f>
        <v>Link</v>
      </c>
      <c r="B2320" s="2" t="s">
        <v>7308</v>
      </c>
      <c r="C2320" s="12" t="s">
        <v>7316</v>
      </c>
      <c r="D2320" s="2" t="s">
        <v>7305</v>
      </c>
      <c r="E2320" s="2" t="s">
        <v>7306</v>
      </c>
      <c r="F2320" s="2" t="s">
        <v>7309</v>
      </c>
      <c r="G2320" s="2" t="s">
        <v>3377</v>
      </c>
      <c r="H2320" s="2"/>
      <c r="I2320" s="2" t="s">
        <v>9</v>
      </c>
      <c r="J2320" t="s">
        <v>7309</v>
      </c>
      <c r="K2320" t="s">
        <v>7971</v>
      </c>
      <c r="L2320" s="2" t="s">
        <v>8773</v>
      </c>
      <c r="M2320" s="10" t="s">
        <v>8313</v>
      </c>
      <c r="N2320" s="4" t="s">
        <v>8433</v>
      </c>
    </row>
  </sheetData>
  <autoFilter ref="A1:N2320" xr:uid="{00000000-0009-0000-0000-000001000000}"/>
  <conditionalFormatting sqref="H4:H26">
    <cfRule type="duplicateValues" dxfId="1" priority="1"/>
  </conditionalFormatting>
  <hyperlinks>
    <hyperlink ref="M5" r:id="rId1" xr:uid="{00000000-0004-0000-0100-000000000000}"/>
    <hyperlink ref="M6:M19" r:id="rId2" display="Kashiyama@ba-lab.com" xr:uid="{00000000-0004-0000-0100-000001000000}"/>
    <hyperlink ref="M567" r:id="rId3" xr:uid="{00000000-0004-0000-0100-000002000000}"/>
    <hyperlink ref="M921" r:id="rId4" xr:uid="{00000000-0004-0000-0100-000003000000}"/>
    <hyperlink ref="M1054" r:id="rId5" xr:uid="{00000000-0004-0000-0100-000004000000}"/>
    <hyperlink ref="M2036" r:id="rId6" xr:uid="{00000000-0004-0000-0100-000005000000}"/>
    <hyperlink ref="M2037:M2042" r:id="rId7" display="Garret.Miyake@colostate.edu" xr:uid="{00000000-0004-0000-0100-000006000000}"/>
    <hyperlink ref="M2320" r:id="rId8" xr:uid="{00000000-0004-0000-0100-000007000000}"/>
    <hyperlink ref="M2319" r:id="rId9" xr:uid="{00000000-0004-0000-0100-000008000000}"/>
  </hyperlinks>
  <pageMargins left="0.75" right="0.75" top="1" bottom="1" header="0.5" footer="0.5"/>
  <pageSetup orientation="portrait" r:id="rId1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7"/>
  <sheetViews>
    <sheetView workbookViewId="0">
      <selection activeCell="C3" sqref="C3"/>
    </sheetView>
  </sheetViews>
  <sheetFormatPr defaultRowHeight="13" x14ac:dyDescent="0.3"/>
  <cols>
    <col min="1" max="1" width="16.8984375" bestFit="1" customWidth="1"/>
    <col min="2" max="2" width="30.8984375" bestFit="1" customWidth="1"/>
  </cols>
  <sheetData>
    <row r="2" spans="1:3" x14ac:dyDescent="0.3">
      <c r="A2" t="s">
        <v>7323</v>
      </c>
      <c r="B2" t="s">
        <v>7324</v>
      </c>
      <c r="C2" t="s">
        <v>7321</v>
      </c>
    </row>
    <row r="3" spans="1:3" x14ac:dyDescent="0.3">
      <c r="A3" t="s">
        <v>7319</v>
      </c>
      <c r="B3" t="s">
        <v>7328</v>
      </c>
      <c r="C3" t="s">
        <v>7320</v>
      </c>
    </row>
    <row r="4" spans="1:3" x14ac:dyDescent="0.3">
      <c r="A4" t="s">
        <v>7322</v>
      </c>
      <c r="B4" t="s">
        <v>7325</v>
      </c>
    </row>
    <row r="5" spans="1:3" x14ac:dyDescent="0.3">
      <c r="A5" t="s">
        <v>7322</v>
      </c>
      <c r="B5" t="s">
        <v>7326</v>
      </c>
    </row>
    <row r="6" spans="1:3" x14ac:dyDescent="0.3">
      <c r="A6" t="s">
        <v>7322</v>
      </c>
      <c r="B6" t="s">
        <v>7327</v>
      </c>
    </row>
    <row r="7" spans="1:3" x14ac:dyDescent="0.3">
      <c r="A7" t="s">
        <v>7329</v>
      </c>
      <c r="B7" t="s">
        <v>7318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20"/>
  <sheetViews>
    <sheetView zoomScaleNormal="100" workbookViewId="0">
      <pane ySplit="1" topLeftCell="A2288" activePane="bottomLeft" state="frozen"/>
      <selection pane="bottomLeft" activeCell="J2315" sqref="J2315"/>
    </sheetView>
  </sheetViews>
  <sheetFormatPr defaultRowHeight="13" x14ac:dyDescent="0.3"/>
  <cols>
    <col min="1" max="1" width="17.296875" customWidth="1"/>
    <col min="2" max="2" width="24" customWidth="1"/>
    <col min="3" max="3" width="29.09765625" customWidth="1"/>
    <col min="4" max="4" width="26.69921875" customWidth="1"/>
    <col min="5" max="5" width="26.8984375" customWidth="1"/>
    <col min="6" max="6" width="13.59765625" customWidth="1"/>
    <col min="7" max="7" width="16.296875" customWidth="1"/>
    <col min="8" max="8" width="16.59765625" customWidth="1"/>
    <col min="9" max="9" width="20.8984375" customWidth="1"/>
  </cols>
  <sheetData>
    <row r="1" spans="1:9" ht="26" x14ac:dyDescent="0.3">
      <c r="A1" t="s">
        <v>7314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26" x14ac:dyDescent="0.3">
      <c r="A2" s="1" t="str">
        <f>HYPERLINK("https://ipmanager.doe.gov/IPManager//ExternalLink.aspx?6ibkph2k9yi6F%2B0Vz7YoTipZ798QK%2BbPSmqVhC2THK0%3D","Link")</f>
        <v>Link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/>
      <c r="I2" s="2" t="s">
        <v>9</v>
      </c>
    </row>
    <row r="3" spans="1:9" ht="26" x14ac:dyDescent="0.3">
      <c r="A3" s="1" t="str">
        <f>HYPERLINK("https://ipmanager.doe.gov/IPManager//ExternalLink.aspx?6ibkph2k9yi6F%2B0Vz7YoTgZwfmYxrNyKbbpzj19Bd9s%3D","Link")</f>
        <v>Link</v>
      </c>
      <c r="B3" s="2" t="s">
        <v>16</v>
      </c>
      <c r="C3" s="2" t="s">
        <v>11</v>
      </c>
      <c r="D3" s="2" t="s">
        <v>12</v>
      </c>
      <c r="E3" s="2" t="s">
        <v>17</v>
      </c>
      <c r="F3" s="2"/>
      <c r="G3" s="2" t="s">
        <v>9</v>
      </c>
      <c r="H3" s="2"/>
      <c r="I3" s="2" t="s">
        <v>9</v>
      </c>
    </row>
    <row r="4" spans="1:9" ht="39" x14ac:dyDescent="0.3">
      <c r="A4" s="1" t="str">
        <f>HYPERLINK("https://ipmanager.doe.gov/IPManager//ExternalLink.aspx?6ibkph2k9yi6F%2B0Vz7YoTjnDGhmGHGI7QAKUiUXFW7o%3D","Link")</f>
        <v>Link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>
        <v>9079815</v>
      </c>
      <c r="I4" s="2" t="s">
        <v>24</v>
      </c>
    </row>
    <row r="5" spans="1:9" ht="26" x14ac:dyDescent="0.3">
      <c r="A5" s="1" t="str">
        <f>HYPERLINK("https://ipmanager.doe.gov/IPManager//ExternalLink.aspx?6ibkph2k9yi6F%2B0Vz7YoTjnDGhmGHGI7EMplwH17CQA%3D","Link")</f>
        <v>Link</v>
      </c>
      <c r="B5" s="2" t="s">
        <v>25</v>
      </c>
      <c r="C5" s="2" t="s">
        <v>26</v>
      </c>
      <c r="D5" s="2" t="s">
        <v>27</v>
      </c>
      <c r="E5" s="2" t="s">
        <v>28</v>
      </c>
      <c r="F5" s="2" t="s">
        <v>29</v>
      </c>
      <c r="G5" s="2" t="s">
        <v>30</v>
      </c>
      <c r="H5" s="2">
        <v>9273330</v>
      </c>
      <c r="I5" s="2" t="s">
        <v>31</v>
      </c>
    </row>
    <row r="6" spans="1:9" ht="39" x14ac:dyDescent="0.3">
      <c r="A6" s="1" t="str">
        <f>HYPERLINK("https://ipmanager.doe.gov/IPManager//ExternalLink.aspx?6ibkph2k9yi6F%2B0Vz7YoTjnDGhmGHGI7043eqQ%2FK%2F9I%3D","Link")</f>
        <v>Link</v>
      </c>
      <c r="B6" s="2" t="s">
        <v>32</v>
      </c>
      <c r="C6" s="2" t="s">
        <v>26</v>
      </c>
      <c r="D6" s="2" t="s">
        <v>27</v>
      </c>
      <c r="E6" s="2" t="s">
        <v>33</v>
      </c>
      <c r="F6" s="2" t="s">
        <v>34</v>
      </c>
      <c r="G6" s="2" t="s">
        <v>35</v>
      </c>
      <c r="H6" s="2">
        <v>9422582</v>
      </c>
      <c r="I6" s="2" t="s">
        <v>36</v>
      </c>
    </row>
    <row r="7" spans="1:9" ht="39" x14ac:dyDescent="0.3">
      <c r="A7" s="1" t="str">
        <f>HYPERLINK("https://ipmanager.doe.gov/IPManager//ExternalLink.aspx?6ibkph2k9yi6F%2B0Vz7YoTjnDGhmGHGI7JP%2FXlqOjUpM%3D","Link")</f>
        <v>Link</v>
      </c>
      <c r="B7" s="2" t="s">
        <v>38</v>
      </c>
      <c r="C7" s="2" t="s">
        <v>26</v>
      </c>
      <c r="D7" s="2" t="s">
        <v>27</v>
      </c>
      <c r="E7" s="2" t="s">
        <v>33</v>
      </c>
      <c r="F7" s="2" t="s">
        <v>39</v>
      </c>
      <c r="G7" s="2" t="s">
        <v>35</v>
      </c>
      <c r="H7" s="2">
        <v>9422581</v>
      </c>
      <c r="I7" s="2" t="s">
        <v>36</v>
      </c>
    </row>
    <row r="8" spans="1:9" ht="39" x14ac:dyDescent="0.3">
      <c r="A8" s="1" t="str">
        <f>HYPERLINK("https://ipmanager.doe.gov/IPManager//ExternalLink.aspx?6ibkph2k9yi6F%2B0Vz7YoTjnDGhmGHGI79cXNmfLMCHY%3D","Link")</f>
        <v>Link</v>
      </c>
      <c r="B8" s="2" t="s">
        <v>40</v>
      </c>
      <c r="C8" s="2" t="s">
        <v>26</v>
      </c>
      <c r="D8" s="2" t="s">
        <v>27</v>
      </c>
      <c r="E8" s="2" t="s">
        <v>33</v>
      </c>
      <c r="F8" s="2" t="s">
        <v>37</v>
      </c>
      <c r="G8" s="2" t="s">
        <v>41</v>
      </c>
      <c r="H8" s="2"/>
      <c r="I8" s="2" t="s">
        <v>9</v>
      </c>
    </row>
    <row r="9" spans="1:9" ht="26" x14ac:dyDescent="0.3">
      <c r="A9" s="1" t="str">
        <f>HYPERLINK("https://ipmanager.doe.gov/IPManager//ExternalLink.aspx?6ibkph2k9yi6F%2B0Vz7YoTjnDGhmGHGI7F%2F8EXvH7XMg%3D","Link")</f>
        <v>Link</v>
      </c>
      <c r="B9" s="2" t="s">
        <v>42</v>
      </c>
      <c r="C9" s="2" t="s">
        <v>26</v>
      </c>
      <c r="D9" s="2" t="s">
        <v>27</v>
      </c>
      <c r="E9" s="2" t="s">
        <v>43</v>
      </c>
      <c r="F9" s="2" t="s">
        <v>44</v>
      </c>
      <c r="G9" s="2" t="s">
        <v>45</v>
      </c>
      <c r="H9" s="2">
        <v>9580705</v>
      </c>
      <c r="I9" s="2" t="s">
        <v>9</v>
      </c>
    </row>
    <row r="10" spans="1:9" ht="52" x14ac:dyDescent="0.3">
      <c r="A10" s="1" t="str">
        <f>HYPERLINK("https://ipmanager.doe.gov/IPManager//ExternalLink.aspx?6ibkph2k9yi6F%2B0Vz7YoTjnDGhmGHGI7HHPr%2FzlXOAc%3D","Link")</f>
        <v>Link</v>
      </c>
      <c r="B10" s="2" t="s">
        <v>46</v>
      </c>
      <c r="C10" s="2" t="s">
        <v>26</v>
      </c>
      <c r="D10" s="2" t="s">
        <v>27</v>
      </c>
      <c r="E10" s="2" t="s">
        <v>47</v>
      </c>
      <c r="F10" s="2" t="s">
        <v>48</v>
      </c>
      <c r="G10" s="2" t="s">
        <v>49</v>
      </c>
      <c r="H10" s="2">
        <v>9169467</v>
      </c>
      <c r="I10" s="2" t="s">
        <v>50</v>
      </c>
    </row>
    <row r="11" spans="1:9" ht="52" x14ac:dyDescent="0.3">
      <c r="A11" s="1" t="str">
        <f>HYPERLINK("https://ipmanager.doe.gov/IPManager//ExternalLink.aspx?6ibkph2k9yi6F%2B0Vz7YoTjnDGhmGHGI76NSIXy2J3T8%3D","Link")</f>
        <v>Link</v>
      </c>
      <c r="B11" s="2" t="s">
        <v>1563</v>
      </c>
      <c r="C11" s="2" t="s">
        <v>1558</v>
      </c>
      <c r="D11" s="2" t="s">
        <v>1559</v>
      </c>
      <c r="E11" s="2" t="s">
        <v>1564</v>
      </c>
      <c r="F11" s="2" t="s">
        <v>1565</v>
      </c>
      <c r="G11" s="2" t="s">
        <v>798</v>
      </c>
      <c r="H11" s="2"/>
      <c r="I11" s="2" t="s">
        <v>9</v>
      </c>
    </row>
    <row r="12" spans="1:9" ht="52" x14ac:dyDescent="0.3">
      <c r="A12" s="1" t="str">
        <f>HYPERLINK("https://ipmanager.doe.gov/IPManager//ExternalLink.aspx?6ibkph2k9yi6F%2B0Vz7YoTgZwfmYxrNyKS2a9Au8jr6I%3D","Link")</f>
        <v>Link</v>
      </c>
      <c r="B12" s="2" t="s">
        <v>1567</v>
      </c>
      <c r="C12" s="2" t="s">
        <v>1558</v>
      </c>
      <c r="D12" s="2" t="s">
        <v>1559</v>
      </c>
      <c r="E12" s="2" t="s">
        <v>1568</v>
      </c>
      <c r="F12" s="2" t="s">
        <v>1569</v>
      </c>
      <c r="G12" s="2" t="s">
        <v>1570</v>
      </c>
      <c r="H12" s="2"/>
      <c r="I12" s="2" t="s">
        <v>9</v>
      </c>
    </row>
    <row r="13" spans="1:9" ht="52" x14ac:dyDescent="0.3">
      <c r="A13" s="1" t="str">
        <f>HYPERLINK("https://ipmanager.doe.gov/IPManager//ExternalLink.aspx?6ibkph2k9yi6F%2B0Vz7YoTgZwfmYxrNyKu6grivC2clk%3D","Link")</f>
        <v>Link</v>
      </c>
      <c r="B13" s="2" t="s">
        <v>1573</v>
      </c>
      <c r="C13" s="2" t="s">
        <v>1558</v>
      </c>
      <c r="D13" s="2" t="s">
        <v>1559</v>
      </c>
      <c r="E13" s="2" t="s">
        <v>1568</v>
      </c>
      <c r="F13" s="2" t="s">
        <v>1574</v>
      </c>
      <c r="G13" s="2" t="s">
        <v>1572</v>
      </c>
      <c r="H13" s="2"/>
      <c r="I13" s="2" t="s">
        <v>9</v>
      </c>
    </row>
    <row r="14" spans="1:9" ht="39" x14ac:dyDescent="0.3">
      <c r="A14" s="1" t="str">
        <f>HYPERLINK("https://ipmanager.doe.gov/IPManager//ExternalLink.aspx?6ibkph2k9yi6F%2B0Vz7YoTgZwfmYxrNyKu%2B4DPvd3MJU%3D","Link")</f>
        <v>Link</v>
      </c>
      <c r="B14" s="2" t="s">
        <v>1575</v>
      </c>
      <c r="C14" s="2" t="s">
        <v>1558</v>
      </c>
      <c r="D14" s="2" t="s">
        <v>1559</v>
      </c>
      <c r="E14" s="2" t="s">
        <v>1576</v>
      </c>
      <c r="F14" s="2" t="s">
        <v>1577</v>
      </c>
      <c r="G14" s="2" t="s">
        <v>920</v>
      </c>
      <c r="H14" s="2"/>
      <c r="I14" s="2" t="s">
        <v>9</v>
      </c>
    </row>
    <row r="15" spans="1:9" ht="52" x14ac:dyDescent="0.3">
      <c r="A15" s="1" t="str">
        <f>HYPERLINK("https://ipmanager.doe.gov/IPManager//ExternalLink.aspx?6ibkph2k9yi6F%2B0Vz7YoTlNm8snv%2FZpHIo7nHcyOLU4%3D","Link")</f>
        <v>Link</v>
      </c>
      <c r="B15" s="2" t="s">
        <v>69</v>
      </c>
      <c r="C15" s="2" t="s">
        <v>26</v>
      </c>
      <c r="D15" s="2" t="s">
        <v>27</v>
      </c>
      <c r="E15" s="2" t="s">
        <v>52</v>
      </c>
      <c r="F15" s="2" t="s">
        <v>55</v>
      </c>
      <c r="G15" s="2" t="s">
        <v>54</v>
      </c>
      <c r="H15" s="2">
        <v>9238828</v>
      </c>
      <c r="I15" s="2" t="s">
        <v>70</v>
      </c>
    </row>
    <row r="16" spans="1:9" ht="52" x14ac:dyDescent="0.3">
      <c r="A16" s="1" t="str">
        <f>HYPERLINK("https://ipmanager.doe.gov/IPManager//ExternalLink.aspx?6ibkph2k9yi6F%2B0Vz7YoTgZwfmYxrNyKz7%2BLim4G3%2BM%3D","Link")</f>
        <v>Link</v>
      </c>
      <c r="B16" s="2" t="s">
        <v>1578</v>
      </c>
      <c r="C16" s="2" t="s">
        <v>1558</v>
      </c>
      <c r="D16" s="2" t="s">
        <v>1559</v>
      </c>
      <c r="E16" s="2" t="s">
        <v>1579</v>
      </c>
      <c r="F16" s="2" t="s">
        <v>1580</v>
      </c>
      <c r="G16" s="2" t="s">
        <v>1581</v>
      </c>
      <c r="H16" s="2"/>
      <c r="I16" s="2" t="s">
        <v>9</v>
      </c>
    </row>
    <row r="17" spans="1:9" ht="26" x14ac:dyDescent="0.3">
      <c r="A17" s="1" t="str">
        <f>HYPERLINK("https://ipmanager.doe.gov/IPManager//ExternalLink.aspx?6ibkph2k9yi6F%2B0Vz7YoTgZwfmYxrNyKLb5Eto0gWfg%3D","Link")</f>
        <v>Link</v>
      </c>
      <c r="B17" s="2" t="s">
        <v>1583</v>
      </c>
      <c r="C17" s="2" t="s">
        <v>1558</v>
      </c>
      <c r="D17" s="2" t="s">
        <v>1559</v>
      </c>
      <c r="E17" s="2" t="s">
        <v>1584</v>
      </c>
      <c r="F17" s="2" t="s">
        <v>1585</v>
      </c>
      <c r="G17" s="2" t="s">
        <v>1586</v>
      </c>
      <c r="H17" s="2"/>
      <c r="I17" s="2" t="s">
        <v>9</v>
      </c>
    </row>
    <row r="18" spans="1:9" ht="52" x14ac:dyDescent="0.3">
      <c r="A18" s="1" t="str">
        <f>HYPERLINK("https://ipmanager.doe.gov/IPManager//ExternalLink.aspx?6ibkph2k9yi6F%2B0Vz7YoTlNm8snv%2FZpHHXsVbg%2BcBcY%3D","Link")</f>
        <v>Link</v>
      </c>
      <c r="B18" s="2" t="s">
        <v>79</v>
      </c>
      <c r="C18" s="2" t="s">
        <v>26</v>
      </c>
      <c r="D18" s="2" t="s">
        <v>57</v>
      </c>
      <c r="E18" s="2" t="s">
        <v>80</v>
      </c>
      <c r="F18" s="2"/>
      <c r="G18" s="2" t="s">
        <v>9</v>
      </c>
      <c r="H18" s="2"/>
      <c r="I18" s="2" t="s">
        <v>9</v>
      </c>
    </row>
    <row r="19" spans="1:9" ht="26" x14ac:dyDescent="0.3">
      <c r="A19" s="1" t="str">
        <f>HYPERLINK("https://ipmanager.doe.gov/IPManager//ExternalLink.aspx?6ibkph2k9yi6F%2B0Vz7YoTlNm8snv%2FZpHVEoSZOqJCPA%3D","Link")</f>
        <v>Link</v>
      </c>
      <c r="B19" s="2" t="s">
        <v>82</v>
      </c>
      <c r="C19" s="2" t="s">
        <v>26</v>
      </c>
      <c r="D19" s="2" t="s">
        <v>57</v>
      </c>
      <c r="E19" s="2" t="s">
        <v>83</v>
      </c>
      <c r="F19" s="2"/>
      <c r="G19" s="2" t="s">
        <v>9</v>
      </c>
      <c r="H19" s="2"/>
      <c r="I19" s="2" t="s">
        <v>9</v>
      </c>
    </row>
    <row r="20" spans="1:9" ht="39" x14ac:dyDescent="0.3">
      <c r="A20" s="1" t="str">
        <f>HYPERLINK("https://ipmanager.doe.gov/IPManager//ExternalLink.aspx?6ibkph2k9yi6F%2B0Vz7YoTlNm8snv%2FZpHZNcKFBGKRmY%3D","Link")</f>
        <v>Link</v>
      </c>
      <c r="B20" s="2" t="s">
        <v>84</v>
      </c>
      <c r="C20" s="2" t="s">
        <v>85</v>
      </c>
      <c r="D20" s="2" t="s">
        <v>86</v>
      </c>
      <c r="E20" s="2" t="s">
        <v>87</v>
      </c>
      <c r="F20" s="2"/>
      <c r="G20" s="2" t="s">
        <v>9</v>
      </c>
      <c r="H20" s="2"/>
      <c r="I20" s="2" t="s">
        <v>9</v>
      </c>
    </row>
    <row r="21" spans="1:9" ht="52" x14ac:dyDescent="0.3">
      <c r="A21" s="1" t="str">
        <f>HYPERLINK("https://ipmanager.doe.gov/IPManager//ExternalLink.aspx?6ibkph2k9yi6F%2B0Vz7YoTgZwfmYxrNyKDaWawAdU8Q0%3D","Link")</f>
        <v>Link</v>
      </c>
      <c r="B21" s="2" t="s">
        <v>1588</v>
      </c>
      <c r="C21" s="2" t="s">
        <v>1558</v>
      </c>
      <c r="D21" s="2" t="s">
        <v>1559</v>
      </c>
      <c r="E21" s="2" t="s">
        <v>1579</v>
      </c>
      <c r="F21" s="2" t="s">
        <v>1589</v>
      </c>
      <c r="G21" s="2" t="s">
        <v>1590</v>
      </c>
      <c r="H21" s="2"/>
      <c r="I21" s="2" t="s">
        <v>9</v>
      </c>
    </row>
    <row r="22" spans="1:9" ht="39" x14ac:dyDescent="0.3">
      <c r="A22" s="1" t="str">
        <f>HYPERLINK("https://ipmanager.doe.gov/IPManager//ExternalLink.aspx?6ibkph2k9yi6F%2B0Vz7YoTlNm8snv%2FZpHENvFLHh2nrA%3D","Link")</f>
        <v>Link</v>
      </c>
      <c r="B22" s="2" t="s">
        <v>91</v>
      </c>
      <c r="C22" s="2" t="s">
        <v>85</v>
      </c>
      <c r="D22" s="2" t="s">
        <v>86</v>
      </c>
      <c r="E22" s="2" t="s">
        <v>87</v>
      </c>
      <c r="F22" s="2"/>
      <c r="G22" s="2" t="s">
        <v>9</v>
      </c>
      <c r="H22" s="2"/>
      <c r="I22" s="2" t="s">
        <v>9</v>
      </c>
    </row>
    <row r="23" spans="1:9" ht="26" x14ac:dyDescent="0.3">
      <c r="A23" s="1" t="str">
        <f>HYPERLINK("https://ipmanager.doe.gov/IPManager//ExternalLink.aspx?6ibkph2k9yi6F%2B0Vz7YoTk2BI6w%2FjZ2fCe%2Bxn3qwtNU%3D","Link")</f>
        <v>Link</v>
      </c>
      <c r="B23" s="2" t="s">
        <v>1592</v>
      </c>
      <c r="C23" s="2" t="s">
        <v>1558</v>
      </c>
      <c r="D23" s="2" t="s">
        <v>1559</v>
      </c>
      <c r="E23" s="2" t="s">
        <v>1593</v>
      </c>
      <c r="F23" s="2" t="s">
        <v>1594</v>
      </c>
      <c r="G23" s="2" t="s">
        <v>1595</v>
      </c>
      <c r="H23" s="2"/>
      <c r="I23" s="2" t="s">
        <v>9</v>
      </c>
    </row>
    <row r="24" spans="1:9" ht="65" x14ac:dyDescent="0.3">
      <c r="A24" s="1" t="str">
        <f>HYPERLINK("https://ipmanager.doe.gov/IPManager//ExternalLink.aspx?6ibkph2k9yi6F%2B0Vz7YoTipZ798QK%2BbPszb8u98j%2Fw0%3D","Link")</f>
        <v>Link</v>
      </c>
      <c r="B24" s="2" t="s">
        <v>99</v>
      </c>
      <c r="C24" s="2" t="s">
        <v>94</v>
      </c>
      <c r="D24" s="2" t="s">
        <v>100</v>
      </c>
      <c r="E24" s="2" t="s">
        <v>101</v>
      </c>
      <c r="F24" s="2"/>
      <c r="G24" s="2" t="s">
        <v>9</v>
      </c>
      <c r="H24" s="2"/>
      <c r="I24" s="2" t="s">
        <v>9</v>
      </c>
    </row>
    <row r="25" spans="1:9" ht="65" x14ac:dyDescent="0.3">
      <c r="A25" s="1" t="str">
        <f>HYPERLINK("https://ipmanager.doe.gov/IPManager//ExternalLink.aspx?6ibkph2k9yi6F%2B0Vz7YoTnXVN2REjGcWiznfWl3I9po%3D","Link")</f>
        <v>Link</v>
      </c>
      <c r="B25" s="2" t="s">
        <v>102</v>
      </c>
      <c r="C25" s="2" t="s">
        <v>94</v>
      </c>
      <c r="D25" s="2" t="s">
        <v>95</v>
      </c>
      <c r="E25" s="2" t="s">
        <v>103</v>
      </c>
      <c r="F25" s="2" t="s">
        <v>104</v>
      </c>
      <c r="G25" s="2" t="s">
        <v>105</v>
      </c>
      <c r="H25" s="2"/>
      <c r="I25" s="2" t="s">
        <v>9</v>
      </c>
    </row>
    <row r="26" spans="1:9" ht="65" x14ac:dyDescent="0.3">
      <c r="A26" s="1" t="str">
        <f>HYPERLINK("https://ipmanager.doe.gov/IPManager//ExternalLink.aspx?6ibkph2k9yi6F%2B0Vz7YoTnXVN2REjGcWKQCwSBndi6s%3D","Link")</f>
        <v>Link</v>
      </c>
      <c r="B26" s="2" t="s">
        <v>106</v>
      </c>
      <c r="C26" s="2" t="s">
        <v>94</v>
      </c>
      <c r="D26" s="2" t="s">
        <v>95</v>
      </c>
      <c r="E26" s="2" t="s">
        <v>103</v>
      </c>
      <c r="F26" s="2" t="s">
        <v>107</v>
      </c>
      <c r="G26" s="2" t="s">
        <v>105</v>
      </c>
      <c r="H26" s="2"/>
      <c r="I26" s="2" t="s">
        <v>9</v>
      </c>
    </row>
    <row r="27" spans="1:9" ht="65" x14ac:dyDescent="0.3">
      <c r="A27" s="1" t="str">
        <f>HYPERLINK("https://ipmanager.doe.gov/IPManager//ExternalLink.aspx?6ibkph2k9yi6F%2B0Vz7YoTipZ798QK%2BbPPiNqq0OV%2B3w%3D","Link")</f>
        <v>Link</v>
      </c>
      <c r="B27" s="2" t="s">
        <v>108</v>
      </c>
      <c r="C27" s="2" t="s">
        <v>94</v>
      </c>
      <c r="D27" s="2" t="s">
        <v>95</v>
      </c>
      <c r="E27" s="2" t="s">
        <v>103</v>
      </c>
      <c r="F27" s="2" t="s">
        <v>107</v>
      </c>
      <c r="G27" s="2" t="s">
        <v>105</v>
      </c>
      <c r="H27" s="2">
        <v>9917323</v>
      </c>
      <c r="I27" s="2" t="s">
        <v>109</v>
      </c>
    </row>
    <row r="28" spans="1:9" ht="52" x14ac:dyDescent="0.3">
      <c r="A28" s="1" t="str">
        <f>HYPERLINK("https://ipmanager.doe.gov/IPManager//ExternalLink.aspx?6ibkph2k9yi6F%2B0Vz7YoTk2BI6w%2FjZ2fv805lIOpHNQ%3D","Link")</f>
        <v>Link</v>
      </c>
      <c r="B28" s="2" t="s">
        <v>1596</v>
      </c>
      <c r="C28" s="2" t="s">
        <v>1558</v>
      </c>
      <c r="D28" s="2" t="s">
        <v>1559</v>
      </c>
      <c r="E28" s="2" t="s">
        <v>1568</v>
      </c>
      <c r="F28" s="2" t="s">
        <v>1597</v>
      </c>
      <c r="G28" s="2" t="s">
        <v>1572</v>
      </c>
      <c r="H28" s="2"/>
      <c r="I28" s="2" t="s">
        <v>9</v>
      </c>
    </row>
    <row r="29" spans="1:9" ht="65" x14ac:dyDescent="0.3">
      <c r="A29" s="1" t="str">
        <f>HYPERLINK("https://ipmanager.doe.gov/IPManager//ExternalLink.aspx?6ibkph2k9yi6F%2B0Vz7YoTu0g4zH%2BOsvyXIiKuBiP0fA%3D","Link")</f>
        <v>Link</v>
      </c>
      <c r="B29" s="2" t="s">
        <v>114</v>
      </c>
      <c r="C29" s="2" t="s">
        <v>94</v>
      </c>
      <c r="D29" s="2" t="s">
        <v>95</v>
      </c>
      <c r="E29" s="2" t="s">
        <v>103</v>
      </c>
      <c r="F29" s="2" t="s">
        <v>104</v>
      </c>
      <c r="G29" s="2" t="s">
        <v>105</v>
      </c>
      <c r="H29" s="2"/>
      <c r="I29" s="2" t="s">
        <v>9</v>
      </c>
    </row>
    <row r="30" spans="1:9" ht="52" x14ac:dyDescent="0.3">
      <c r="A30" s="1" t="str">
        <f>HYPERLINK("https://ipmanager.doe.gov/IPManager//ExternalLink.aspx?6ibkph2k9yi6F%2B0Vz7YoTk2BI6w%2FjZ2fDUruhQXYHz4%3D","Link")</f>
        <v>Link</v>
      </c>
      <c r="B30" s="2" t="s">
        <v>1600</v>
      </c>
      <c r="C30" s="2" t="s">
        <v>1558</v>
      </c>
      <c r="D30" s="2" t="s">
        <v>1559</v>
      </c>
      <c r="E30" s="2" t="s">
        <v>1579</v>
      </c>
      <c r="F30" s="2" t="s">
        <v>1601</v>
      </c>
      <c r="G30" s="2" t="s">
        <v>1602</v>
      </c>
      <c r="H30" s="2"/>
      <c r="I30" s="2" t="s">
        <v>9</v>
      </c>
    </row>
    <row r="31" spans="1:9" ht="39" x14ac:dyDescent="0.3">
      <c r="A31" s="1" t="str">
        <f>HYPERLINK("https://ipmanager.doe.gov/IPManager//ExternalLink.aspx?6ibkph2k9yi6F%2B0Vz7YoTipZ798QK%2BbP4DJ2O5G6c8o%3D","Link")</f>
        <v>Link</v>
      </c>
      <c r="B31" s="2" t="s">
        <v>121</v>
      </c>
      <c r="C31" s="2" t="s">
        <v>116</v>
      </c>
      <c r="D31" s="2" t="s">
        <v>117</v>
      </c>
      <c r="E31" s="2" t="s">
        <v>122</v>
      </c>
      <c r="F31" s="2"/>
      <c r="G31" s="2" t="s">
        <v>9</v>
      </c>
      <c r="H31" s="2"/>
      <c r="I31" s="2" t="s">
        <v>9</v>
      </c>
    </row>
    <row r="32" spans="1:9" ht="52" x14ac:dyDescent="0.3">
      <c r="A32" s="1" t="str">
        <f>HYPERLINK("https://ipmanager.doe.gov/IPManager//ExternalLink.aspx?6ibkph2k9yi6F%2B0Vz7YoTipZ798QK%2BbPEr7ezv7GhfI%3D","Link")</f>
        <v>Link</v>
      </c>
      <c r="B32" s="2" t="s">
        <v>123</v>
      </c>
      <c r="C32" s="2" t="s">
        <v>116</v>
      </c>
      <c r="D32" s="2" t="s">
        <v>117</v>
      </c>
      <c r="E32" s="2" t="s">
        <v>124</v>
      </c>
      <c r="F32" s="2"/>
      <c r="G32" s="2" t="s">
        <v>9</v>
      </c>
      <c r="H32" s="2"/>
      <c r="I32" s="2" t="s">
        <v>9</v>
      </c>
    </row>
    <row r="33" spans="1:9" ht="104" x14ac:dyDescent="0.3">
      <c r="A33" s="1" t="str">
        <f>HYPERLINK("https://ipmanager.doe.gov/IPManager//ExternalLink.aspx?6ibkph2k9yi6F%2B0Vz7YoTk2BI6w%2FjZ2fe7PPuOgN58Q%3D","Link")</f>
        <v>Link</v>
      </c>
      <c r="B33" s="2" t="s">
        <v>126</v>
      </c>
      <c r="C33" s="2" t="s">
        <v>116</v>
      </c>
      <c r="D33" s="2" t="s">
        <v>117</v>
      </c>
      <c r="E33" s="2" t="s">
        <v>127</v>
      </c>
      <c r="F33" s="2"/>
      <c r="G33" s="2" t="s">
        <v>9</v>
      </c>
      <c r="H33" s="2"/>
      <c r="I33" s="2" t="s">
        <v>9</v>
      </c>
    </row>
    <row r="34" spans="1:9" ht="78" x14ac:dyDescent="0.3">
      <c r="A34" s="1" t="str">
        <f>HYPERLINK("https://ipmanager.doe.gov/IPManager//ExternalLink.aspx?6ibkph2k9yi6F%2B0Vz7YoTk2BI6w%2FjZ2faJdE6bDVIy8%3D","Link")</f>
        <v>Link</v>
      </c>
      <c r="B34" s="2" t="s">
        <v>128</v>
      </c>
      <c r="C34" s="2" t="s">
        <v>116</v>
      </c>
      <c r="D34" s="2" t="s">
        <v>117</v>
      </c>
      <c r="E34" s="2" t="s">
        <v>129</v>
      </c>
      <c r="F34" s="2"/>
      <c r="G34" s="2" t="s">
        <v>9</v>
      </c>
      <c r="H34" s="2"/>
      <c r="I34" s="2" t="s">
        <v>9</v>
      </c>
    </row>
    <row r="35" spans="1:9" ht="39" x14ac:dyDescent="0.3">
      <c r="A35" s="1" t="str">
        <f>HYPERLINK("https://ipmanager.doe.gov/IPManager//ExternalLink.aspx?6ibkph2k9yi6F%2B0Vz7YoTipZ798QK%2BbPL1w5GIEZ1To%3D","Link")</f>
        <v>Link</v>
      </c>
      <c r="B35" s="2" t="s">
        <v>130</v>
      </c>
      <c r="C35" s="2" t="s">
        <v>131</v>
      </c>
      <c r="D35" s="2" t="s">
        <v>132</v>
      </c>
      <c r="E35" s="2" t="s">
        <v>133</v>
      </c>
      <c r="F35" s="2"/>
      <c r="G35" s="2" t="s">
        <v>9</v>
      </c>
      <c r="H35" s="2"/>
      <c r="I35" s="2" t="s">
        <v>9</v>
      </c>
    </row>
    <row r="36" spans="1:9" ht="91" x14ac:dyDescent="0.3">
      <c r="A36" s="1" t="str">
        <f>HYPERLINK("https://ipmanager.doe.gov/IPManager//ExternalLink.aspx?6ibkph2k9yi6F%2B0Vz7YoTipZ798QK%2BbPtJjgIgw%2FsOE%3D","Link")</f>
        <v>Link</v>
      </c>
      <c r="B36" s="2" t="s">
        <v>134</v>
      </c>
      <c r="C36" s="2" t="s">
        <v>131</v>
      </c>
      <c r="D36" s="2" t="s">
        <v>135</v>
      </c>
      <c r="E36" s="2" t="s">
        <v>136</v>
      </c>
      <c r="F36" s="2"/>
      <c r="G36" s="2" t="s">
        <v>9</v>
      </c>
      <c r="H36" s="2"/>
      <c r="I36" s="2" t="s">
        <v>9</v>
      </c>
    </row>
    <row r="37" spans="1:9" ht="78" x14ac:dyDescent="0.3">
      <c r="A37" s="1" t="str">
        <f>HYPERLINK("https://ipmanager.doe.gov/IPManager//ExternalLink.aspx?6ibkph2k9yi6F%2B0Vz7YoTipZ798QK%2BbPRA8NKiPBlFw%3D","Link")</f>
        <v>Link</v>
      </c>
      <c r="B37" s="2" t="s">
        <v>137</v>
      </c>
      <c r="C37" s="2" t="s">
        <v>131</v>
      </c>
      <c r="D37" s="2" t="s">
        <v>135</v>
      </c>
      <c r="E37" s="2" t="s">
        <v>138</v>
      </c>
      <c r="F37" s="2"/>
      <c r="G37" s="2" t="s">
        <v>9</v>
      </c>
      <c r="H37" s="2"/>
      <c r="I37" s="2" t="s">
        <v>9</v>
      </c>
    </row>
    <row r="38" spans="1:9" ht="65" x14ac:dyDescent="0.3">
      <c r="A38" s="1" t="str">
        <f>HYPERLINK("https://ipmanager.doe.gov/IPManager//ExternalLink.aspx?6ibkph2k9yi6F%2B0Vz7YoTipZ798QK%2BbP3RdjkUxjNZ8%3D","Link")</f>
        <v>Link</v>
      </c>
      <c r="B38" s="2" t="s">
        <v>139</v>
      </c>
      <c r="C38" s="2" t="s">
        <v>131</v>
      </c>
      <c r="D38" s="2" t="s">
        <v>140</v>
      </c>
      <c r="E38" s="2" t="s">
        <v>141</v>
      </c>
      <c r="F38" s="2"/>
      <c r="G38" s="2" t="s">
        <v>9</v>
      </c>
      <c r="H38" s="2"/>
      <c r="I38" s="2" t="s">
        <v>9</v>
      </c>
    </row>
    <row r="39" spans="1:9" ht="52" x14ac:dyDescent="0.3">
      <c r="A39" s="1" t="str">
        <f>HYPERLINK("https://ipmanager.doe.gov/IPManager//ExternalLink.aspx?6ibkph2k9yi6F%2B0Vz7YoTipZ798QK%2BbPReiCQmRPTYo%3D","Link")</f>
        <v>Link</v>
      </c>
      <c r="B39" s="2" t="s">
        <v>142</v>
      </c>
      <c r="C39" s="2" t="s">
        <v>131</v>
      </c>
      <c r="D39" s="2" t="s">
        <v>140</v>
      </c>
      <c r="E39" s="2" t="s">
        <v>143</v>
      </c>
      <c r="F39" s="2"/>
      <c r="G39" s="2" t="s">
        <v>9</v>
      </c>
      <c r="H39" s="2"/>
      <c r="I39" s="2" t="s">
        <v>9</v>
      </c>
    </row>
    <row r="40" spans="1:9" ht="26" x14ac:dyDescent="0.3">
      <c r="A40" s="1" t="str">
        <f>HYPERLINK("https://ipmanager.doe.gov/IPManager//ExternalLink.aspx?6ibkph2k9yi6F%2B0Vz7YoTipZ798QK%2BbPYMOcXLYOx2w%3D","Link")</f>
        <v>Link</v>
      </c>
      <c r="B40" s="2" t="s">
        <v>144</v>
      </c>
      <c r="C40" s="2" t="s">
        <v>131</v>
      </c>
      <c r="D40" s="2" t="s">
        <v>140</v>
      </c>
      <c r="E40" s="2" t="s">
        <v>145</v>
      </c>
      <c r="F40" s="2"/>
      <c r="G40" s="2" t="s">
        <v>9</v>
      </c>
      <c r="H40" s="2"/>
      <c r="I40" s="2" t="s">
        <v>9</v>
      </c>
    </row>
    <row r="41" spans="1:9" ht="26" x14ac:dyDescent="0.3">
      <c r="A41" s="1" t="str">
        <f>HYPERLINK("https://ipmanager.doe.gov/IPManager//ExternalLink.aspx?6ibkph2k9yi6F%2B0Vz7YoTipZ798QK%2BbPT5R61YfXsjo%3D","Link")</f>
        <v>Link</v>
      </c>
      <c r="B41" s="2" t="s">
        <v>147</v>
      </c>
      <c r="C41" s="2" t="s">
        <v>131</v>
      </c>
      <c r="D41" s="2" t="s">
        <v>140</v>
      </c>
      <c r="E41" s="2" t="s">
        <v>148</v>
      </c>
      <c r="F41" s="2"/>
      <c r="G41" s="2" t="s">
        <v>9</v>
      </c>
      <c r="H41" s="2"/>
      <c r="I41" s="2" t="s">
        <v>9</v>
      </c>
    </row>
    <row r="42" spans="1:9" ht="52" x14ac:dyDescent="0.3">
      <c r="A42" s="1" t="str">
        <f>HYPERLINK("https://ipmanager.doe.gov/IPManager//ExternalLink.aspx?6ibkph2k9yi6F%2B0Vz7YoTipZ798QK%2BbPeP1IUD4vQDw%3D","Link")</f>
        <v>Link</v>
      </c>
      <c r="B42" s="2" t="s">
        <v>149</v>
      </c>
      <c r="C42" s="2" t="s">
        <v>131</v>
      </c>
      <c r="D42" s="2" t="s">
        <v>135</v>
      </c>
      <c r="E42" s="2" t="s">
        <v>150</v>
      </c>
      <c r="F42" s="2"/>
      <c r="G42" s="2" t="s">
        <v>9</v>
      </c>
      <c r="H42" s="2"/>
      <c r="I42" s="2" t="s">
        <v>9</v>
      </c>
    </row>
    <row r="43" spans="1:9" ht="91" x14ac:dyDescent="0.3">
      <c r="A43" s="1" t="str">
        <f>HYPERLINK("https://ipmanager.doe.gov/IPManager//ExternalLink.aspx?6ibkph2k9yi6F%2B0Vz7YoTipZ798QK%2BbPFAYdDxNu3u0%3D","Link")</f>
        <v>Link</v>
      </c>
      <c r="B43" s="2" t="s">
        <v>151</v>
      </c>
      <c r="C43" s="2" t="s">
        <v>131</v>
      </c>
      <c r="D43" s="2" t="s">
        <v>140</v>
      </c>
      <c r="E43" s="2" t="s">
        <v>152</v>
      </c>
      <c r="F43" s="2"/>
      <c r="G43" s="2" t="s">
        <v>9</v>
      </c>
      <c r="H43" s="2"/>
      <c r="I43" s="2" t="s">
        <v>9</v>
      </c>
    </row>
    <row r="44" spans="1:9" ht="39" x14ac:dyDescent="0.3">
      <c r="A44" s="1" t="str">
        <f>HYPERLINK("https://ipmanager.doe.gov/IPManager//ExternalLink.aspx?6ibkph2k9yi6F%2B0Vz7YoTipZ798QK%2BbPftSCPGgCbk4%3D","Link")</f>
        <v>Link</v>
      </c>
      <c r="B44" s="2" t="s">
        <v>153</v>
      </c>
      <c r="C44" s="2" t="s">
        <v>131</v>
      </c>
      <c r="D44" s="2" t="s">
        <v>154</v>
      </c>
      <c r="E44" s="2" t="s">
        <v>133</v>
      </c>
      <c r="F44" s="2"/>
      <c r="G44" s="2" t="s">
        <v>9</v>
      </c>
      <c r="H44" s="2"/>
      <c r="I44" s="2" t="s">
        <v>9</v>
      </c>
    </row>
    <row r="45" spans="1:9" ht="52" x14ac:dyDescent="0.3">
      <c r="A45" s="1" t="str">
        <f>HYPERLINK("https://ipmanager.doe.gov/IPManager//ExternalLink.aspx?6ibkph2k9yi6F%2B0Vz7YoTjnDGhmGHGI7bVPg4SMHZUU%3D","Link")</f>
        <v>Link</v>
      </c>
      <c r="B45" s="2" t="s">
        <v>156</v>
      </c>
      <c r="C45" s="2" t="s">
        <v>131</v>
      </c>
      <c r="D45" s="2" t="s">
        <v>132</v>
      </c>
      <c r="E45" s="2" t="s">
        <v>157</v>
      </c>
      <c r="F45" s="2" t="s">
        <v>158</v>
      </c>
      <c r="G45" s="2" t="s">
        <v>159</v>
      </c>
      <c r="H45" s="2">
        <v>9303264</v>
      </c>
      <c r="I45" s="2" t="s">
        <v>160</v>
      </c>
    </row>
    <row r="46" spans="1:9" ht="52" x14ac:dyDescent="0.3">
      <c r="A46" s="1" t="str">
        <f>HYPERLINK("https://ipmanager.doe.gov/IPManager//ExternalLink.aspx?6ibkph2k9yi6F%2B0Vz7YoTipZ798QK%2BbP8xgQMfGUGzg%3D","Link")</f>
        <v>Link</v>
      </c>
      <c r="B46" s="2" t="s">
        <v>161</v>
      </c>
      <c r="C46" s="2" t="s">
        <v>131</v>
      </c>
      <c r="D46" s="2" t="s">
        <v>86</v>
      </c>
      <c r="E46" s="2" t="s">
        <v>162</v>
      </c>
      <c r="F46" s="2"/>
      <c r="G46" s="2" t="s">
        <v>9</v>
      </c>
      <c r="H46" s="2"/>
      <c r="I46" s="2" t="s">
        <v>9</v>
      </c>
    </row>
    <row r="47" spans="1:9" ht="39" x14ac:dyDescent="0.3">
      <c r="A47" s="1" t="str">
        <f>HYPERLINK("https://ipmanager.doe.gov/IPManager//ExternalLink.aspx?6ibkph2k9yi6F%2B0Vz7YoTgZwfmYxrNyKAsftMk29TXQ%3D","Link")</f>
        <v>Link</v>
      </c>
      <c r="B47" s="2" t="s">
        <v>163</v>
      </c>
      <c r="C47" s="2" t="s">
        <v>131</v>
      </c>
      <c r="D47" s="2" t="s">
        <v>132</v>
      </c>
      <c r="E47" s="2" t="s">
        <v>164</v>
      </c>
      <c r="F47" s="2" t="s">
        <v>165</v>
      </c>
      <c r="G47" s="2" t="s">
        <v>166</v>
      </c>
      <c r="H47" s="2">
        <v>9255283</v>
      </c>
      <c r="I47" s="2" t="s">
        <v>167</v>
      </c>
    </row>
    <row r="48" spans="1:9" ht="39" x14ac:dyDescent="0.3">
      <c r="A48" s="1" t="str">
        <f>HYPERLINK("https://ipmanager.doe.gov/IPManager//ExternalLink.aspx?6ibkph2k9yi6F%2B0Vz7YoTq6RR9BlGHHiXjiq66SWysc%3D","Link")</f>
        <v>Link</v>
      </c>
      <c r="B48" s="2" t="s">
        <v>168</v>
      </c>
      <c r="C48" s="2" t="s">
        <v>131</v>
      </c>
      <c r="D48" s="2" t="s">
        <v>132</v>
      </c>
      <c r="E48" s="2" t="s">
        <v>164</v>
      </c>
      <c r="F48" s="2" t="s">
        <v>169</v>
      </c>
      <c r="G48" s="2" t="s">
        <v>166</v>
      </c>
      <c r="H48" s="2">
        <v>9255283</v>
      </c>
      <c r="I48" s="2" t="s">
        <v>167</v>
      </c>
    </row>
    <row r="49" spans="1:9" ht="26" x14ac:dyDescent="0.3">
      <c r="A49" s="1" t="str">
        <f>HYPERLINK("https://ipmanager.doe.gov/IPManager//ExternalLink.aspx?6ibkph2k9yi6F%2B0Vz7YoTlNm8snv%2FZpHov6Rsxdt4PQ%3D","Link")</f>
        <v>Link</v>
      </c>
      <c r="B49" s="2" t="s">
        <v>170</v>
      </c>
      <c r="C49" s="2" t="s">
        <v>171</v>
      </c>
      <c r="D49" s="2" t="s">
        <v>172</v>
      </c>
      <c r="E49" s="2" t="s">
        <v>173</v>
      </c>
      <c r="F49" s="2"/>
      <c r="G49" s="2" t="s">
        <v>9</v>
      </c>
      <c r="H49" s="2"/>
      <c r="I49" s="2" t="s">
        <v>9</v>
      </c>
    </row>
    <row r="50" spans="1:9" ht="52" x14ac:dyDescent="0.3">
      <c r="A50" s="1" t="str">
        <f>HYPERLINK("https://ipmanager.doe.gov/IPManager//ExternalLink.aspx?6ibkph2k9yi6F%2B0Vz7YoTk2BI6w%2FjZ2fm1tD9b17oIg%3D","Link")</f>
        <v>Link</v>
      </c>
      <c r="B50" s="2" t="s">
        <v>1603</v>
      </c>
      <c r="C50" s="2" t="s">
        <v>1558</v>
      </c>
      <c r="D50" s="2" t="s">
        <v>1559</v>
      </c>
      <c r="E50" s="2" t="s">
        <v>1579</v>
      </c>
      <c r="F50" s="2" t="s">
        <v>1604</v>
      </c>
      <c r="G50" s="2" t="s">
        <v>1605</v>
      </c>
      <c r="H50" s="2"/>
      <c r="I50" s="2" t="s">
        <v>9</v>
      </c>
    </row>
    <row r="51" spans="1:9" ht="52" x14ac:dyDescent="0.3">
      <c r="A51" s="1" t="str">
        <f>HYPERLINK("https://ipmanager.doe.gov/IPManager//ExternalLink.aspx?6ibkph2k9yi6F%2B0Vz7YoTk2BI6w%2FjZ2fdma%2F2AV1rRM%3D","Link")</f>
        <v>Link</v>
      </c>
      <c r="B51" s="2" t="s">
        <v>1606</v>
      </c>
      <c r="C51" s="2" t="s">
        <v>1558</v>
      </c>
      <c r="D51" s="2" t="s">
        <v>1559</v>
      </c>
      <c r="E51" s="2" t="s">
        <v>1579</v>
      </c>
      <c r="F51" s="2" t="s">
        <v>1607</v>
      </c>
      <c r="G51" s="2" t="s">
        <v>1608</v>
      </c>
      <c r="H51" s="2"/>
      <c r="I51" s="2" t="s">
        <v>9</v>
      </c>
    </row>
    <row r="52" spans="1:9" ht="26" x14ac:dyDescent="0.3">
      <c r="A52" s="1" t="str">
        <f>HYPERLINK("https://ipmanager.doe.gov/IPManager//ExternalLink.aspx?6ibkph2k9yi6F%2B0Vz7YoTk2BI6w%2FjZ2fSNOBYgm%2B2LI%3D","Link")</f>
        <v>Link</v>
      </c>
      <c r="B52" s="2" t="s">
        <v>1611</v>
      </c>
      <c r="C52" s="2" t="s">
        <v>1558</v>
      </c>
      <c r="D52" s="2" t="s">
        <v>1559</v>
      </c>
      <c r="E52" s="2" t="s">
        <v>1584</v>
      </c>
      <c r="F52" s="2" t="s">
        <v>1587</v>
      </c>
      <c r="G52" s="2" t="s">
        <v>1612</v>
      </c>
      <c r="H52" s="2"/>
      <c r="I52" s="2" t="s">
        <v>9</v>
      </c>
    </row>
    <row r="53" spans="1:9" ht="52" x14ac:dyDescent="0.3">
      <c r="A53" s="1" t="str">
        <f>HYPERLINK("https://ipmanager.doe.gov/IPManager//ExternalLink.aspx?6ibkph2k9yi6F%2B0Vz7YoTjnDGhmGHGI7G8a3C0JV9aU%3D","Link")</f>
        <v>Link</v>
      </c>
      <c r="B53" s="2" t="s">
        <v>185</v>
      </c>
      <c r="C53" s="2" t="s">
        <v>186</v>
      </c>
      <c r="D53" s="2" t="s">
        <v>187</v>
      </c>
      <c r="E53" s="2" t="s">
        <v>188</v>
      </c>
      <c r="F53" s="2" t="s">
        <v>189</v>
      </c>
      <c r="G53" s="2" t="s">
        <v>190</v>
      </c>
      <c r="H53" s="2">
        <v>8796738</v>
      </c>
      <c r="I53" s="2" t="s">
        <v>191</v>
      </c>
    </row>
    <row r="54" spans="1:9" ht="39" x14ac:dyDescent="0.3">
      <c r="A54" s="1" t="str">
        <f>HYPERLINK("https://ipmanager.doe.gov/IPManager//ExternalLink.aspx?6ibkph2k9yi6F%2B0Vz7YoTjnDGhmGHGI73vVHocf16pc%3D","Link")</f>
        <v>Link</v>
      </c>
      <c r="B54" s="2" t="s">
        <v>192</v>
      </c>
      <c r="C54" s="2" t="s">
        <v>186</v>
      </c>
      <c r="D54" s="2" t="s">
        <v>187</v>
      </c>
      <c r="E54" s="2" t="s">
        <v>193</v>
      </c>
      <c r="F54" s="2" t="s">
        <v>194</v>
      </c>
      <c r="G54" s="2" t="s">
        <v>195</v>
      </c>
      <c r="H54" s="2">
        <v>8659030</v>
      </c>
      <c r="I54" s="2" t="s">
        <v>196</v>
      </c>
    </row>
    <row r="55" spans="1:9" ht="39" x14ac:dyDescent="0.3">
      <c r="A55" s="1" t="str">
        <f>HYPERLINK("https://ipmanager.doe.gov/IPManager//ExternalLink.aspx?6ibkph2k9yi6F%2B0Vz7YoTjnDGhmGHGI7qYG32lDbkrA%3D","Link")</f>
        <v>Link</v>
      </c>
      <c r="B55" s="2" t="s">
        <v>197</v>
      </c>
      <c r="C55" s="2" t="s">
        <v>186</v>
      </c>
      <c r="D55" s="2" t="s">
        <v>187</v>
      </c>
      <c r="E55" s="2" t="s">
        <v>198</v>
      </c>
      <c r="F55" s="2" t="s">
        <v>199</v>
      </c>
      <c r="G55" s="2" t="s">
        <v>200</v>
      </c>
      <c r="H55" s="2">
        <v>8969881</v>
      </c>
      <c r="I55" s="2" t="s">
        <v>201</v>
      </c>
    </row>
    <row r="56" spans="1:9" ht="52" x14ac:dyDescent="0.3">
      <c r="A56" s="1" t="str">
        <f>HYPERLINK("https://ipmanager.doe.gov/IPManager//ExternalLink.aspx?6ibkph2k9yi6F%2B0Vz7YoTjnDGhmGHGI7fYr%2BjcG%2B0UI%3D","Link")</f>
        <v>Link</v>
      </c>
      <c r="B56" s="2" t="s">
        <v>202</v>
      </c>
      <c r="C56" s="2" t="s">
        <v>186</v>
      </c>
      <c r="D56" s="2" t="s">
        <v>187</v>
      </c>
      <c r="E56" s="2" t="s">
        <v>203</v>
      </c>
      <c r="F56" s="2" t="s">
        <v>204</v>
      </c>
      <c r="G56" s="2" t="s">
        <v>205</v>
      </c>
      <c r="H56" s="2">
        <v>8957454</v>
      </c>
      <c r="I56" s="2" t="s">
        <v>206</v>
      </c>
    </row>
    <row r="57" spans="1:9" ht="39" x14ac:dyDescent="0.3">
      <c r="A57" s="1" t="str">
        <f>HYPERLINK("https://ipmanager.doe.gov/IPManager//ExternalLink.aspx?6ibkph2k9yi6F%2B0Vz7YoTjnDGhmGHGI7TTTyrmPtvHs%3D","Link")</f>
        <v>Link</v>
      </c>
      <c r="B57" s="2" t="s">
        <v>207</v>
      </c>
      <c r="C57" s="2" t="s">
        <v>186</v>
      </c>
      <c r="D57" s="2" t="s">
        <v>187</v>
      </c>
      <c r="E57" s="2" t="s">
        <v>208</v>
      </c>
      <c r="F57" s="2" t="s">
        <v>209</v>
      </c>
      <c r="G57" s="2" t="s">
        <v>210</v>
      </c>
      <c r="H57" s="2">
        <v>9070755</v>
      </c>
      <c r="I57" s="2" t="s">
        <v>211</v>
      </c>
    </row>
    <row r="58" spans="1:9" ht="39" x14ac:dyDescent="0.3">
      <c r="A58" s="1" t="str">
        <f>HYPERLINK("https://ipmanager.doe.gov/IPManager//ExternalLink.aspx?6ibkph2k9yi6F%2B0Vz7YoTvPUg%2FVZPl3i6geziBdSHpg%3D","Link")</f>
        <v>Link</v>
      </c>
      <c r="B58" s="2" t="s">
        <v>212</v>
      </c>
      <c r="C58" s="2" t="s">
        <v>186</v>
      </c>
      <c r="D58" s="2" t="s">
        <v>187</v>
      </c>
      <c r="E58" s="2" t="s">
        <v>213</v>
      </c>
      <c r="F58" s="2" t="s">
        <v>214</v>
      </c>
      <c r="G58" s="2" t="s">
        <v>215</v>
      </c>
      <c r="H58" s="2">
        <v>9564498</v>
      </c>
      <c r="I58" s="2" t="s">
        <v>216</v>
      </c>
    </row>
    <row r="59" spans="1:9" ht="39" x14ac:dyDescent="0.3">
      <c r="A59" s="1" t="str">
        <f>HYPERLINK("https://ipmanager.doe.gov/IPManager//ExternalLink.aspx?6ibkph2k9yi6F%2B0Vz7YoTjnDGhmGHGI7LsYo3yYZwVw%3D","Link")</f>
        <v>Link</v>
      </c>
      <c r="B59" s="2" t="s">
        <v>217</v>
      </c>
      <c r="C59" s="2" t="s">
        <v>186</v>
      </c>
      <c r="D59" s="2" t="s">
        <v>187</v>
      </c>
      <c r="E59" s="2" t="s">
        <v>218</v>
      </c>
      <c r="F59" s="2" t="s">
        <v>219</v>
      </c>
      <c r="G59" s="2" t="s">
        <v>220</v>
      </c>
      <c r="H59" s="2">
        <v>9379231</v>
      </c>
      <c r="I59" s="2" t="s">
        <v>221</v>
      </c>
    </row>
    <row r="60" spans="1:9" ht="39" x14ac:dyDescent="0.3">
      <c r="A60" s="1" t="str">
        <f>HYPERLINK("https://ipmanager.doe.gov/IPManager//ExternalLink.aspx?6ibkph2k9yi6F%2B0Vz7YoTk2BI6w%2FjZ2fB4cdNtpI3v0%3D","Link")</f>
        <v>Link</v>
      </c>
      <c r="B60" s="2" t="s">
        <v>1613</v>
      </c>
      <c r="C60" s="2" t="s">
        <v>1558</v>
      </c>
      <c r="D60" s="2" t="s">
        <v>1559</v>
      </c>
      <c r="E60" s="2" t="s">
        <v>1614</v>
      </c>
      <c r="F60" s="2" t="s">
        <v>1615</v>
      </c>
      <c r="G60" s="2" t="s">
        <v>1612</v>
      </c>
      <c r="H60" s="2"/>
      <c r="I60" s="2" t="s">
        <v>9</v>
      </c>
    </row>
    <row r="61" spans="1:9" ht="39" x14ac:dyDescent="0.3">
      <c r="A61" s="1" t="str">
        <f>HYPERLINK("https://ipmanager.doe.gov/IPManager//ExternalLink.aspx?6ibkph2k9yi6F%2B0Vz7YoTjnDGhmGHGI706eDisfW%2FIM%3D","Link")</f>
        <v>Link</v>
      </c>
      <c r="B61" s="2" t="s">
        <v>1613</v>
      </c>
      <c r="C61" s="2" t="s">
        <v>1558</v>
      </c>
      <c r="D61" s="2" t="s">
        <v>1559</v>
      </c>
      <c r="E61" s="2" t="s">
        <v>1614</v>
      </c>
      <c r="F61" s="2" t="s">
        <v>1624</v>
      </c>
      <c r="G61" s="2" t="s">
        <v>1625</v>
      </c>
      <c r="H61" s="2"/>
      <c r="I61" s="2" t="s">
        <v>9</v>
      </c>
    </row>
    <row r="62" spans="1:9" ht="26" x14ac:dyDescent="0.3">
      <c r="A62" s="1" t="str">
        <f>HYPERLINK("https://ipmanager.doe.gov/IPManager//ExternalLink.aspx?6ibkph2k9yi6F%2B0Vz7YoTr7J5I%2BY4foYnAJ3dDzfZYE%3D","Link")</f>
        <v>Link</v>
      </c>
      <c r="B62" s="2" t="s">
        <v>231</v>
      </c>
      <c r="C62" s="2" t="s">
        <v>232</v>
      </c>
      <c r="D62" s="2" t="s">
        <v>233</v>
      </c>
      <c r="E62" s="2" t="s">
        <v>234</v>
      </c>
      <c r="F62" s="2"/>
      <c r="G62" s="2" t="s">
        <v>9</v>
      </c>
      <c r="H62" s="2"/>
      <c r="I62" s="2" t="s">
        <v>9</v>
      </c>
    </row>
    <row r="63" spans="1:9" ht="52" x14ac:dyDescent="0.3">
      <c r="A63" s="1" t="str">
        <f>HYPERLINK("https://ipmanager.doe.gov/IPManager//ExternalLink.aspx?6ibkph2k9yi6F%2B0Vz7YoTjnDGhmGHGI7ktFeQBlII4s%3D","Link")</f>
        <v>Link</v>
      </c>
      <c r="B63" s="2" t="s">
        <v>1563</v>
      </c>
      <c r="C63" s="2" t="s">
        <v>1558</v>
      </c>
      <c r="D63" s="2" t="s">
        <v>1559</v>
      </c>
      <c r="E63" s="2" t="s">
        <v>1564</v>
      </c>
      <c r="F63" s="2" t="s">
        <v>1629</v>
      </c>
      <c r="G63" s="2" t="s">
        <v>798</v>
      </c>
      <c r="H63" s="2"/>
      <c r="I63" s="2" t="s">
        <v>9</v>
      </c>
    </row>
    <row r="64" spans="1:9" ht="26" x14ac:dyDescent="0.3">
      <c r="A64" s="1" t="str">
        <f>HYPERLINK("https://ipmanager.doe.gov/IPManager//ExternalLink.aspx?6ibkph2k9yi6F%2B0Vz7YoTipZ798QK%2BbP%2FwU%2BEXEJ09g%3D","Link")</f>
        <v>Link</v>
      </c>
      <c r="B64" s="2" t="s">
        <v>240</v>
      </c>
      <c r="C64" s="2" t="s">
        <v>232</v>
      </c>
      <c r="D64" s="2" t="s">
        <v>233</v>
      </c>
      <c r="E64" s="2" t="s">
        <v>241</v>
      </c>
      <c r="F64" s="2"/>
      <c r="G64" s="2" t="s">
        <v>9</v>
      </c>
      <c r="H64" s="2"/>
      <c r="I64" s="2" t="s">
        <v>9</v>
      </c>
    </row>
    <row r="65" spans="1:9" ht="39" x14ac:dyDescent="0.3">
      <c r="A65" s="1" t="str">
        <f>HYPERLINK("https://ipmanager.doe.gov/IPManager//ExternalLink.aspx?6ibkph2k9yi6F%2B0Vz7YoTjnDGhmGHGI7GY2TLadENwk%3D","Link")</f>
        <v>Link</v>
      </c>
      <c r="B65" s="2" t="s">
        <v>243</v>
      </c>
      <c r="C65" s="2" t="s">
        <v>244</v>
      </c>
      <c r="D65" s="2" t="s">
        <v>245</v>
      </c>
      <c r="E65" s="2" t="s">
        <v>246</v>
      </c>
      <c r="F65" s="2" t="s">
        <v>247</v>
      </c>
      <c r="G65" s="2" t="s">
        <v>248</v>
      </c>
      <c r="H65" s="2">
        <v>9217198</v>
      </c>
      <c r="I65" s="2" t="s">
        <v>249</v>
      </c>
    </row>
    <row r="66" spans="1:9" ht="39" x14ac:dyDescent="0.3">
      <c r="A66" s="1" t="str">
        <f>HYPERLINK("https://ipmanager.doe.gov/IPManager//ExternalLink.aspx?6ibkph2k9yi6F%2B0Vz7YoTlNm8snv%2FZpHX2Vj5sU5%2FPI%3D","Link")</f>
        <v>Link</v>
      </c>
      <c r="B66" s="2" t="s">
        <v>250</v>
      </c>
      <c r="C66" s="2" t="s">
        <v>244</v>
      </c>
      <c r="D66" s="2" t="s">
        <v>245</v>
      </c>
      <c r="E66" s="2" t="s">
        <v>251</v>
      </c>
      <c r="F66" s="2" t="s">
        <v>252</v>
      </c>
      <c r="G66" s="2" t="s">
        <v>253</v>
      </c>
      <c r="H66" s="8">
        <v>9013777</v>
      </c>
      <c r="I66" s="2" t="s">
        <v>254</v>
      </c>
    </row>
    <row r="67" spans="1:9" ht="26" x14ac:dyDescent="0.3">
      <c r="A67" s="1" t="str">
        <f>HYPERLINK("https://ipmanager.doe.gov/IPManager//ExternalLink.aspx?6ibkph2k9yi6F%2B0Vz7YoTjnDGhmGHGI77PbHIo20J6Q%3D","Link")</f>
        <v>Link</v>
      </c>
      <c r="B67" s="2" t="s">
        <v>255</v>
      </c>
      <c r="C67" s="2" t="s">
        <v>244</v>
      </c>
      <c r="D67" s="2" t="s">
        <v>245</v>
      </c>
      <c r="E67" s="2" t="s">
        <v>256</v>
      </c>
      <c r="F67" s="2" t="s">
        <v>257</v>
      </c>
      <c r="G67" s="2" t="s">
        <v>258</v>
      </c>
      <c r="H67" s="7">
        <v>8637996</v>
      </c>
      <c r="I67" s="2" t="s">
        <v>259</v>
      </c>
    </row>
    <row r="68" spans="1:9" ht="26" x14ac:dyDescent="0.3">
      <c r="A68" s="1" t="str">
        <f>HYPERLINK("https://ipmanager.doe.gov/IPManager//ExternalLink.aspx?6ibkph2k9yi6F%2B0Vz7YoTjnDGhmGHGI7WzES0YJEcsM%3D","Link")</f>
        <v>Link</v>
      </c>
      <c r="B68" s="2" t="s">
        <v>260</v>
      </c>
      <c r="C68" s="2" t="s">
        <v>244</v>
      </c>
      <c r="D68" s="2" t="s">
        <v>245</v>
      </c>
      <c r="E68" s="2" t="s">
        <v>261</v>
      </c>
      <c r="F68" s="2" t="s">
        <v>262</v>
      </c>
      <c r="G68" s="2" t="s">
        <v>253</v>
      </c>
      <c r="H68" s="7">
        <v>8976440</v>
      </c>
      <c r="I68" s="2" t="s">
        <v>263</v>
      </c>
    </row>
    <row r="69" spans="1:9" ht="52" x14ac:dyDescent="0.3">
      <c r="A69" s="1" t="str">
        <f>HYPERLINK("https://ipmanager.doe.gov/IPManager//ExternalLink.aspx?6ibkph2k9yi6F%2B0Vz7YoTgZwfmYxrNyKTO7HivF%2BY1M%3D","Link")</f>
        <v>Link</v>
      </c>
      <c r="B69" s="2" t="s">
        <v>264</v>
      </c>
      <c r="C69" s="2" t="s">
        <v>265</v>
      </c>
      <c r="D69" s="2" t="s">
        <v>266</v>
      </c>
      <c r="E69" s="2" t="s">
        <v>267</v>
      </c>
      <c r="F69" s="2" t="s">
        <v>268</v>
      </c>
      <c r="G69" s="2" t="s">
        <v>269</v>
      </c>
      <c r="H69" s="8">
        <v>9589792</v>
      </c>
      <c r="I69" s="2" t="s">
        <v>270</v>
      </c>
    </row>
    <row r="70" spans="1:9" ht="39" x14ac:dyDescent="0.3">
      <c r="A70" s="1" t="str">
        <f>HYPERLINK("https://ipmanager.doe.gov/IPManager//ExternalLink.aspx?6ibkph2k9yi6F%2B0Vz7YoTgZwfmYxrNyKZoS2JNtRBX0%3D","Link")</f>
        <v>Link</v>
      </c>
      <c r="B70" s="2" t="s">
        <v>271</v>
      </c>
      <c r="C70" s="2" t="s">
        <v>265</v>
      </c>
      <c r="D70" s="2" t="s">
        <v>266</v>
      </c>
      <c r="E70" s="2" t="s">
        <v>272</v>
      </c>
      <c r="F70" s="2" t="s">
        <v>273</v>
      </c>
      <c r="G70" s="2" t="s">
        <v>274</v>
      </c>
      <c r="H70" s="8">
        <v>9543392</v>
      </c>
      <c r="I70" s="2" t="s">
        <v>275</v>
      </c>
    </row>
    <row r="71" spans="1:9" ht="26" x14ac:dyDescent="0.3">
      <c r="A71" s="1" t="str">
        <f>HYPERLINK("https://ipmanager.doe.gov/IPManager//ExternalLink.aspx?6ibkph2k9yi6F%2B0Vz7YoTjnDGhmGHGI7biuOBLMDz78%3D","Link")</f>
        <v>Link</v>
      </c>
      <c r="B71" s="2" t="s">
        <v>1611</v>
      </c>
      <c r="C71" s="2" t="s">
        <v>1558</v>
      </c>
      <c r="D71" s="2" t="s">
        <v>1559</v>
      </c>
      <c r="E71" s="2" t="s">
        <v>1584</v>
      </c>
      <c r="F71" s="2" t="s">
        <v>1630</v>
      </c>
      <c r="G71" s="2" t="s">
        <v>1631</v>
      </c>
      <c r="H71" s="7"/>
      <c r="I71" s="2" t="s">
        <v>9</v>
      </c>
    </row>
    <row r="72" spans="1:9" ht="39" x14ac:dyDescent="0.3">
      <c r="A72" s="1" t="str">
        <f>HYPERLINK("https://ipmanager.doe.gov/IPManager//ExternalLink.aspx?6ibkph2k9yi6F%2B0Vz7YoTlNm8snv%2FZpH%2F4CYdlKmwIQ%3D","Link")</f>
        <v>Link</v>
      </c>
      <c r="B72" s="2" t="s">
        <v>281</v>
      </c>
      <c r="C72" s="2" t="s">
        <v>265</v>
      </c>
      <c r="D72" s="2" t="s">
        <v>266</v>
      </c>
      <c r="E72" s="2" t="s">
        <v>282</v>
      </c>
      <c r="F72" s="2" t="s">
        <v>283</v>
      </c>
      <c r="G72" s="2" t="s">
        <v>284</v>
      </c>
      <c r="H72" s="7">
        <v>10145021</v>
      </c>
      <c r="I72" s="2" t="s">
        <v>285</v>
      </c>
    </row>
    <row r="73" spans="1:9" ht="39" x14ac:dyDescent="0.3">
      <c r="A73" s="1" t="str">
        <f>HYPERLINK("https://ipmanager.doe.gov/IPManager//ExternalLink.aspx?6ibkph2k9yi6F%2B0Vz7YoTjnDGhmGHGI7pNZoDA7iTtY%3D","Link")</f>
        <v>Link</v>
      </c>
      <c r="B73" s="2" t="s">
        <v>1632</v>
      </c>
      <c r="C73" s="2" t="s">
        <v>1558</v>
      </c>
      <c r="D73" s="2" t="s">
        <v>1559</v>
      </c>
      <c r="E73" s="2" t="s">
        <v>1633</v>
      </c>
      <c r="F73" s="2" t="s">
        <v>1634</v>
      </c>
      <c r="G73" s="2" t="s">
        <v>1572</v>
      </c>
      <c r="H73" s="7"/>
      <c r="I73" s="2" t="s">
        <v>9</v>
      </c>
    </row>
    <row r="74" spans="1:9" ht="39" x14ac:dyDescent="0.3">
      <c r="A74" s="1" t="str">
        <f>HYPERLINK("https://ipmanager.doe.gov/IPManager//ExternalLink.aspx?6ibkph2k9yi6F%2B0Vz7YoTjnDGhmGHGI7xEhCnhP5Yvs%3D","Link")</f>
        <v>Link</v>
      </c>
      <c r="B74" s="2" t="s">
        <v>1621</v>
      </c>
      <c r="C74" s="2" t="s">
        <v>1558</v>
      </c>
      <c r="D74" s="2" t="s">
        <v>1559</v>
      </c>
      <c r="E74" s="2" t="s">
        <v>1560</v>
      </c>
      <c r="F74" s="2" t="s">
        <v>1636</v>
      </c>
      <c r="G74" s="2" t="s">
        <v>1637</v>
      </c>
      <c r="H74" s="7"/>
      <c r="I74" s="2" t="s">
        <v>9</v>
      </c>
    </row>
    <row r="75" spans="1:9" ht="39" x14ac:dyDescent="0.3">
      <c r="A75" s="1" t="str">
        <f>HYPERLINK("https://ipmanager.doe.gov/IPManager//ExternalLink.aspx?6ibkph2k9yi6F%2B0Vz7YoTo7DPLa3%2F%2FGgZZPIkAmPtkI%3D","Link")</f>
        <v>Link</v>
      </c>
      <c r="B75" s="2" t="s">
        <v>1990</v>
      </c>
      <c r="C75" s="2" t="s">
        <v>1986</v>
      </c>
      <c r="D75" s="2" t="s">
        <v>1987</v>
      </c>
      <c r="E75" s="2" t="s">
        <v>1991</v>
      </c>
      <c r="F75" s="2" t="s">
        <v>1992</v>
      </c>
      <c r="G75" s="2" t="s">
        <v>1993</v>
      </c>
      <c r="H75" s="7"/>
      <c r="I75" s="2" t="s">
        <v>9</v>
      </c>
    </row>
    <row r="76" spans="1:9" ht="52" x14ac:dyDescent="0.3">
      <c r="A76" s="1" t="str">
        <f>HYPERLINK("https://ipmanager.doe.gov/IPManager//ExternalLink.aspx?6ibkph2k9yi6F%2B0Vz7YoTlNm8snv%2FZpHMbpXCmh2GV0%3D","Link")</f>
        <v>Link</v>
      </c>
      <c r="B76" s="2" t="s">
        <v>1999</v>
      </c>
      <c r="C76" s="2" t="s">
        <v>1986</v>
      </c>
      <c r="D76" s="2" t="s">
        <v>1987</v>
      </c>
      <c r="E76" s="2" t="s">
        <v>2000</v>
      </c>
      <c r="F76" s="2" t="s">
        <v>2001</v>
      </c>
      <c r="G76" s="2" t="s">
        <v>1993</v>
      </c>
      <c r="H76" s="7"/>
      <c r="I76" s="2" t="s">
        <v>9</v>
      </c>
    </row>
    <row r="77" spans="1:9" ht="39" x14ac:dyDescent="0.3">
      <c r="A77" s="1" t="str">
        <f>HYPERLINK("https://ipmanager.doe.gov/IPManager//ExternalLink.aspx?6ibkph2k9yi6F%2B0Vz7YoTq6RR9BlGHHijBv4QUYPDSc%3D","Link")</f>
        <v>Link</v>
      </c>
      <c r="B77" s="2" t="s">
        <v>301</v>
      </c>
      <c r="C77" s="2" t="s">
        <v>302</v>
      </c>
      <c r="D77" s="2" t="s">
        <v>303</v>
      </c>
      <c r="E77" s="2" t="s">
        <v>304</v>
      </c>
      <c r="F77" s="2" t="s">
        <v>305</v>
      </c>
      <c r="G77" s="2" t="s">
        <v>81</v>
      </c>
      <c r="H77" s="7">
        <v>9133819</v>
      </c>
      <c r="I77" s="2" t="s">
        <v>306</v>
      </c>
    </row>
    <row r="78" spans="1:9" ht="52" x14ac:dyDescent="0.3">
      <c r="A78" s="1" t="str">
        <f>HYPERLINK("https://ipmanager.doe.gov/IPManager//ExternalLink.aspx?6ibkph2k9yi6F%2B0Vz7YoTjnDGhmGHGI7EfU%2FrPzecK0%3D","Link")</f>
        <v>Link</v>
      </c>
      <c r="B78" s="2" t="s">
        <v>2212</v>
      </c>
      <c r="C78" s="2" t="s">
        <v>2213</v>
      </c>
      <c r="D78" s="2" t="s">
        <v>2214</v>
      </c>
      <c r="E78" s="2" t="s">
        <v>2215</v>
      </c>
      <c r="F78" s="2" t="s">
        <v>2216</v>
      </c>
      <c r="G78" s="2" t="s">
        <v>2217</v>
      </c>
      <c r="H78" s="7"/>
      <c r="I78" s="2" t="s">
        <v>9</v>
      </c>
    </row>
    <row r="79" spans="1:9" ht="39" x14ac:dyDescent="0.3">
      <c r="A79" s="1" t="str">
        <f>HYPERLINK("https://ipmanager.doe.gov/IPManager//ExternalLink.aspx?6ibkph2k9yi6F%2B0Vz7YoTlNm8snv%2FZpH2wkhIcAYiEQ%3D","Link")</f>
        <v>Link</v>
      </c>
      <c r="B79" s="2" t="s">
        <v>312</v>
      </c>
      <c r="C79" s="2" t="s">
        <v>313</v>
      </c>
      <c r="D79" s="2" t="s">
        <v>314</v>
      </c>
      <c r="E79" s="2" t="s">
        <v>315</v>
      </c>
      <c r="F79" s="2"/>
      <c r="G79" s="2" t="s">
        <v>9</v>
      </c>
      <c r="H79" s="7"/>
      <c r="I79" s="2" t="s">
        <v>9</v>
      </c>
    </row>
    <row r="80" spans="1:9" ht="39" x14ac:dyDescent="0.3">
      <c r="A80" s="1" t="str">
        <f>HYPERLINK("https://ipmanager.doe.gov/IPManager//ExternalLink.aspx?6ibkph2k9yi6F%2B0Vz7YoTjN2oADz%2F5MxAgzkzot%2Fs0o%3D","Link")</f>
        <v>Link</v>
      </c>
      <c r="B80" s="2" t="s">
        <v>316</v>
      </c>
      <c r="C80" s="2" t="s">
        <v>313</v>
      </c>
      <c r="D80" s="2" t="s">
        <v>314</v>
      </c>
      <c r="E80" s="2" t="s">
        <v>315</v>
      </c>
      <c r="F80" s="2"/>
      <c r="G80" s="2" t="s">
        <v>9</v>
      </c>
      <c r="H80" s="7"/>
      <c r="I80" s="2" t="s">
        <v>9</v>
      </c>
    </row>
    <row r="81" spans="1:9" ht="39" x14ac:dyDescent="0.3">
      <c r="A81" s="1" t="str">
        <f>HYPERLINK("https://ipmanager.doe.gov/IPManager//ExternalLink.aspx?6ibkph2k9yi6F%2B0Vz7YoTlNm8snv%2FZpHEosA5QWX304%3D","Link")</f>
        <v>Link</v>
      </c>
      <c r="B81" s="2" t="s">
        <v>318</v>
      </c>
      <c r="C81" s="2" t="s">
        <v>313</v>
      </c>
      <c r="D81" s="2" t="s">
        <v>314</v>
      </c>
      <c r="E81" s="2" t="s">
        <v>319</v>
      </c>
      <c r="F81" s="2"/>
      <c r="G81" s="2" t="s">
        <v>9</v>
      </c>
      <c r="H81" s="7"/>
      <c r="I81" s="2" t="s">
        <v>9</v>
      </c>
    </row>
    <row r="82" spans="1:9" ht="26" x14ac:dyDescent="0.3">
      <c r="A82" s="1" t="str">
        <f>HYPERLINK("https://ipmanager.doe.gov/IPManager//ExternalLink.aspx?6ibkph2k9yi6F%2B0Vz7YoTlNm8snv%2FZpHBRJ%2BDt9Ooz4%3D","Link")</f>
        <v>Link</v>
      </c>
      <c r="B82" s="2" t="s">
        <v>320</v>
      </c>
      <c r="C82" s="2" t="s">
        <v>313</v>
      </c>
      <c r="D82" s="2" t="s">
        <v>314</v>
      </c>
      <c r="E82" s="2" t="s">
        <v>321</v>
      </c>
      <c r="F82" s="2"/>
      <c r="G82" s="2" t="s">
        <v>9</v>
      </c>
      <c r="H82" s="7"/>
      <c r="I82" s="2" t="s">
        <v>9</v>
      </c>
    </row>
    <row r="83" spans="1:9" ht="26" x14ac:dyDescent="0.3">
      <c r="A83" s="1" t="str">
        <f>HYPERLINK("https://ipmanager.doe.gov/IPManager//ExternalLink.aspx?6ibkph2k9yi6F%2B0Vz7YoTlNm8snv%2FZpHKcHCDsIOMmw%3D","Link")</f>
        <v>Link</v>
      </c>
      <c r="B83" s="2" t="s">
        <v>322</v>
      </c>
      <c r="C83" s="2" t="s">
        <v>313</v>
      </c>
      <c r="D83" s="2" t="s">
        <v>314</v>
      </c>
      <c r="E83" s="2" t="s">
        <v>321</v>
      </c>
      <c r="F83" s="2"/>
      <c r="G83" s="2" t="s">
        <v>9</v>
      </c>
      <c r="H83" s="7"/>
      <c r="I83" s="2" t="s">
        <v>9</v>
      </c>
    </row>
    <row r="84" spans="1:9" ht="26" x14ac:dyDescent="0.3">
      <c r="A84" s="1" t="str">
        <f>HYPERLINK("https://ipmanager.doe.gov/IPManager//ExternalLink.aspx?6ibkph2k9yi6F%2B0Vz7YoTlNm8snv%2FZpHWaWoEMTRNCU%3D","Link")</f>
        <v>Link</v>
      </c>
      <c r="B84" s="2" t="s">
        <v>323</v>
      </c>
      <c r="C84" s="2" t="s">
        <v>313</v>
      </c>
      <c r="D84" s="2" t="s">
        <v>314</v>
      </c>
      <c r="E84" s="2" t="s">
        <v>324</v>
      </c>
      <c r="F84" s="2"/>
      <c r="G84" s="2" t="s">
        <v>9</v>
      </c>
      <c r="H84" s="7"/>
      <c r="I84" s="2" t="s">
        <v>9</v>
      </c>
    </row>
    <row r="85" spans="1:9" ht="39" x14ac:dyDescent="0.3">
      <c r="A85" s="1" t="str">
        <f>HYPERLINK("https://ipmanager.doe.gov/IPManager//ExternalLink.aspx?6ibkph2k9yi6F%2B0Vz7YoTlNm8snv%2FZpHC2wgjno5kPw%3D","Link")</f>
        <v>Link</v>
      </c>
      <c r="B85" s="2" t="s">
        <v>325</v>
      </c>
      <c r="C85" s="2" t="s">
        <v>313</v>
      </c>
      <c r="D85" s="2" t="s">
        <v>314</v>
      </c>
      <c r="E85" s="2" t="s">
        <v>319</v>
      </c>
      <c r="F85" s="2"/>
      <c r="G85" s="2" t="s">
        <v>9</v>
      </c>
      <c r="H85" s="7"/>
      <c r="I85" s="2" t="s">
        <v>9</v>
      </c>
    </row>
    <row r="86" spans="1:9" ht="39" x14ac:dyDescent="0.3">
      <c r="A86" s="1" t="str">
        <f>HYPERLINK("https://ipmanager.doe.gov/IPManager//ExternalLink.aspx?6ibkph2k9yi6F%2B0Vz7YoTlNm8snv%2FZpH2XXzNEIlHlo%3D","Link")</f>
        <v>Link</v>
      </c>
      <c r="B86" s="2" t="s">
        <v>326</v>
      </c>
      <c r="C86" s="2" t="s">
        <v>313</v>
      </c>
      <c r="D86" s="2" t="s">
        <v>314</v>
      </c>
      <c r="E86" s="2" t="s">
        <v>319</v>
      </c>
      <c r="F86" s="2"/>
      <c r="G86" s="2" t="s">
        <v>9</v>
      </c>
      <c r="H86" s="7"/>
      <c r="I86" s="2" t="s">
        <v>9</v>
      </c>
    </row>
    <row r="87" spans="1:9" ht="26" x14ac:dyDescent="0.3">
      <c r="A87" s="1" t="str">
        <f>HYPERLINK("https://ipmanager.doe.gov/IPManager//ExternalLink.aspx?6ibkph2k9yi6F%2B0Vz7YoTlNm8snv%2FZpHA5HE14N9LZM%3D","Link")</f>
        <v>Link</v>
      </c>
      <c r="B87" s="2" t="s">
        <v>328</v>
      </c>
      <c r="C87" s="2" t="s">
        <v>313</v>
      </c>
      <c r="D87" s="2" t="s">
        <v>314</v>
      </c>
      <c r="E87" s="2" t="s">
        <v>329</v>
      </c>
      <c r="F87" s="2"/>
      <c r="G87" s="2" t="s">
        <v>9</v>
      </c>
      <c r="H87" s="7"/>
      <c r="I87" s="2" t="s">
        <v>9</v>
      </c>
    </row>
    <row r="88" spans="1:9" ht="52" x14ac:dyDescent="0.3">
      <c r="A88" s="1" t="str">
        <f>HYPERLINK("https://ipmanager.doe.gov/IPManager//ExternalLink.aspx?6ibkph2k9yi6F%2B0Vz7YoTipZ798QK%2BbPubolIgZWeyY%3D","Link")</f>
        <v>Link</v>
      </c>
      <c r="B88" s="2" t="s">
        <v>330</v>
      </c>
      <c r="C88" s="2" t="s">
        <v>331</v>
      </c>
      <c r="D88" s="2" t="s">
        <v>332</v>
      </c>
      <c r="E88" s="2" t="s">
        <v>333</v>
      </c>
      <c r="F88" s="2" t="s">
        <v>334</v>
      </c>
      <c r="G88" s="2" t="s">
        <v>335</v>
      </c>
      <c r="H88" s="7">
        <v>9227360</v>
      </c>
      <c r="I88" s="2" t="s">
        <v>336</v>
      </c>
    </row>
    <row r="89" spans="1:9" ht="52" x14ac:dyDescent="0.3">
      <c r="A89" s="1" t="str">
        <f>HYPERLINK("https://ipmanager.doe.gov/IPManager//ExternalLink.aspx?6ibkph2k9yi6F%2B0Vz7YoTgZwfmYxrNyKcVkqwCkq3QY%3D","Link")</f>
        <v>Link</v>
      </c>
      <c r="B89" s="2" t="s">
        <v>337</v>
      </c>
      <c r="C89" s="2" t="s">
        <v>331</v>
      </c>
      <c r="D89" s="2" t="s">
        <v>332</v>
      </c>
      <c r="E89" s="2" t="s">
        <v>338</v>
      </c>
      <c r="F89" s="2" t="s">
        <v>339</v>
      </c>
      <c r="G89" s="2" t="s">
        <v>41</v>
      </c>
      <c r="H89" s="7">
        <v>9216391</v>
      </c>
      <c r="I89" s="2" t="s">
        <v>249</v>
      </c>
    </row>
    <row r="90" spans="1:9" ht="65" x14ac:dyDescent="0.3">
      <c r="A90" s="1" t="str">
        <f>HYPERLINK("https://ipmanager.doe.gov/IPManager//ExternalLink.aspx?6ibkph2k9yi6F%2B0Vz7YoTlNm8snv%2FZpHJU00YlUsrhA%3D","Link")</f>
        <v>Link</v>
      </c>
      <c r="B90" s="2" t="s">
        <v>2218</v>
      </c>
      <c r="C90" s="2" t="s">
        <v>2213</v>
      </c>
      <c r="D90" s="2" t="s">
        <v>2214</v>
      </c>
      <c r="E90" s="2" t="s">
        <v>2219</v>
      </c>
      <c r="F90" s="2" t="s">
        <v>2220</v>
      </c>
      <c r="G90" s="2" t="s">
        <v>2221</v>
      </c>
      <c r="H90" s="7"/>
      <c r="I90" s="2" t="s">
        <v>9</v>
      </c>
    </row>
    <row r="91" spans="1:9" ht="52" x14ac:dyDescent="0.3">
      <c r="A91" s="1" t="str">
        <f>HYPERLINK("https://ipmanager.doe.gov/IPManager//ExternalLink.aspx?6ibkph2k9yi6F%2B0Vz7YoTipZ798QK%2BbPQ93oywlQMEc%3D","Link")</f>
        <v>Link</v>
      </c>
      <c r="B91" s="2" t="s">
        <v>346</v>
      </c>
      <c r="C91" s="2" t="s">
        <v>347</v>
      </c>
      <c r="D91" s="2" t="s">
        <v>348</v>
      </c>
      <c r="E91" s="2" t="s">
        <v>349</v>
      </c>
      <c r="F91" s="2" t="s">
        <v>350</v>
      </c>
      <c r="G91" s="2" t="s">
        <v>351</v>
      </c>
      <c r="H91" s="7">
        <v>9316545</v>
      </c>
      <c r="I91" s="2" t="s">
        <v>352</v>
      </c>
    </row>
    <row r="92" spans="1:9" ht="52" x14ac:dyDescent="0.3">
      <c r="A92" s="1" t="str">
        <f>HYPERLINK("https://ipmanager.doe.gov/IPManager//ExternalLink.aspx?6ibkph2k9yi6F%2B0Vz7YoTjnDGhmGHGI7RjmPA0uinrE%3D","Link")</f>
        <v>Link</v>
      </c>
      <c r="B92" s="2" t="s">
        <v>353</v>
      </c>
      <c r="C92" s="2" t="s">
        <v>347</v>
      </c>
      <c r="D92" s="2" t="s">
        <v>354</v>
      </c>
      <c r="E92" s="2" t="s">
        <v>355</v>
      </c>
      <c r="F92" s="2" t="s">
        <v>356</v>
      </c>
      <c r="G92" s="2" t="s">
        <v>205</v>
      </c>
      <c r="H92" s="7">
        <v>8901612</v>
      </c>
      <c r="I92" s="2" t="s">
        <v>357</v>
      </c>
    </row>
    <row r="93" spans="1:9" ht="52" x14ac:dyDescent="0.3">
      <c r="A93" s="1" t="str">
        <f>HYPERLINK("https://ipmanager.doe.gov/IPManager//ExternalLink.aspx?6ibkph2k9yi6F%2B0Vz7YoTjnDGhmGHGI7tcalp42BrAI%3D","Link")</f>
        <v>Link</v>
      </c>
      <c r="B93" s="2" t="s">
        <v>358</v>
      </c>
      <c r="C93" s="2" t="s">
        <v>347</v>
      </c>
      <c r="D93" s="2" t="s">
        <v>354</v>
      </c>
      <c r="E93" s="2" t="s">
        <v>355</v>
      </c>
      <c r="F93" s="2" t="s">
        <v>359</v>
      </c>
      <c r="G93" s="2" t="s">
        <v>360</v>
      </c>
      <c r="H93" s="7">
        <v>8563844</v>
      </c>
      <c r="I93" s="2" t="s">
        <v>357</v>
      </c>
    </row>
    <row r="94" spans="1:9" ht="39" x14ac:dyDescent="0.3">
      <c r="A94" s="1" t="str">
        <f>HYPERLINK("https://ipmanager.doe.gov/IPManager//ExternalLink.aspx?6ibkph2k9yi6F%2B0Vz7YoTo7DPLa3%2F%2FGg9NzrtMvht%2F0%3D","Link")</f>
        <v>Link</v>
      </c>
      <c r="B94" s="2" t="s">
        <v>361</v>
      </c>
      <c r="C94" s="2" t="s">
        <v>362</v>
      </c>
      <c r="D94" s="2" t="s">
        <v>363</v>
      </c>
      <c r="E94" s="2" t="s">
        <v>364</v>
      </c>
      <c r="F94" s="2" t="s">
        <v>365</v>
      </c>
      <c r="G94" s="2" t="s">
        <v>366</v>
      </c>
      <c r="H94" s="7">
        <v>9190694</v>
      </c>
      <c r="I94" s="2" t="s">
        <v>367</v>
      </c>
    </row>
    <row r="95" spans="1:9" ht="39" x14ac:dyDescent="0.3">
      <c r="A95" s="1" t="str">
        <f>HYPERLINK("https://ipmanager.doe.gov/IPManager//ExternalLink.aspx?6ibkph2k9yi6F%2B0Vz7YoTo7DPLa3%2F%2FGg84MI5RMdtME%3D","Link")</f>
        <v>Link</v>
      </c>
      <c r="B95" s="2" t="s">
        <v>368</v>
      </c>
      <c r="C95" s="2" t="s">
        <v>362</v>
      </c>
      <c r="D95" s="2" t="s">
        <v>363</v>
      </c>
      <c r="E95" s="2" t="s">
        <v>369</v>
      </c>
      <c r="F95" s="2" t="s">
        <v>370</v>
      </c>
      <c r="G95" s="2" t="s">
        <v>371</v>
      </c>
      <c r="H95" s="7">
        <v>9139441</v>
      </c>
      <c r="I95" s="2" t="s">
        <v>372</v>
      </c>
    </row>
    <row r="96" spans="1:9" ht="39" x14ac:dyDescent="0.3">
      <c r="A96" s="1" t="str">
        <f>HYPERLINK("https://ipmanager.doe.gov/IPManager//ExternalLink.aspx?6ibkph2k9yi6F%2B0Vz7YoTvPUg%2FVZPl3i3oP3TE9ti2w%3D","Link")</f>
        <v>Link</v>
      </c>
      <c r="B96" s="2" t="s">
        <v>373</v>
      </c>
      <c r="C96" s="2" t="s">
        <v>362</v>
      </c>
      <c r="D96" s="2" t="s">
        <v>363</v>
      </c>
      <c r="E96" s="2" t="s">
        <v>374</v>
      </c>
      <c r="F96" s="2" t="s">
        <v>375</v>
      </c>
      <c r="G96" s="2" t="s">
        <v>376</v>
      </c>
      <c r="H96" s="7">
        <v>9601228</v>
      </c>
      <c r="I96" s="2" t="s">
        <v>377</v>
      </c>
    </row>
    <row r="97" spans="1:9" ht="52" x14ac:dyDescent="0.3">
      <c r="A97" s="1" t="str">
        <f>HYPERLINK("https://ipmanager.doe.gov/IPManager//ExternalLink.aspx?6ibkph2k9yi6F%2B0Vz7YoTjnDGhmGHGI7Zdd6kWRyZB8%3D","Link")</f>
        <v>Link</v>
      </c>
      <c r="B97" s="2" t="s">
        <v>2222</v>
      </c>
      <c r="C97" s="2" t="s">
        <v>2213</v>
      </c>
      <c r="D97" s="2" t="s">
        <v>2214</v>
      </c>
      <c r="E97" s="2" t="s">
        <v>2223</v>
      </c>
      <c r="F97" s="2" t="s">
        <v>2224</v>
      </c>
      <c r="G97" s="2" t="s">
        <v>2221</v>
      </c>
      <c r="H97" s="7"/>
      <c r="I97" s="2" t="s">
        <v>9</v>
      </c>
    </row>
    <row r="98" spans="1:9" ht="65" x14ac:dyDescent="0.3">
      <c r="A98" s="1" t="str">
        <f>HYPERLINK("https://ipmanager.doe.gov/IPManager//ExternalLink.aspx?6ibkph2k9yi6F%2B0Vz7YoTjnDGhmGHGI7QZeI%2FRd0%2BeY%3D","Link")</f>
        <v>Link</v>
      </c>
      <c r="B98" s="2" t="s">
        <v>2225</v>
      </c>
      <c r="C98" s="2" t="s">
        <v>2213</v>
      </c>
      <c r="D98" s="2" t="s">
        <v>2214</v>
      </c>
      <c r="E98" s="2" t="s">
        <v>2226</v>
      </c>
      <c r="F98" s="2" t="s">
        <v>7602</v>
      </c>
      <c r="G98" s="2" t="s">
        <v>2227</v>
      </c>
      <c r="H98" s="7"/>
      <c r="I98" s="2" t="s">
        <v>9</v>
      </c>
    </row>
    <row r="99" spans="1:9" ht="39" x14ac:dyDescent="0.3">
      <c r="A99" s="1" t="str">
        <f>HYPERLINK("https://ipmanager.doe.gov/IPManager//ExternalLink.aspx?6ibkph2k9yi6F%2B0Vz7YoTq6RR9BlGHHi6mu8ANVg4uE%3D","Link")</f>
        <v>Link</v>
      </c>
      <c r="B99" s="2" t="s">
        <v>6348</v>
      </c>
      <c r="C99" s="2" t="s">
        <v>6317</v>
      </c>
      <c r="D99" s="2" t="s">
        <v>6318</v>
      </c>
      <c r="E99" s="2" t="s">
        <v>6349</v>
      </c>
      <c r="F99" s="2" t="s">
        <v>6350</v>
      </c>
      <c r="G99" s="2" t="s">
        <v>6351</v>
      </c>
      <c r="H99" s="7"/>
      <c r="I99" s="2" t="s">
        <v>9</v>
      </c>
    </row>
    <row r="100" spans="1:9" ht="26" x14ac:dyDescent="0.3">
      <c r="A100" s="1" t="str">
        <f>HYPERLINK("https://ipmanager.doe.gov/IPManager//ExternalLink.aspx?6ibkph2k9yi6F%2B0Vz7YoTq6RR9BlGHHijpUN5b9pqcg%3D","Link")</f>
        <v>Link</v>
      </c>
      <c r="B100" s="2" t="s">
        <v>6352</v>
      </c>
      <c r="C100" s="2" t="s">
        <v>6317</v>
      </c>
      <c r="D100" s="2" t="s">
        <v>6318</v>
      </c>
      <c r="E100" s="2" t="s">
        <v>6353</v>
      </c>
      <c r="F100" s="2" t="s">
        <v>6354</v>
      </c>
      <c r="G100" s="2" t="s">
        <v>6355</v>
      </c>
      <c r="H100" s="7"/>
      <c r="I100" s="2" t="s">
        <v>9</v>
      </c>
    </row>
    <row r="101" spans="1:9" ht="26" x14ac:dyDescent="0.3">
      <c r="A101" s="1" t="str">
        <f>HYPERLINK("https://ipmanager.doe.gov/IPManager//ExternalLink.aspx?6ibkph2k9yi6F%2B0Vz7YoTlNm8snv%2FZpHj1k6RoQFeO4%3D","Link")</f>
        <v>Link</v>
      </c>
      <c r="B101" s="2" t="s">
        <v>398</v>
      </c>
      <c r="C101" s="2" t="s">
        <v>378</v>
      </c>
      <c r="D101" s="2" t="s">
        <v>379</v>
      </c>
      <c r="E101" s="2" t="s">
        <v>399</v>
      </c>
      <c r="F101" s="2" t="s">
        <v>400</v>
      </c>
      <c r="G101" s="2" t="s">
        <v>401</v>
      </c>
      <c r="H101" s="7">
        <v>9218917</v>
      </c>
      <c r="I101" s="2" t="s">
        <v>249</v>
      </c>
    </row>
    <row r="102" spans="1:9" ht="39" x14ac:dyDescent="0.3">
      <c r="A102" s="1" t="str">
        <f>HYPERLINK("https://ipmanager.doe.gov/IPManager//ExternalLink.aspx?6ibkph2k9yi6F%2B0Vz7YoTlNm8snv%2FZpHh%2B6VJ4rZCKA%3D","Link")</f>
        <v>Link</v>
      </c>
      <c r="B102" s="2" t="s">
        <v>402</v>
      </c>
      <c r="C102" s="2" t="s">
        <v>378</v>
      </c>
      <c r="D102" s="2" t="s">
        <v>379</v>
      </c>
      <c r="E102" s="2" t="s">
        <v>403</v>
      </c>
      <c r="F102" s="2"/>
      <c r="G102" s="2" t="s">
        <v>9</v>
      </c>
      <c r="H102" s="7"/>
      <c r="I102" s="2" t="s">
        <v>9</v>
      </c>
    </row>
    <row r="103" spans="1:9" ht="26" x14ac:dyDescent="0.3">
      <c r="A103" s="1" t="str">
        <f>HYPERLINK("https://ipmanager.doe.gov/IPManager//ExternalLink.aspx?6ibkph2k9yi6F%2B0Vz7YoTp68px7nSN2g3Zz9gaRbBrs%3D","Link")</f>
        <v>Link</v>
      </c>
      <c r="B103" s="2" t="s">
        <v>6356</v>
      </c>
      <c r="C103" s="2" t="s">
        <v>6317</v>
      </c>
      <c r="D103" s="2" t="s">
        <v>6318</v>
      </c>
      <c r="E103" s="2" t="s">
        <v>6357</v>
      </c>
      <c r="F103" s="2" t="s">
        <v>6358</v>
      </c>
      <c r="G103" s="2" t="s">
        <v>3235</v>
      </c>
      <c r="H103" s="7"/>
      <c r="I103" s="2" t="s">
        <v>9</v>
      </c>
    </row>
    <row r="104" spans="1:9" ht="26" x14ac:dyDescent="0.3">
      <c r="A104" s="1" t="str">
        <f>HYPERLINK("https://ipmanager.doe.gov/IPManager//ExternalLink.aspx?6ibkph2k9yi6F%2B0Vz7YoThEBhkR3uHVrbZDF4XBZeaY%3D","Link")</f>
        <v>Link</v>
      </c>
      <c r="B104" s="2" t="s">
        <v>6359</v>
      </c>
      <c r="C104" s="2" t="s">
        <v>6317</v>
      </c>
      <c r="D104" s="2" t="s">
        <v>6318</v>
      </c>
      <c r="E104" s="2" t="s">
        <v>6357</v>
      </c>
      <c r="F104" s="2" t="s">
        <v>6360</v>
      </c>
      <c r="G104" s="2" t="s">
        <v>6361</v>
      </c>
      <c r="H104" s="7"/>
      <c r="I104" s="2" t="s">
        <v>9</v>
      </c>
    </row>
    <row r="105" spans="1:9" ht="26" x14ac:dyDescent="0.3">
      <c r="A105" s="1" t="str">
        <f>HYPERLINK("https://ipmanager.doe.gov/IPManager//ExternalLink.aspx?6ibkph2k9yi6F%2B0Vz7YoTp68px7nSN2gz0OJkpKbMyw%3D","Link")</f>
        <v>Link</v>
      </c>
      <c r="B105" s="2" t="s">
        <v>6362</v>
      </c>
      <c r="C105" s="2" t="s">
        <v>6317</v>
      </c>
      <c r="D105" s="2" t="s">
        <v>6318</v>
      </c>
      <c r="E105" s="2" t="s">
        <v>6363</v>
      </c>
      <c r="F105" s="2" t="s">
        <v>6364</v>
      </c>
      <c r="G105" s="2" t="s">
        <v>6365</v>
      </c>
      <c r="H105" s="7"/>
      <c r="I105" s="2" t="s">
        <v>9</v>
      </c>
    </row>
    <row r="106" spans="1:9" ht="39" x14ac:dyDescent="0.3">
      <c r="A106" s="1" t="str">
        <f>HYPERLINK("https://ipmanager.doe.gov/IPManager//ExternalLink.aspx?6ibkph2k9yi6F%2B0Vz7YoTq6RR9BlGHHi3Vg08UXnGNk%3D","Link")</f>
        <v>Link</v>
      </c>
      <c r="B106" s="2" t="s">
        <v>6366</v>
      </c>
      <c r="C106" s="2" t="s">
        <v>6317</v>
      </c>
      <c r="D106" s="2" t="s">
        <v>6318</v>
      </c>
      <c r="E106" s="2" t="s">
        <v>6349</v>
      </c>
      <c r="F106" s="2" t="s">
        <v>6367</v>
      </c>
      <c r="G106" s="2" t="s">
        <v>6351</v>
      </c>
      <c r="H106" s="7"/>
      <c r="I106" s="2" t="s">
        <v>9</v>
      </c>
    </row>
    <row r="107" spans="1:9" ht="26" x14ac:dyDescent="0.3">
      <c r="A107" s="1" t="str">
        <f>HYPERLINK("https://ipmanager.doe.gov/IPManager//ExternalLink.aspx?6ibkph2k9yi6F%2B0Vz7YoTgZwfmYxrNyKsxlCocIKmDw%3D","Link")</f>
        <v>Link</v>
      </c>
      <c r="B107" s="2" t="s">
        <v>415</v>
      </c>
      <c r="C107" s="2" t="s">
        <v>378</v>
      </c>
      <c r="D107" s="2" t="s">
        <v>379</v>
      </c>
      <c r="E107" s="2" t="s">
        <v>416</v>
      </c>
      <c r="F107" s="2" t="s">
        <v>417</v>
      </c>
      <c r="G107" s="2" t="s">
        <v>418</v>
      </c>
      <c r="H107" s="7">
        <v>9017634</v>
      </c>
      <c r="I107" s="2" t="s">
        <v>419</v>
      </c>
    </row>
    <row r="108" spans="1:9" ht="39" x14ac:dyDescent="0.3">
      <c r="A108" s="1" t="str">
        <f>HYPERLINK("https://ipmanager.doe.gov/IPManager//ExternalLink.aspx?6ibkph2k9yi6F%2B0Vz7YoTgZwfmYxrNyKEFGVztfRoFw%3D","Link")</f>
        <v>Link</v>
      </c>
      <c r="B108" s="2" t="s">
        <v>6060</v>
      </c>
      <c r="C108" s="2" t="s">
        <v>6061</v>
      </c>
      <c r="D108" s="2" t="s">
        <v>6062</v>
      </c>
      <c r="E108" s="2" t="s">
        <v>6063</v>
      </c>
      <c r="F108" s="2" t="s">
        <v>6064</v>
      </c>
      <c r="G108" s="2" t="s">
        <v>3916</v>
      </c>
      <c r="H108" s="7"/>
      <c r="I108" s="2" t="s">
        <v>9</v>
      </c>
    </row>
    <row r="109" spans="1:9" ht="65" x14ac:dyDescent="0.3">
      <c r="A109" s="1" t="str">
        <f>HYPERLINK("https://ipmanager.doe.gov/IPManager//ExternalLink.aspx?6ibkph2k9yi6F%2B0Vz7YoTgZwfmYxrNyKuUKgmIe3F68%3D","Link")</f>
        <v>Link</v>
      </c>
      <c r="B109" s="2" t="s">
        <v>423</v>
      </c>
      <c r="C109" s="2" t="s">
        <v>378</v>
      </c>
      <c r="D109" s="2" t="s">
        <v>379</v>
      </c>
      <c r="E109" s="2" t="s">
        <v>424</v>
      </c>
      <c r="F109" s="2"/>
      <c r="G109" s="2" t="s">
        <v>9</v>
      </c>
      <c r="H109" s="7"/>
      <c r="I109" s="2" t="s">
        <v>9</v>
      </c>
    </row>
    <row r="110" spans="1:9" ht="39" x14ac:dyDescent="0.3">
      <c r="A110" s="1" t="str">
        <f>HYPERLINK("https://ipmanager.doe.gov/IPManager//ExternalLink.aspx?6ibkph2k9yi6F%2B0Vz7YoTgZwfmYxrNyKwMzN0%2Bywo%2Bk%3D","Link")</f>
        <v>Link</v>
      </c>
      <c r="B110" s="2" t="s">
        <v>425</v>
      </c>
      <c r="C110" s="2" t="s">
        <v>378</v>
      </c>
      <c r="D110" s="2" t="s">
        <v>379</v>
      </c>
      <c r="E110" s="2" t="s">
        <v>426</v>
      </c>
      <c r="F110" s="2"/>
      <c r="G110" s="2" t="s">
        <v>9</v>
      </c>
      <c r="H110" s="7"/>
      <c r="I110" s="2" t="s">
        <v>9</v>
      </c>
    </row>
    <row r="111" spans="1:9" ht="39" x14ac:dyDescent="0.3">
      <c r="A111" s="1" t="str">
        <f>HYPERLINK("https://ipmanager.doe.gov/IPManager//ExternalLink.aspx?6ibkph2k9yi6F%2B0Vz7YoTq6RR9BlGHHilN%2FRmiwn8sg%3D","Link")</f>
        <v>Link</v>
      </c>
      <c r="B111" s="2" t="s">
        <v>6065</v>
      </c>
      <c r="C111" s="2" t="s">
        <v>6061</v>
      </c>
      <c r="D111" s="2" t="s">
        <v>6062</v>
      </c>
      <c r="E111" s="2" t="s">
        <v>6066</v>
      </c>
      <c r="F111" s="2" t="s">
        <v>6067</v>
      </c>
      <c r="G111" s="2" t="s">
        <v>3793</v>
      </c>
      <c r="H111" s="7"/>
      <c r="I111" s="2" t="s">
        <v>9</v>
      </c>
    </row>
    <row r="112" spans="1:9" ht="39" x14ac:dyDescent="0.3">
      <c r="A112" s="1" t="str">
        <f>HYPERLINK("https://ipmanager.doe.gov/IPManager//ExternalLink.aspx?6ibkph2k9yi6F%2B0Vz7YoTgZwfmYxrNyK%2B4jiFvsj1yA%3D","Link")</f>
        <v>Link</v>
      </c>
      <c r="B112" s="2" t="s">
        <v>430</v>
      </c>
      <c r="C112" s="2" t="s">
        <v>378</v>
      </c>
      <c r="D112" s="2" t="s">
        <v>379</v>
      </c>
      <c r="E112" s="2" t="s">
        <v>431</v>
      </c>
      <c r="F112" s="2" t="s">
        <v>432</v>
      </c>
      <c r="G112" s="2" t="s">
        <v>405</v>
      </c>
      <c r="H112" s="8">
        <v>9558894</v>
      </c>
      <c r="I112" s="2" t="s">
        <v>406</v>
      </c>
    </row>
    <row r="113" spans="1:9" ht="39" x14ac:dyDescent="0.3">
      <c r="A113" s="1" t="str">
        <f>HYPERLINK("https://ipmanager.doe.gov/IPManager//ExternalLink.aspx?6ibkph2k9yi6F%2B0Vz7YoTgZwfmYxrNyKVUDcSbEsccc%3D","Link")</f>
        <v>Link</v>
      </c>
      <c r="B113" s="2" t="s">
        <v>433</v>
      </c>
      <c r="C113" s="2" t="s">
        <v>378</v>
      </c>
      <c r="D113" s="2" t="s">
        <v>379</v>
      </c>
      <c r="E113" s="2" t="s">
        <v>434</v>
      </c>
      <c r="F113" s="2" t="s">
        <v>435</v>
      </c>
      <c r="G113" s="2" t="s">
        <v>436</v>
      </c>
      <c r="H113" s="7">
        <v>9001495</v>
      </c>
      <c r="I113" s="2" t="s">
        <v>437</v>
      </c>
    </row>
    <row r="114" spans="1:9" ht="52" x14ac:dyDescent="0.3">
      <c r="A114" s="1" t="str">
        <f>HYPERLINK("https://ipmanager.doe.gov/IPManager//ExternalLink.aspx?6ibkph2k9yi6F%2B0Vz7YoTipZ798QK%2BbP%2FckNruaT0Vg%3D","Link")</f>
        <v>Link</v>
      </c>
      <c r="B114" s="2" t="s">
        <v>222</v>
      </c>
      <c r="C114" s="2" t="s">
        <v>223</v>
      </c>
      <c r="D114" s="2" t="s">
        <v>8</v>
      </c>
      <c r="E114" s="2" t="s">
        <v>224</v>
      </c>
      <c r="F114" s="2" t="s">
        <v>7603</v>
      </c>
      <c r="G114" s="2" t="s">
        <v>225</v>
      </c>
      <c r="H114" s="7"/>
      <c r="I114" s="2" t="s">
        <v>9</v>
      </c>
    </row>
    <row r="115" spans="1:9" ht="39" x14ac:dyDescent="0.3">
      <c r="A115" s="1" t="str">
        <f>HYPERLINK("https://ipmanager.doe.gov/IPManager//ExternalLink.aspx?6ibkph2k9yi6F%2B0Vz7YoTjnDGhmGHGI74QU1FmBSkzk%3D","Link")</f>
        <v>Link</v>
      </c>
      <c r="B115" s="2" t="s">
        <v>441</v>
      </c>
      <c r="C115" s="2" t="s">
        <v>442</v>
      </c>
      <c r="D115" s="2" t="s">
        <v>443</v>
      </c>
      <c r="E115" s="2" t="s">
        <v>444</v>
      </c>
      <c r="F115" s="2" t="s">
        <v>445</v>
      </c>
      <c r="G115" s="2" t="s">
        <v>446</v>
      </c>
      <c r="H115" s="7">
        <v>9205420</v>
      </c>
      <c r="I115" s="2" t="s">
        <v>447</v>
      </c>
    </row>
    <row r="116" spans="1:9" ht="39" x14ac:dyDescent="0.3">
      <c r="A116" s="1" t="str">
        <f>HYPERLINK("https://ipmanager.doe.gov/IPManager//ExternalLink.aspx?6ibkph2k9yi6F%2B0Vz7YoTjN2oADz%2F5MxQNc%2BX6AbWCk%3D","Link")</f>
        <v>Link</v>
      </c>
      <c r="B116" s="2" t="s">
        <v>448</v>
      </c>
      <c r="C116" s="2" t="s">
        <v>442</v>
      </c>
      <c r="D116" s="2" t="s">
        <v>443</v>
      </c>
      <c r="E116" s="2" t="s">
        <v>449</v>
      </c>
      <c r="F116" s="2"/>
      <c r="G116" s="2" t="s">
        <v>9</v>
      </c>
      <c r="H116" s="7"/>
      <c r="I116" s="2" t="s">
        <v>9</v>
      </c>
    </row>
    <row r="117" spans="1:9" ht="39" x14ac:dyDescent="0.3">
      <c r="A117" s="1" t="str">
        <f>HYPERLINK("https://ipmanager.doe.gov/IPManager//ExternalLink.aspx?6ibkph2k9yi6F%2B0Vz7YoTjN2oADz%2F5MxCvtq8EVvtwA%3D","Link")</f>
        <v>Link</v>
      </c>
      <c r="B117" s="2" t="s">
        <v>450</v>
      </c>
      <c r="C117" s="2" t="s">
        <v>442</v>
      </c>
      <c r="D117" s="2" t="s">
        <v>443</v>
      </c>
      <c r="E117" s="2" t="s">
        <v>449</v>
      </c>
      <c r="F117" s="2"/>
      <c r="G117" s="2" t="s">
        <v>9</v>
      </c>
      <c r="H117" s="7"/>
      <c r="I117" s="2" t="s">
        <v>9</v>
      </c>
    </row>
    <row r="118" spans="1:9" ht="39" x14ac:dyDescent="0.3">
      <c r="A118" s="1" t="str">
        <f>HYPERLINK("https://ipmanager.doe.gov/IPManager//ExternalLink.aspx?6ibkph2k9yi6F%2B0Vz7YoTipZ798QK%2BbPymYruTemny4%3D","Link")</f>
        <v>Link</v>
      </c>
      <c r="B118" s="2" t="s">
        <v>226</v>
      </c>
      <c r="C118" s="2" t="s">
        <v>223</v>
      </c>
      <c r="D118" s="2" t="s">
        <v>8</v>
      </c>
      <c r="E118" s="2" t="s">
        <v>227</v>
      </c>
      <c r="F118" s="2" t="s">
        <v>228</v>
      </c>
      <c r="G118" s="2" t="s">
        <v>229</v>
      </c>
      <c r="H118" s="7"/>
      <c r="I118" s="2" t="s">
        <v>9</v>
      </c>
    </row>
    <row r="119" spans="1:9" ht="39" x14ac:dyDescent="0.3">
      <c r="A119" s="1" t="str">
        <f>HYPERLINK("https://ipmanager.doe.gov/IPManager//ExternalLink.aspx?6ibkph2k9yi6F%2B0Vz7YoTipZ798QK%2BbP5wANIT3PtB8%3D","Link")</f>
        <v>Link</v>
      </c>
      <c r="B119" s="2" t="s">
        <v>1445</v>
      </c>
      <c r="C119" s="2" t="s">
        <v>1440</v>
      </c>
      <c r="D119" s="2" t="s">
        <v>8</v>
      </c>
      <c r="E119" s="2" t="s">
        <v>1446</v>
      </c>
      <c r="F119" s="2" t="s">
        <v>1447</v>
      </c>
      <c r="G119" s="2" t="s">
        <v>1448</v>
      </c>
      <c r="H119" s="7"/>
      <c r="I119" s="2" t="s">
        <v>9</v>
      </c>
    </row>
    <row r="120" spans="1:9" ht="26" x14ac:dyDescent="0.3">
      <c r="A120" s="1" t="str">
        <f>HYPERLINK("https://ipmanager.doe.gov/IPManager//ExternalLink.aspx?6ibkph2k9yi6F%2B0Vz7YoTlNm8snv%2FZpHfuk5VB%2BITYo%3D","Link")</f>
        <v>Link</v>
      </c>
      <c r="B120" s="2" t="s">
        <v>462</v>
      </c>
      <c r="C120" s="2" t="s">
        <v>463</v>
      </c>
      <c r="D120" s="2" t="s">
        <v>464</v>
      </c>
      <c r="E120" s="2" t="s">
        <v>465</v>
      </c>
      <c r="F120" s="2"/>
      <c r="G120" s="2" t="s">
        <v>9</v>
      </c>
      <c r="H120" s="7"/>
      <c r="I120" s="2" t="s">
        <v>9</v>
      </c>
    </row>
    <row r="121" spans="1:9" ht="26" x14ac:dyDescent="0.3">
      <c r="A121" s="1" t="str">
        <f>HYPERLINK("https://ipmanager.doe.gov/IPManager//ExternalLink.aspx?6ibkph2k9yi6F%2B0Vz7YoTlNm8snv%2FZpHKUi6JdCprFE%3D","Link")</f>
        <v>Link</v>
      </c>
      <c r="B121" s="2" t="s">
        <v>466</v>
      </c>
      <c r="C121" s="2" t="s">
        <v>463</v>
      </c>
      <c r="D121" s="2" t="s">
        <v>464</v>
      </c>
      <c r="E121" s="2" t="s">
        <v>467</v>
      </c>
      <c r="F121" s="2" t="s">
        <v>468</v>
      </c>
      <c r="G121" s="2" t="s">
        <v>469</v>
      </c>
      <c r="H121" s="7">
        <v>9118089</v>
      </c>
      <c r="I121" s="2" t="s">
        <v>470</v>
      </c>
    </row>
    <row r="122" spans="1:9" x14ac:dyDescent="0.3">
      <c r="A122" s="1" t="str">
        <f>HYPERLINK("https://ipmanager.doe.gov/IPManager//ExternalLink.aspx?6ibkph2k9yi6F%2B0Vz7YoTjN2oADz%2F5Mx0LiYv8lCYO8%3D","Link")</f>
        <v>Link</v>
      </c>
      <c r="B122" s="2" t="s">
        <v>471</v>
      </c>
      <c r="C122" s="2" t="s">
        <v>463</v>
      </c>
      <c r="D122" s="2" t="s">
        <v>464</v>
      </c>
      <c r="E122" s="2" t="s">
        <v>472</v>
      </c>
      <c r="F122" s="2" t="s">
        <v>473</v>
      </c>
      <c r="G122" s="2" t="s">
        <v>474</v>
      </c>
      <c r="H122" s="7">
        <v>8808929</v>
      </c>
      <c r="I122" s="2" t="s">
        <v>475</v>
      </c>
    </row>
    <row r="123" spans="1:9" ht="39" x14ac:dyDescent="0.3">
      <c r="A123" s="1" t="str">
        <f>HYPERLINK("https://ipmanager.doe.gov/IPManager//ExternalLink.aspx?6ibkph2k9yi6F%2B0Vz7YoTipZ798QK%2BbPGE9R2LN7dUg%3D","Link")</f>
        <v>Link</v>
      </c>
      <c r="B123" s="2" t="s">
        <v>1449</v>
      </c>
      <c r="C123" s="2" t="s">
        <v>1440</v>
      </c>
      <c r="D123" s="2" t="s">
        <v>8</v>
      </c>
      <c r="E123" s="2" t="s">
        <v>1450</v>
      </c>
      <c r="F123" s="2" t="s">
        <v>1451</v>
      </c>
      <c r="G123" s="2" t="s">
        <v>1452</v>
      </c>
      <c r="H123" s="7"/>
      <c r="I123" s="2" t="s">
        <v>9</v>
      </c>
    </row>
    <row r="124" spans="1:9" ht="39" x14ac:dyDescent="0.3">
      <c r="A124" s="1" t="str">
        <f>HYPERLINK("https://ipmanager.doe.gov/IPManager//ExternalLink.aspx?6ibkph2k9yi6F%2B0Vz7YoTipZ798QK%2BbPjPDQ8X7YTgE%3D","Link")</f>
        <v>Link</v>
      </c>
      <c r="B124" s="2" t="s">
        <v>480</v>
      </c>
      <c r="C124" s="2" t="s">
        <v>463</v>
      </c>
      <c r="D124" s="2" t="s">
        <v>135</v>
      </c>
      <c r="E124" s="2" t="s">
        <v>481</v>
      </c>
      <c r="F124" s="2" t="s">
        <v>482</v>
      </c>
      <c r="G124" s="2" t="s">
        <v>483</v>
      </c>
      <c r="H124" s="7">
        <v>8895197</v>
      </c>
      <c r="I124" s="2" t="s">
        <v>484</v>
      </c>
    </row>
    <row r="125" spans="1:9" ht="26" x14ac:dyDescent="0.3">
      <c r="A125" s="1" t="str">
        <f>HYPERLINK("https://ipmanager.doe.gov/IPManager//ExternalLink.aspx?6ibkph2k9yi6F%2B0Vz7YoTipZ798QK%2BbPi%2FcDQZKfYJk%3D","Link")</f>
        <v>Link</v>
      </c>
      <c r="B125" s="2" t="s">
        <v>486</v>
      </c>
      <c r="C125" s="2" t="s">
        <v>463</v>
      </c>
      <c r="D125" s="2" t="s">
        <v>140</v>
      </c>
      <c r="E125" s="2" t="s">
        <v>487</v>
      </c>
      <c r="F125" s="2" t="s">
        <v>488</v>
      </c>
      <c r="G125" s="2" t="s">
        <v>335</v>
      </c>
      <c r="H125" s="7">
        <v>9236643</v>
      </c>
      <c r="I125" s="2" t="s">
        <v>489</v>
      </c>
    </row>
    <row r="126" spans="1:9" ht="39" x14ac:dyDescent="0.3">
      <c r="A126" s="1" t="str">
        <f>HYPERLINK("https://ipmanager.doe.gov/IPManager//ExternalLink.aspx?6ibkph2k9yi6F%2B0Vz7YoTipZ798QK%2BbPLzqP2KS4wVI%3D","Link")</f>
        <v>Link</v>
      </c>
      <c r="B126" s="2" t="s">
        <v>490</v>
      </c>
      <c r="C126" s="2" t="s">
        <v>463</v>
      </c>
      <c r="D126" s="2" t="s">
        <v>135</v>
      </c>
      <c r="E126" s="2" t="s">
        <v>491</v>
      </c>
      <c r="F126" s="2" t="s">
        <v>492</v>
      </c>
      <c r="G126" s="2" t="s">
        <v>493</v>
      </c>
      <c r="H126" s="7">
        <v>9184478</v>
      </c>
      <c r="I126" s="2" t="s">
        <v>494</v>
      </c>
    </row>
    <row r="127" spans="1:9" ht="39" x14ac:dyDescent="0.3">
      <c r="A127" s="1" t="str">
        <f>HYPERLINK("https://ipmanager.doe.gov/IPManager//ExternalLink.aspx?6ibkph2k9yi6F%2B0Vz7YoTr7J5I%2BY4foYLW7pEXzBIcA%3D","Link")</f>
        <v>Link</v>
      </c>
      <c r="B127" s="2" t="s">
        <v>1453</v>
      </c>
      <c r="C127" s="2" t="s">
        <v>1440</v>
      </c>
      <c r="D127" s="2" t="s">
        <v>8</v>
      </c>
      <c r="E127" s="2" t="s">
        <v>1450</v>
      </c>
      <c r="F127" s="2" t="s">
        <v>1454</v>
      </c>
      <c r="G127" s="2" t="s">
        <v>205</v>
      </c>
      <c r="H127" s="7"/>
      <c r="I127" s="2" t="s">
        <v>9</v>
      </c>
    </row>
    <row r="128" spans="1:9" ht="26" x14ac:dyDescent="0.3">
      <c r="A128" s="1" t="str">
        <f>HYPERLINK("https://ipmanager.doe.gov/IPManager//ExternalLink.aspx?6ibkph2k9yi6F%2B0Vz7YoTjN2oADz%2F5MxgUMBJlQUru4%3D","Link")</f>
        <v>Link</v>
      </c>
      <c r="B128" s="2" t="s">
        <v>498</v>
      </c>
      <c r="C128" s="2" t="s">
        <v>463</v>
      </c>
      <c r="D128" s="2" t="s">
        <v>464</v>
      </c>
      <c r="E128" s="2" t="s">
        <v>499</v>
      </c>
      <c r="F128" s="2" t="s">
        <v>500</v>
      </c>
      <c r="G128" s="2" t="s">
        <v>501</v>
      </c>
      <c r="H128" s="7">
        <v>8741491</v>
      </c>
      <c r="I128" s="2" t="s">
        <v>502</v>
      </c>
    </row>
    <row r="129" spans="1:9" ht="26" x14ac:dyDescent="0.3">
      <c r="A129" s="1" t="str">
        <f>HYPERLINK("https://ipmanager.doe.gov/IPManager//ExternalLink.aspx?6ibkph2k9yi6F%2B0Vz7YoTlNm8snv%2FZpH%2FpTsxoGkTS0%3D","Link")</f>
        <v>Link</v>
      </c>
      <c r="B129" s="2" t="s">
        <v>503</v>
      </c>
      <c r="C129" s="2" t="s">
        <v>463</v>
      </c>
      <c r="D129" s="2" t="s">
        <v>464</v>
      </c>
      <c r="E129" s="2" t="s">
        <v>504</v>
      </c>
      <c r="F129" s="2" t="s">
        <v>505</v>
      </c>
      <c r="G129" s="2" t="s">
        <v>506</v>
      </c>
      <c r="H129" s="7">
        <v>9029027</v>
      </c>
      <c r="I129" s="2" t="s">
        <v>507</v>
      </c>
    </row>
    <row r="130" spans="1:9" ht="65" x14ac:dyDescent="0.3">
      <c r="A130" s="1" t="str">
        <f>HYPERLINK("https://ipmanager.doe.gov/IPManager//ExternalLink.aspx?6ibkph2k9yi6F%2B0Vz7YoTr7J5I%2BY4foY6BV3Xflzde8%3D","Link")</f>
        <v>Link</v>
      </c>
      <c r="B130" s="2" t="s">
        <v>508</v>
      </c>
      <c r="C130" s="2" t="s">
        <v>463</v>
      </c>
      <c r="D130" s="2" t="s">
        <v>464</v>
      </c>
      <c r="E130" s="2" t="s">
        <v>509</v>
      </c>
      <c r="F130" s="2" t="s">
        <v>510</v>
      </c>
      <c r="G130" s="2" t="s">
        <v>469</v>
      </c>
      <c r="H130" s="7">
        <v>9147919</v>
      </c>
      <c r="I130" s="2" t="s">
        <v>511</v>
      </c>
    </row>
    <row r="131" spans="1:9" ht="65" x14ac:dyDescent="0.3">
      <c r="A131" s="1" t="str">
        <f>HYPERLINK("https://ipmanager.doe.gov/IPManager//ExternalLink.aspx?6ibkph2k9yi6F%2B0Vz7YoTr7J5I%2BY4foYeWerWQbaXUQ%3D","Link")</f>
        <v>Link</v>
      </c>
      <c r="B131" s="2" t="s">
        <v>512</v>
      </c>
      <c r="C131" s="2" t="s">
        <v>463</v>
      </c>
      <c r="D131" s="2" t="s">
        <v>464</v>
      </c>
      <c r="E131" s="2" t="s">
        <v>513</v>
      </c>
      <c r="F131" s="2"/>
      <c r="G131" s="2" t="s">
        <v>9</v>
      </c>
      <c r="H131" s="7"/>
      <c r="I131" s="2" t="s">
        <v>9</v>
      </c>
    </row>
    <row r="132" spans="1:9" ht="39" x14ac:dyDescent="0.3">
      <c r="A132" s="1" t="str">
        <f>HYPERLINK("https://ipmanager.doe.gov/IPManager//ExternalLink.aspx?6ibkph2k9yi6F%2B0Vz7YoTp68px7nSN2gt0ANAAeHTj0%3D","Link")</f>
        <v>Link</v>
      </c>
      <c r="B132" s="2" t="s">
        <v>1457</v>
      </c>
      <c r="C132" s="2" t="s">
        <v>1440</v>
      </c>
      <c r="D132" s="2" t="s">
        <v>8</v>
      </c>
      <c r="E132" s="2" t="s">
        <v>1446</v>
      </c>
      <c r="F132" s="2" t="s">
        <v>1458</v>
      </c>
      <c r="G132" s="2" t="s">
        <v>1459</v>
      </c>
      <c r="H132" s="7"/>
      <c r="I132" s="2" t="s">
        <v>9</v>
      </c>
    </row>
    <row r="133" spans="1:9" ht="39" x14ac:dyDescent="0.3">
      <c r="A133" s="1" t="str">
        <f>HYPERLINK("https://ipmanager.doe.gov/IPManager//ExternalLink.aspx?6ibkph2k9yi6F%2B0Vz7YoTp68px7nSN2gRNMUTN5uX4s%3D","Link")</f>
        <v>Link</v>
      </c>
      <c r="B133" s="2" t="s">
        <v>1465</v>
      </c>
      <c r="C133" s="2" t="s">
        <v>1440</v>
      </c>
      <c r="D133" s="2" t="s">
        <v>8</v>
      </c>
      <c r="E133" s="2" t="s">
        <v>1450</v>
      </c>
      <c r="F133" s="2" t="s">
        <v>1455</v>
      </c>
      <c r="G133" s="2" t="s">
        <v>1456</v>
      </c>
      <c r="H133" s="7"/>
      <c r="I133" s="2" t="s">
        <v>9</v>
      </c>
    </row>
    <row r="134" spans="1:9" ht="39" x14ac:dyDescent="0.3">
      <c r="A134" s="1" t="str">
        <f>HYPERLINK("https://ipmanager.doe.gov/IPManager//ExternalLink.aspx?6ibkph2k9yi6F%2B0Vz7YoTkqAgjuWMa9Qu5p074xcl0E%3D","Link")</f>
        <v>Link</v>
      </c>
      <c r="B134" s="2" t="s">
        <v>518</v>
      </c>
      <c r="C134" s="2" t="s">
        <v>463</v>
      </c>
      <c r="D134" s="2" t="s">
        <v>135</v>
      </c>
      <c r="E134" s="2" t="s">
        <v>491</v>
      </c>
      <c r="F134" s="2" t="s">
        <v>519</v>
      </c>
      <c r="G134" s="2" t="s">
        <v>493</v>
      </c>
      <c r="H134" s="7" t="s">
        <v>520</v>
      </c>
      <c r="I134" s="2" t="s">
        <v>521</v>
      </c>
    </row>
    <row r="135" spans="1:9" ht="26" x14ac:dyDescent="0.3">
      <c r="A135" s="1" t="str">
        <f>HYPERLINK("https://ipmanager.doe.gov/IPManager//ExternalLink.aspx?6ibkph2k9yi6F%2B0Vz7YoTgZwfmYxrNyKM8UtR1gV%2B1U%3D","Link")</f>
        <v>Link</v>
      </c>
      <c r="B135" s="2" t="s">
        <v>564</v>
      </c>
      <c r="C135" s="2" t="s">
        <v>565</v>
      </c>
      <c r="D135" s="2" t="s">
        <v>566</v>
      </c>
      <c r="E135" s="2" t="s">
        <v>567</v>
      </c>
      <c r="F135" s="2" t="s">
        <v>7604</v>
      </c>
      <c r="G135" s="2" t="s">
        <v>568</v>
      </c>
      <c r="H135" s="7"/>
      <c r="I135" s="2" t="s">
        <v>9</v>
      </c>
    </row>
    <row r="136" spans="1:9" ht="39" x14ac:dyDescent="0.3">
      <c r="A136" s="1" t="str">
        <f>HYPERLINK("https://ipmanager.doe.gov/IPManager//ExternalLink.aspx?6ibkph2k9yi6F%2B0Vz7YoTgZwfmYxrNyKTphxrs7IWzg%3D","Link")</f>
        <v>Link</v>
      </c>
      <c r="B136" s="2" t="s">
        <v>4959</v>
      </c>
      <c r="C136" s="2" t="s">
        <v>4960</v>
      </c>
      <c r="D136" s="2" t="s">
        <v>4961</v>
      </c>
      <c r="E136" s="2" t="s">
        <v>4962</v>
      </c>
      <c r="F136" s="2" t="s">
        <v>7605</v>
      </c>
      <c r="G136" s="2" t="s">
        <v>4963</v>
      </c>
      <c r="H136" s="7"/>
      <c r="I136" s="2" t="s">
        <v>9</v>
      </c>
    </row>
    <row r="137" spans="1:9" ht="39" x14ac:dyDescent="0.3">
      <c r="A137" s="1" t="str">
        <f>HYPERLINK("https://ipmanager.doe.gov/IPManager//ExternalLink.aspx?6ibkph2k9yi6F%2B0Vz7YoTlNm8snv%2FZpHGVXvQIxgTuk%3D","Link")</f>
        <v>Link</v>
      </c>
      <c r="B137" s="2" t="s">
        <v>456</v>
      </c>
      <c r="C137" s="2" t="s">
        <v>457</v>
      </c>
      <c r="D137" s="2" t="s">
        <v>458</v>
      </c>
      <c r="E137" s="2" t="s">
        <v>459</v>
      </c>
      <c r="F137" s="2" t="s">
        <v>7606</v>
      </c>
      <c r="G137" s="2" t="s">
        <v>460</v>
      </c>
      <c r="H137" s="7"/>
      <c r="I137" s="2" t="s">
        <v>9</v>
      </c>
    </row>
    <row r="138" spans="1:9" ht="39" x14ac:dyDescent="0.3">
      <c r="A138" s="1" t="str">
        <f>HYPERLINK("https://ipmanager.doe.gov/IPManager//ExternalLink.aspx?6ibkph2k9yi6F%2B0Vz7YoTlNm8snv%2FZpHJTk28isQDv8%3D","Link")</f>
        <v>Link</v>
      </c>
      <c r="B138" s="2" t="s">
        <v>4028</v>
      </c>
      <c r="C138" s="2" t="s">
        <v>4007</v>
      </c>
      <c r="D138" s="2" t="s">
        <v>4008</v>
      </c>
      <c r="E138" s="2" t="s">
        <v>4029</v>
      </c>
      <c r="F138" s="2" t="s">
        <v>4030</v>
      </c>
      <c r="G138" s="2" t="s">
        <v>1388</v>
      </c>
      <c r="H138" s="7"/>
      <c r="I138" s="2" t="s">
        <v>9</v>
      </c>
    </row>
    <row r="139" spans="1:9" ht="26" x14ac:dyDescent="0.3">
      <c r="A139" s="1" t="str">
        <f>HYPERLINK("https://ipmanager.doe.gov/IPManager//ExternalLink.aspx?6ibkph2k9yi6F%2B0Vz7YoTq6RR9BlGHHiswr3YoQmH%2FU%3D","Link")</f>
        <v>Link</v>
      </c>
      <c r="B139" s="2" t="s">
        <v>537</v>
      </c>
      <c r="C139" s="2" t="s">
        <v>523</v>
      </c>
      <c r="D139" s="2" t="s">
        <v>524</v>
      </c>
      <c r="E139" s="2" t="s">
        <v>538</v>
      </c>
      <c r="F139" s="2" t="s">
        <v>539</v>
      </c>
      <c r="G139" s="2" t="s">
        <v>540</v>
      </c>
      <c r="H139" s="7">
        <v>9003789</v>
      </c>
      <c r="I139" s="2" t="s">
        <v>541</v>
      </c>
    </row>
    <row r="140" spans="1:9" ht="39" x14ac:dyDescent="0.3">
      <c r="A140" s="1" t="str">
        <f>HYPERLINK("https://ipmanager.doe.gov/IPManager//ExternalLink.aspx?6ibkph2k9yi6F%2B0Vz7YoTk2BI6w%2FjZ2fdVABX1MuNik%3D","Link")</f>
        <v>Link</v>
      </c>
      <c r="B140" s="2" t="s">
        <v>4040</v>
      </c>
      <c r="C140" s="2" t="s">
        <v>4007</v>
      </c>
      <c r="D140" s="2" t="s">
        <v>4008</v>
      </c>
      <c r="E140" s="2" t="s">
        <v>4041</v>
      </c>
      <c r="F140" s="2" t="s">
        <v>4042</v>
      </c>
      <c r="G140" s="2" t="s">
        <v>1802</v>
      </c>
      <c r="H140" s="7"/>
      <c r="I140" s="2" t="s">
        <v>9</v>
      </c>
    </row>
    <row r="141" spans="1:9" ht="65" x14ac:dyDescent="0.3">
      <c r="A141" s="1" t="str">
        <f>HYPERLINK("https://ipmanager.doe.gov/IPManager//ExternalLink.aspx?6ibkph2k9yi6F%2B0Vz7YoTq6RR9BlGHHiVFU2qQVI1bs%3D","Link")</f>
        <v>Link</v>
      </c>
      <c r="B141" s="2" t="s">
        <v>544</v>
      </c>
      <c r="C141" s="2" t="s">
        <v>523</v>
      </c>
      <c r="D141" s="2" t="s">
        <v>524</v>
      </c>
      <c r="E141" s="2" t="s">
        <v>545</v>
      </c>
      <c r="F141" s="2"/>
      <c r="G141" s="2" t="s">
        <v>9</v>
      </c>
      <c r="H141" s="7"/>
      <c r="I141" s="2" t="s">
        <v>9</v>
      </c>
    </row>
    <row r="142" spans="1:9" ht="52" x14ac:dyDescent="0.3">
      <c r="A142" s="1" t="str">
        <f>HYPERLINK("https://ipmanager.doe.gov/IPManager//ExternalLink.aspx?6ibkph2k9yi6F%2B0Vz7YoTq6RR9BlGHHiiBhaOHfGlSE%3D","Link")</f>
        <v>Link</v>
      </c>
      <c r="B142" s="2" t="s">
        <v>546</v>
      </c>
      <c r="C142" s="2" t="s">
        <v>523</v>
      </c>
      <c r="D142" s="2" t="s">
        <v>524</v>
      </c>
      <c r="E142" s="2" t="s">
        <v>547</v>
      </c>
      <c r="F142" s="2"/>
      <c r="G142" s="2" t="s">
        <v>9</v>
      </c>
      <c r="H142" s="7"/>
      <c r="I142" s="2" t="s">
        <v>9</v>
      </c>
    </row>
    <row r="143" spans="1:9" ht="39" x14ac:dyDescent="0.3">
      <c r="A143" s="1" t="str">
        <f>HYPERLINK("https://ipmanager.doe.gov/IPManager//ExternalLink.aspx?6ibkph2k9yi6F%2B0Vz7YoTr7J5I%2BY4foYzE0p1W3E7NU%3D","Link")</f>
        <v>Link</v>
      </c>
      <c r="B143" s="2" t="s">
        <v>548</v>
      </c>
      <c r="C143" s="2" t="s">
        <v>523</v>
      </c>
      <c r="D143" s="2" t="s">
        <v>524</v>
      </c>
      <c r="E143" s="2" t="s">
        <v>549</v>
      </c>
      <c r="F143" s="2" t="s">
        <v>550</v>
      </c>
      <c r="G143" s="2" t="s">
        <v>540</v>
      </c>
      <c r="H143" s="7">
        <v>8607562</v>
      </c>
      <c r="I143" s="2" t="s">
        <v>551</v>
      </c>
    </row>
    <row r="144" spans="1:9" ht="39" x14ac:dyDescent="0.3">
      <c r="A144" s="1" t="str">
        <f>HYPERLINK("https://ipmanager.doe.gov/IPManager//ExternalLink.aspx?6ibkph2k9yi6F%2B0Vz7YoTlNm8snv%2FZpHqZZZMaaQcoU%3D","Link")</f>
        <v>Link</v>
      </c>
      <c r="B144" s="2" t="s">
        <v>552</v>
      </c>
      <c r="C144" s="2" t="s">
        <v>523</v>
      </c>
      <c r="D144" s="2" t="s">
        <v>524</v>
      </c>
      <c r="E144" s="2" t="s">
        <v>553</v>
      </c>
      <c r="F144" s="2" t="s">
        <v>554</v>
      </c>
      <c r="G144" s="2" t="s">
        <v>540</v>
      </c>
      <c r="H144" s="7">
        <v>8844281</v>
      </c>
      <c r="I144" s="2" t="s">
        <v>555</v>
      </c>
    </row>
    <row r="145" spans="1:9" ht="39" x14ac:dyDescent="0.3">
      <c r="A145" s="1" t="str">
        <f>HYPERLINK("https://ipmanager.doe.gov/IPManager//ExternalLink.aspx?6ibkph2k9yi6F%2B0Vz7YoTjnDGhmGHGI7%2FsnvM46WEFU%3D","Link")</f>
        <v>Link</v>
      </c>
      <c r="B145" s="2" t="s">
        <v>556</v>
      </c>
      <c r="C145" s="2" t="s">
        <v>523</v>
      </c>
      <c r="D145" s="2" t="s">
        <v>524</v>
      </c>
      <c r="E145" s="2" t="s">
        <v>557</v>
      </c>
      <c r="F145" s="2" t="s">
        <v>558</v>
      </c>
      <c r="G145" s="2" t="s">
        <v>540</v>
      </c>
      <c r="H145" s="7">
        <v>8800283</v>
      </c>
      <c r="I145" s="2" t="s">
        <v>559</v>
      </c>
    </row>
    <row r="146" spans="1:9" ht="52" x14ac:dyDescent="0.3">
      <c r="A146" s="1" t="str">
        <f>HYPERLINK("https://ipmanager.doe.gov/IPManager//ExternalLink.aspx?6ibkph2k9yi6F%2B0Vz7YoTr7J5I%2BY4foYIIzawIfgWPw%3D","Link")</f>
        <v>Link</v>
      </c>
      <c r="B146" s="2" t="s">
        <v>560</v>
      </c>
      <c r="C146" s="2" t="s">
        <v>561</v>
      </c>
      <c r="D146" s="2" t="s">
        <v>562</v>
      </c>
      <c r="E146" s="2" t="s">
        <v>563</v>
      </c>
      <c r="F146" s="2"/>
      <c r="G146" s="2" t="s">
        <v>9</v>
      </c>
      <c r="H146" s="7"/>
      <c r="I146" s="2" t="s">
        <v>9</v>
      </c>
    </row>
    <row r="147" spans="1:9" ht="65" x14ac:dyDescent="0.3">
      <c r="A147" s="1" t="str">
        <f>HYPERLINK("https://ipmanager.doe.gov/IPManager//ExternalLink.aspx?6ibkph2k9yi6F%2B0Vz7YoTo7DPLa3%2F%2FGgSbeSC%2FoHLlI%3D","Link")</f>
        <v>Link</v>
      </c>
      <c r="B147" s="2" t="s">
        <v>4869</v>
      </c>
      <c r="C147" s="2" t="s">
        <v>4870</v>
      </c>
      <c r="D147" s="2" t="s">
        <v>2483</v>
      </c>
      <c r="E147" s="2" t="s">
        <v>4871</v>
      </c>
      <c r="F147" s="2" t="s">
        <v>4872</v>
      </c>
      <c r="G147" s="2" t="s">
        <v>4873</v>
      </c>
      <c r="H147" s="7"/>
      <c r="I147" s="2" t="s">
        <v>9</v>
      </c>
    </row>
    <row r="148" spans="1:9" ht="39" x14ac:dyDescent="0.3">
      <c r="A148" s="1" t="str">
        <f>HYPERLINK("https://ipmanager.doe.gov/IPManager//ExternalLink.aspx?6ibkph2k9yi6F%2B0Vz7YoTjN2oADz%2F5MxDnfJOKi3MD0%3D","Link")</f>
        <v>Link</v>
      </c>
      <c r="B148" s="2" t="s">
        <v>569</v>
      </c>
      <c r="C148" s="2" t="s">
        <v>565</v>
      </c>
      <c r="D148" s="2" t="s">
        <v>566</v>
      </c>
      <c r="E148" s="2" t="s">
        <v>570</v>
      </c>
      <c r="F148" s="2" t="s">
        <v>7607</v>
      </c>
      <c r="G148" s="2" t="s">
        <v>571</v>
      </c>
      <c r="H148" s="7">
        <v>9464333</v>
      </c>
      <c r="I148" s="2" t="s">
        <v>572</v>
      </c>
    </row>
    <row r="149" spans="1:9" ht="26" x14ac:dyDescent="0.3">
      <c r="A149" s="1" t="str">
        <f>HYPERLINK("https://ipmanager.doe.gov/IPManager//ExternalLink.aspx?6ibkph2k9yi6F%2B0Vz7YoTgZwfmYxrNyKTg7hT2qntkQ%3D","Link")</f>
        <v>Link</v>
      </c>
      <c r="B149" s="2" t="s">
        <v>573</v>
      </c>
      <c r="C149" s="2" t="s">
        <v>565</v>
      </c>
      <c r="D149" s="2" t="s">
        <v>566</v>
      </c>
      <c r="E149" s="2" t="s">
        <v>567</v>
      </c>
      <c r="F149" s="2"/>
      <c r="G149" s="2" t="s">
        <v>9</v>
      </c>
      <c r="H149" s="7"/>
      <c r="I149" s="2" t="s">
        <v>9</v>
      </c>
    </row>
    <row r="150" spans="1:9" ht="65" x14ac:dyDescent="0.3">
      <c r="A150" s="1" t="str">
        <f>HYPERLINK("https://ipmanager.doe.gov/IPManager//ExternalLink.aspx?6ibkph2k9yi6F%2B0Vz7YoTgZwfmYxrNyKhlhvVjQzFCw%3D","Link")</f>
        <v>Link</v>
      </c>
      <c r="B150" s="2" t="s">
        <v>574</v>
      </c>
      <c r="C150" s="2" t="s">
        <v>565</v>
      </c>
      <c r="D150" s="2" t="s">
        <v>566</v>
      </c>
      <c r="E150" s="2" t="s">
        <v>575</v>
      </c>
      <c r="F150" s="2" t="s">
        <v>576</v>
      </c>
      <c r="G150" s="2" t="s">
        <v>300</v>
      </c>
      <c r="H150" s="8">
        <v>9249474</v>
      </c>
      <c r="I150" s="2" t="s">
        <v>577</v>
      </c>
    </row>
    <row r="151" spans="1:9" ht="65" x14ac:dyDescent="0.3">
      <c r="A151" s="1" t="str">
        <f>HYPERLINK("https://ipmanager.doe.gov/IPManager//ExternalLink.aspx?6ibkph2k9yi6F%2B0Vz7YoTo7DPLa3%2F%2FGgifPvVcUWtzA%3D","Link")</f>
        <v>Link</v>
      </c>
      <c r="B151" s="2" t="s">
        <v>578</v>
      </c>
      <c r="C151" s="2" t="s">
        <v>579</v>
      </c>
      <c r="D151" s="2" t="s">
        <v>580</v>
      </c>
      <c r="E151" s="2" t="s">
        <v>581</v>
      </c>
      <c r="F151" s="2" t="s">
        <v>582</v>
      </c>
      <c r="G151" s="2" t="s">
        <v>583</v>
      </c>
      <c r="H151" s="2">
        <v>9244235</v>
      </c>
      <c r="I151" s="2" t="s">
        <v>584</v>
      </c>
    </row>
    <row r="152" spans="1:9" ht="52" x14ac:dyDescent="0.3">
      <c r="A152" s="1" t="str">
        <f>HYPERLINK("https://ipmanager.doe.gov/IPManager//ExternalLink.aspx?6ibkph2k9yi6F%2B0Vz7YoTjnDGhmGHGI7gag6nrqTBc8%3D","Link")</f>
        <v>Link</v>
      </c>
      <c r="B152" s="2" t="s">
        <v>585</v>
      </c>
      <c r="C152" s="2" t="s">
        <v>579</v>
      </c>
      <c r="D152" s="2" t="s">
        <v>580</v>
      </c>
      <c r="E152" s="2" t="s">
        <v>586</v>
      </c>
      <c r="F152" s="2" t="s">
        <v>587</v>
      </c>
      <c r="G152" s="2" t="s">
        <v>588</v>
      </c>
      <c r="H152" s="2">
        <v>9027668</v>
      </c>
      <c r="I152" s="2" t="s">
        <v>507</v>
      </c>
    </row>
    <row r="153" spans="1:9" ht="52" x14ac:dyDescent="0.3">
      <c r="A153" s="1" t="str">
        <f>HYPERLINK("https://ipmanager.doe.gov/IPManager//ExternalLink.aspx?6ibkph2k9yi6F%2B0Vz7YoTr7J5I%2BY4foYgKgvsXrsI7g%3D","Link")</f>
        <v>Link</v>
      </c>
      <c r="B153" s="2" t="s">
        <v>4878</v>
      </c>
      <c r="C153" s="2" t="s">
        <v>4870</v>
      </c>
      <c r="D153" s="2" t="s">
        <v>2483</v>
      </c>
      <c r="E153" s="2" t="s">
        <v>4879</v>
      </c>
      <c r="F153" s="2" t="s">
        <v>7608</v>
      </c>
      <c r="G153" s="2" t="s">
        <v>4880</v>
      </c>
      <c r="H153" s="2"/>
      <c r="I153" s="2" t="s">
        <v>9</v>
      </c>
    </row>
    <row r="154" spans="1:9" ht="52" x14ac:dyDescent="0.3">
      <c r="A154" s="1" t="str">
        <f>HYPERLINK("https://ipmanager.doe.gov/IPManager//ExternalLink.aspx?6ibkph2k9yi6F%2B0Vz7YoTlNm8snv%2FZpHrJ6jdXQsrzo%3D","Link")</f>
        <v>Link</v>
      </c>
      <c r="B154" s="2" t="s">
        <v>593</v>
      </c>
      <c r="C154" s="2" t="s">
        <v>579</v>
      </c>
      <c r="D154" s="2" t="s">
        <v>580</v>
      </c>
      <c r="E154" s="2" t="s">
        <v>594</v>
      </c>
      <c r="F154" s="2" t="s">
        <v>595</v>
      </c>
      <c r="G154" s="2" t="s">
        <v>596</v>
      </c>
      <c r="H154" s="2">
        <v>9360643</v>
      </c>
      <c r="I154" s="2" t="s">
        <v>597</v>
      </c>
    </row>
    <row r="155" spans="1:9" ht="78" x14ac:dyDescent="0.3">
      <c r="A155" s="1" t="str">
        <f>HYPERLINK("https://ipmanager.doe.gov/IPManager//ExternalLink.aspx?6ibkph2k9yi6F%2B0Vz7YoTr7J5I%2BY4foYsGFDu%2FlbUCg%3D","Link")</f>
        <v>Link</v>
      </c>
      <c r="B155" s="2" t="s">
        <v>4881</v>
      </c>
      <c r="C155" s="2" t="s">
        <v>4870</v>
      </c>
      <c r="D155" s="2" t="s">
        <v>2483</v>
      </c>
      <c r="E155" s="2" t="s">
        <v>4875</v>
      </c>
      <c r="F155" s="2" t="s">
        <v>4882</v>
      </c>
      <c r="G155" s="2" t="s">
        <v>4883</v>
      </c>
      <c r="H155" s="2"/>
      <c r="I155" s="2" t="s">
        <v>9</v>
      </c>
    </row>
    <row r="156" spans="1:9" ht="65" x14ac:dyDescent="0.3">
      <c r="A156" s="1" t="str">
        <f>HYPERLINK("https://ipmanager.doe.gov/IPManager//ExternalLink.aspx?6ibkph2k9yi6F%2B0Vz7YoTr7J5I%2BY4foYu26ik16eKy8%3D","Link")</f>
        <v>Link</v>
      </c>
      <c r="B156" s="2" t="s">
        <v>602</v>
      </c>
      <c r="C156" s="2" t="s">
        <v>579</v>
      </c>
      <c r="D156" s="2" t="s">
        <v>580</v>
      </c>
      <c r="E156" s="2" t="s">
        <v>603</v>
      </c>
      <c r="F156" s="2" t="s">
        <v>604</v>
      </c>
      <c r="G156" s="2" t="s">
        <v>605</v>
      </c>
      <c r="H156" s="2">
        <v>8571368</v>
      </c>
      <c r="I156" s="2" t="s">
        <v>606</v>
      </c>
    </row>
    <row r="157" spans="1:9" ht="65" x14ac:dyDescent="0.3">
      <c r="A157" s="1" t="str">
        <f>HYPERLINK("https://ipmanager.doe.gov/IPManager//ExternalLink.aspx?6ibkph2k9yi6F%2B0Vz7YoTr7J5I%2BY4foYRLWAQkXsGgk%3D","Link")</f>
        <v>Link</v>
      </c>
      <c r="B157" s="2" t="s">
        <v>4884</v>
      </c>
      <c r="C157" s="2" t="s">
        <v>4870</v>
      </c>
      <c r="D157" s="2" t="s">
        <v>2483</v>
      </c>
      <c r="E157" s="2" t="s">
        <v>4871</v>
      </c>
      <c r="F157" s="2" t="s">
        <v>4885</v>
      </c>
      <c r="G157" s="2" t="s">
        <v>4883</v>
      </c>
      <c r="H157" s="2"/>
      <c r="I157" s="2" t="s">
        <v>9</v>
      </c>
    </row>
    <row r="158" spans="1:9" ht="26" x14ac:dyDescent="0.3">
      <c r="A158" s="1" t="str">
        <f>HYPERLINK("https://ipmanager.doe.gov/IPManager//ExternalLink.aspx?6ibkph2k9yi6F%2B0Vz7YoTlNm8snv%2FZpHsXxRm7uAKoo%3D","Link")</f>
        <v>Link</v>
      </c>
      <c r="B158" s="2" t="s">
        <v>610</v>
      </c>
      <c r="C158" s="2" t="s">
        <v>579</v>
      </c>
      <c r="D158" s="2" t="s">
        <v>580</v>
      </c>
      <c r="E158" s="2" t="s">
        <v>611</v>
      </c>
      <c r="F158" s="2" t="s">
        <v>612</v>
      </c>
      <c r="G158" s="2" t="s">
        <v>588</v>
      </c>
      <c r="H158" s="2">
        <v>9360631</v>
      </c>
      <c r="I158" s="2" t="s">
        <v>597</v>
      </c>
    </row>
    <row r="159" spans="1:9" ht="39" x14ac:dyDescent="0.3">
      <c r="A159" s="1" t="str">
        <f>HYPERLINK("https://ipmanager.doe.gov/IPManager//ExternalLink.aspx?6ibkph2k9yi6F%2B0Vz7YoTlNm8snv%2FZpHOVEus%2BIBQLE%3D","Link")</f>
        <v>Link</v>
      </c>
      <c r="B159" s="2" t="s">
        <v>613</v>
      </c>
      <c r="C159" s="2" t="s">
        <v>579</v>
      </c>
      <c r="D159" s="2" t="s">
        <v>580</v>
      </c>
      <c r="E159" s="2" t="s">
        <v>614</v>
      </c>
      <c r="F159" s="2" t="s">
        <v>615</v>
      </c>
      <c r="G159" s="2" t="s">
        <v>588</v>
      </c>
      <c r="H159" s="2">
        <v>9562395</v>
      </c>
      <c r="I159" s="2" t="s">
        <v>9</v>
      </c>
    </row>
    <row r="160" spans="1:9" ht="65" x14ac:dyDescent="0.3">
      <c r="A160" s="1" t="str">
        <f>HYPERLINK("https://ipmanager.doe.gov/IPManager//ExternalLink.aspx?6ibkph2k9yi6F%2B0Vz7YoTlNm8snv%2FZpHiOXrP6Ssahw%3D","Link")</f>
        <v>Link</v>
      </c>
      <c r="B160" s="2" t="s">
        <v>616</v>
      </c>
      <c r="C160" s="2" t="s">
        <v>579</v>
      </c>
      <c r="D160" s="2" t="s">
        <v>580</v>
      </c>
      <c r="E160" s="2" t="s">
        <v>617</v>
      </c>
      <c r="F160" s="2" t="s">
        <v>618</v>
      </c>
      <c r="G160" s="2" t="s">
        <v>588</v>
      </c>
      <c r="H160" s="2"/>
      <c r="I160" s="2" t="s">
        <v>9</v>
      </c>
    </row>
    <row r="161" spans="1:9" ht="52" x14ac:dyDescent="0.3">
      <c r="A161" s="1" t="str">
        <f>HYPERLINK("https://ipmanager.doe.gov/IPManager//ExternalLink.aspx?6ibkph2k9yi6F%2B0Vz7YoTvPUg%2FVZPl3iCEJXPq5W%2Bd0%3D","Link")</f>
        <v>Link</v>
      </c>
      <c r="B161" s="2" t="s">
        <v>4886</v>
      </c>
      <c r="C161" s="2" t="s">
        <v>4870</v>
      </c>
      <c r="D161" s="2" t="s">
        <v>2483</v>
      </c>
      <c r="E161" s="2" t="s">
        <v>4879</v>
      </c>
      <c r="F161" s="2" t="s">
        <v>4887</v>
      </c>
      <c r="G161" s="2" t="s">
        <v>280</v>
      </c>
      <c r="H161" s="2"/>
      <c r="I161" s="2" t="s">
        <v>9</v>
      </c>
    </row>
    <row r="162" spans="1:9" ht="26" x14ac:dyDescent="0.3">
      <c r="A162" s="1" t="str">
        <f>HYPERLINK("https://ipmanager.doe.gov/IPManager//ExternalLink.aspx?6ibkph2k9yi6F%2B0Vz7YoTlNm8snv%2FZpHvmeCF8egjBQ%3D","Link")</f>
        <v>Link</v>
      </c>
      <c r="B162" s="2" t="s">
        <v>622</v>
      </c>
      <c r="C162" s="2" t="s">
        <v>579</v>
      </c>
      <c r="D162" s="2" t="s">
        <v>580</v>
      </c>
      <c r="E162" s="2" t="s">
        <v>623</v>
      </c>
      <c r="F162" s="2" t="s">
        <v>624</v>
      </c>
      <c r="G162" s="2" t="s">
        <v>588</v>
      </c>
      <c r="H162" s="2">
        <v>9074422</v>
      </c>
      <c r="I162" s="2" t="s">
        <v>625</v>
      </c>
    </row>
    <row r="163" spans="1:9" ht="39" x14ac:dyDescent="0.3">
      <c r="A163" s="1" t="str">
        <f>HYPERLINK("https://ipmanager.doe.gov/IPManager//ExternalLink.aspx?6ibkph2k9yi6F%2B0Vz7YoTp68px7nSN2gVEQZ0VGktNc%3D","Link")</f>
        <v>Link</v>
      </c>
      <c r="B163" s="2" t="s">
        <v>4899</v>
      </c>
      <c r="C163" s="2" t="s">
        <v>4870</v>
      </c>
      <c r="D163" s="2" t="s">
        <v>2483</v>
      </c>
      <c r="E163" s="2" t="s">
        <v>4895</v>
      </c>
      <c r="F163" s="2" t="s">
        <v>4900</v>
      </c>
      <c r="G163" s="2" t="s">
        <v>4891</v>
      </c>
      <c r="H163" s="2"/>
      <c r="I163" s="2" t="s">
        <v>9</v>
      </c>
    </row>
    <row r="164" spans="1:9" ht="65" x14ac:dyDescent="0.3">
      <c r="A164" s="1" t="str">
        <f>HYPERLINK("https://ipmanager.doe.gov/IPManager//ExternalLink.aspx?6ibkph2k9yi6F%2B0Vz7YoTlNm8snv%2FZpH1iLRHb7a3rA%3D","Link")</f>
        <v>Link</v>
      </c>
      <c r="B164" s="2" t="s">
        <v>630</v>
      </c>
      <c r="C164" s="2" t="s">
        <v>579</v>
      </c>
      <c r="D164" s="2" t="s">
        <v>580</v>
      </c>
      <c r="E164" s="2" t="s">
        <v>617</v>
      </c>
      <c r="F164" s="2" t="s">
        <v>618</v>
      </c>
      <c r="G164" s="2" t="s">
        <v>588</v>
      </c>
      <c r="H164" s="2">
        <v>9267330</v>
      </c>
      <c r="I164" s="2" t="s">
        <v>631</v>
      </c>
    </row>
    <row r="165" spans="1:9" ht="39" x14ac:dyDescent="0.3">
      <c r="A165" s="1" t="str">
        <f>HYPERLINK("https://ipmanager.doe.gov/IPManager//ExternalLink.aspx?6ibkph2k9yi6F%2B0Vz7YoTp68px7nSN2gFTGZ1QVnjn8%3D","Link")</f>
        <v>Link</v>
      </c>
      <c r="B165" s="2" t="s">
        <v>4901</v>
      </c>
      <c r="C165" s="2" t="s">
        <v>4870</v>
      </c>
      <c r="D165" s="2" t="s">
        <v>2483</v>
      </c>
      <c r="E165" s="2" t="s">
        <v>4902</v>
      </c>
      <c r="F165" s="2" t="s">
        <v>4903</v>
      </c>
      <c r="G165" s="2" t="s">
        <v>4891</v>
      </c>
      <c r="H165" s="2"/>
      <c r="I165" s="2" t="s">
        <v>9</v>
      </c>
    </row>
    <row r="166" spans="1:9" ht="39" x14ac:dyDescent="0.3">
      <c r="A166" s="1" t="str">
        <f>HYPERLINK("https://ipmanager.doe.gov/IPManager//ExternalLink.aspx?6ibkph2k9yi6F%2B0Vz7YoTp68px7nSN2g3J%2B1SI4WWyE%3D","Link")</f>
        <v>Link</v>
      </c>
      <c r="B166" s="2" t="s">
        <v>4904</v>
      </c>
      <c r="C166" s="2" t="s">
        <v>4870</v>
      </c>
      <c r="D166" s="2" t="s">
        <v>2483</v>
      </c>
      <c r="E166" s="2" t="s">
        <v>4905</v>
      </c>
      <c r="F166" s="2" t="s">
        <v>4906</v>
      </c>
      <c r="G166" s="2" t="s">
        <v>4907</v>
      </c>
      <c r="H166" s="2"/>
      <c r="I166" s="2" t="s">
        <v>9</v>
      </c>
    </row>
    <row r="167" spans="1:9" ht="52" x14ac:dyDescent="0.3">
      <c r="A167" s="1" t="str">
        <f>HYPERLINK("https://ipmanager.doe.gov/IPManager//ExternalLink.aspx?6ibkph2k9yi6F%2B0Vz7YoTr7J5I%2BY4foYJZVxpnJl5C4%3D","Link")</f>
        <v>Link</v>
      </c>
      <c r="B167" s="2" t="s">
        <v>2490</v>
      </c>
      <c r="C167" s="2" t="s">
        <v>2491</v>
      </c>
      <c r="D167" s="2" t="s">
        <v>2492</v>
      </c>
      <c r="E167" s="2" t="s">
        <v>2493</v>
      </c>
      <c r="F167" s="2" t="s">
        <v>2494</v>
      </c>
      <c r="G167" s="2" t="s">
        <v>2495</v>
      </c>
      <c r="H167" s="2"/>
      <c r="I167" s="2" t="s">
        <v>9</v>
      </c>
    </row>
    <row r="168" spans="1:9" ht="52" x14ac:dyDescent="0.3">
      <c r="A168" s="1" t="str">
        <f>HYPERLINK("https://ipmanager.doe.gov/IPManager//ExternalLink.aspx?6ibkph2k9yi6F%2B0Vz7YoTjN2oADz%2F5Mxlgt60ob5EQw%3D","Link")</f>
        <v>Link</v>
      </c>
      <c r="B168" s="2" t="s">
        <v>642</v>
      </c>
      <c r="C168" s="2" t="s">
        <v>579</v>
      </c>
      <c r="D168" s="2" t="s">
        <v>580</v>
      </c>
      <c r="E168" s="2" t="s">
        <v>586</v>
      </c>
      <c r="F168" s="2" t="s">
        <v>587</v>
      </c>
      <c r="G168" s="2" t="s">
        <v>588</v>
      </c>
      <c r="H168" s="2">
        <v>9027668</v>
      </c>
      <c r="I168" s="2" t="s">
        <v>507</v>
      </c>
    </row>
    <row r="169" spans="1:9" ht="52" x14ac:dyDescent="0.3">
      <c r="A169" s="1" t="str">
        <f>HYPERLINK("https://ipmanager.doe.gov/IPManager//ExternalLink.aspx?6ibkph2k9yi6F%2B0Vz7YoTr7J5I%2BY4foYqYkbc3z3s0o%3D","Link")</f>
        <v>Link</v>
      </c>
      <c r="B169" s="2" t="s">
        <v>2496</v>
      </c>
      <c r="C169" s="2" t="s">
        <v>2491</v>
      </c>
      <c r="D169" s="2" t="s">
        <v>2492</v>
      </c>
      <c r="E169" s="2" t="s">
        <v>2497</v>
      </c>
      <c r="F169" s="2" t="s">
        <v>2498</v>
      </c>
      <c r="G169" s="2" t="s">
        <v>2495</v>
      </c>
      <c r="H169" s="2"/>
      <c r="I169" s="2" t="s">
        <v>9</v>
      </c>
    </row>
    <row r="170" spans="1:9" ht="130" x14ac:dyDescent="0.3">
      <c r="A170" s="1" t="str">
        <f>HYPERLINK("https://ipmanager.doe.gov/IPManager//ExternalLink.aspx?6ibkph2k9yi6F%2B0Vz7YoTo7DPLa3%2F%2FGg2rZFT5STcec%3D","Link")</f>
        <v>Link</v>
      </c>
      <c r="B170" s="2" t="s">
        <v>2499</v>
      </c>
      <c r="C170" s="2" t="s">
        <v>2491</v>
      </c>
      <c r="D170" s="2" t="s">
        <v>2492</v>
      </c>
      <c r="E170" s="2" t="s">
        <v>2500</v>
      </c>
      <c r="F170" s="2" t="s">
        <v>2501</v>
      </c>
      <c r="G170" s="2" t="s">
        <v>2495</v>
      </c>
      <c r="H170" s="2"/>
      <c r="I170" s="2" t="s">
        <v>9</v>
      </c>
    </row>
    <row r="171" spans="1:9" ht="52" x14ac:dyDescent="0.3">
      <c r="A171" s="1" t="str">
        <f>HYPERLINK("https://ipmanager.doe.gov/IPManager//ExternalLink.aspx?6ibkph2k9yi6F%2B0Vz7YoTlNm8snv%2FZpHAYN9yA46QHs%3D","Link")</f>
        <v>Link</v>
      </c>
      <c r="B171" s="2" t="s">
        <v>969</v>
      </c>
      <c r="C171" s="2" t="s">
        <v>970</v>
      </c>
      <c r="D171" s="2" t="s">
        <v>971</v>
      </c>
      <c r="E171" s="2" t="s">
        <v>972</v>
      </c>
      <c r="F171" s="2" t="s">
        <v>973</v>
      </c>
      <c r="G171" s="2" t="s">
        <v>974</v>
      </c>
      <c r="H171" s="2"/>
      <c r="I171" s="2" t="s">
        <v>9</v>
      </c>
    </row>
    <row r="172" spans="1:9" ht="26" x14ac:dyDescent="0.3">
      <c r="A172" s="1" t="str">
        <f>HYPERLINK("https://ipmanager.doe.gov/IPManager//ExternalLink.aspx?6ibkph2k9yi6F%2B0Vz7YoTjN2oADz%2F5MxI%2BW0dvEr%2FzE%3D","Link")</f>
        <v>Link</v>
      </c>
      <c r="B172" s="2" t="s">
        <v>650</v>
      </c>
      <c r="C172" s="2" t="s">
        <v>579</v>
      </c>
      <c r="D172" s="2" t="s">
        <v>580</v>
      </c>
      <c r="E172" s="2" t="s">
        <v>651</v>
      </c>
      <c r="F172" s="2"/>
      <c r="G172" s="2" t="s">
        <v>9</v>
      </c>
      <c r="H172" s="2"/>
      <c r="I172" s="2" t="s">
        <v>9</v>
      </c>
    </row>
    <row r="173" spans="1:9" ht="52" x14ac:dyDescent="0.3">
      <c r="A173" s="1" t="str">
        <f>HYPERLINK("https://ipmanager.doe.gov/IPManager//ExternalLink.aspx?6ibkph2k9yi6F%2B0Vz7YoTlNm8snv%2FZpHcYI%2FOKTEqL8%3D","Link")</f>
        <v>Link</v>
      </c>
      <c r="B173" s="2" t="s">
        <v>975</v>
      </c>
      <c r="C173" s="2" t="s">
        <v>970</v>
      </c>
      <c r="D173" s="2" t="s">
        <v>971</v>
      </c>
      <c r="E173" s="2" t="s">
        <v>976</v>
      </c>
      <c r="F173" s="2" t="s">
        <v>977</v>
      </c>
      <c r="G173" s="2" t="s">
        <v>35</v>
      </c>
      <c r="H173" s="2"/>
      <c r="I173" s="2" t="s">
        <v>9</v>
      </c>
    </row>
    <row r="174" spans="1:9" ht="39" x14ac:dyDescent="0.3">
      <c r="A174" s="1" t="str">
        <f>HYPERLINK("https://ipmanager.doe.gov/IPManager//ExternalLink.aspx?6ibkph2k9yi6F%2B0Vz7YoTlNm8snv%2FZpHTwZ59Kkx35E%3D","Link")</f>
        <v>Link</v>
      </c>
      <c r="B174" s="2" t="s">
        <v>979</v>
      </c>
      <c r="C174" s="2" t="s">
        <v>970</v>
      </c>
      <c r="D174" s="2" t="s">
        <v>971</v>
      </c>
      <c r="E174" s="2" t="s">
        <v>980</v>
      </c>
      <c r="F174" s="2" t="s">
        <v>977</v>
      </c>
      <c r="G174" s="2" t="s">
        <v>35</v>
      </c>
      <c r="H174" s="2"/>
      <c r="I174" s="2" t="s">
        <v>9</v>
      </c>
    </row>
    <row r="175" spans="1:9" ht="52" x14ac:dyDescent="0.3">
      <c r="A175" s="1" t="str">
        <f>HYPERLINK("https://ipmanager.doe.gov/IPManager//ExternalLink.aspx?6ibkph2k9yi6F%2B0Vz7YoTjN2oADz%2F5MxtLfZGbZW%2BJY%3D","Link")</f>
        <v>Link</v>
      </c>
      <c r="B175" s="2" t="s">
        <v>661</v>
      </c>
      <c r="C175" s="2" t="s">
        <v>579</v>
      </c>
      <c r="D175" s="2" t="s">
        <v>580</v>
      </c>
      <c r="E175" s="2" t="s">
        <v>662</v>
      </c>
      <c r="F175" s="2" t="s">
        <v>663</v>
      </c>
      <c r="G175" s="2" t="s">
        <v>664</v>
      </c>
      <c r="H175" s="2">
        <v>9347271</v>
      </c>
      <c r="I175" s="2" t="s">
        <v>665</v>
      </c>
    </row>
    <row r="176" spans="1:9" ht="39" x14ac:dyDescent="0.3">
      <c r="A176" s="1" t="str">
        <f>HYPERLINK("https://ipmanager.doe.gov/IPManager//ExternalLink.aspx?6ibkph2k9yi6F%2B0Vz7YoTlNm8snv%2FZpHyT9H%2Fo1b7fM%3D","Link")</f>
        <v>Link</v>
      </c>
      <c r="B176" s="2" t="s">
        <v>986</v>
      </c>
      <c r="C176" s="2" t="s">
        <v>970</v>
      </c>
      <c r="D176" s="2" t="s">
        <v>971</v>
      </c>
      <c r="E176" s="2" t="s">
        <v>987</v>
      </c>
      <c r="F176" s="2" t="s">
        <v>988</v>
      </c>
      <c r="G176" s="2" t="s">
        <v>989</v>
      </c>
      <c r="H176" s="2"/>
      <c r="I176" s="2" t="s">
        <v>9</v>
      </c>
    </row>
    <row r="177" spans="1:9" ht="39" x14ac:dyDescent="0.3">
      <c r="A177" s="1" t="str">
        <f>HYPERLINK("https://ipmanager.doe.gov/IPManager//ExternalLink.aspx?6ibkph2k9yi6F%2B0Vz7YoTjN2oADz%2F5Mxtkcf1Tktv3I%3D","Link")</f>
        <v>Link</v>
      </c>
      <c r="B177" s="2" t="s">
        <v>991</v>
      </c>
      <c r="C177" s="2" t="s">
        <v>970</v>
      </c>
      <c r="D177" s="2" t="s">
        <v>971</v>
      </c>
      <c r="E177" s="2" t="s">
        <v>992</v>
      </c>
      <c r="F177" s="2" t="s">
        <v>973</v>
      </c>
      <c r="G177" s="2" t="s">
        <v>974</v>
      </c>
      <c r="H177" s="2"/>
      <c r="I177" s="2" t="s">
        <v>9</v>
      </c>
    </row>
    <row r="178" spans="1:9" ht="65" x14ac:dyDescent="0.3">
      <c r="A178" s="1" t="str">
        <f>HYPERLINK("https://ipmanager.doe.gov/IPManager//ExternalLink.aspx?6ibkph2k9yi6F%2B0Vz7YoTjN2oADz%2F5MxZPdTRX0okoo%3D","Link")</f>
        <v>Link</v>
      </c>
      <c r="B178" s="2" t="s">
        <v>1001</v>
      </c>
      <c r="C178" s="2" t="s">
        <v>970</v>
      </c>
      <c r="D178" s="2" t="s">
        <v>971</v>
      </c>
      <c r="E178" s="2" t="s">
        <v>1002</v>
      </c>
      <c r="F178" s="2" t="s">
        <v>1003</v>
      </c>
      <c r="G178" s="2" t="s">
        <v>1004</v>
      </c>
      <c r="H178" s="2"/>
      <c r="I178" s="2" t="s">
        <v>9</v>
      </c>
    </row>
    <row r="179" spans="1:9" ht="39" x14ac:dyDescent="0.3">
      <c r="A179" s="1" t="str">
        <f>HYPERLINK("https://ipmanager.doe.gov/IPManager//ExternalLink.aspx?6ibkph2k9yi6F%2B0Vz7YoTlNm8snv%2FZpHplNVeXpxGgo%3D","Link")</f>
        <v>Link</v>
      </c>
      <c r="B179" s="2" t="s">
        <v>1011</v>
      </c>
      <c r="C179" s="2" t="s">
        <v>970</v>
      </c>
      <c r="D179" s="2" t="s">
        <v>971</v>
      </c>
      <c r="E179" s="2" t="s">
        <v>1012</v>
      </c>
      <c r="F179" s="2" t="s">
        <v>973</v>
      </c>
      <c r="G179" s="2" t="s">
        <v>974</v>
      </c>
      <c r="H179" s="2"/>
      <c r="I179" s="2" t="s">
        <v>9</v>
      </c>
    </row>
    <row r="180" spans="1:9" ht="26" x14ac:dyDescent="0.3">
      <c r="A180" s="1" t="str">
        <f>HYPERLINK("https://ipmanager.doe.gov/IPManager//ExternalLink.aspx?6ibkph2k9yi6F%2B0Vz7YoTlNm8snv%2FZpHDEagOZ%2B5X3M%3D","Link")</f>
        <v>Link</v>
      </c>
      <c r="B180" s="2" t="s">
        <v>1015</v>
      </c>
      <c r="C180" s="2" t="s">
        <v>970</v>
      </c>
      <c r="D180" s="2" t="s">
        <v>971</v>
      </c>
      <c r="E180" s="2" t="s">
        <v>1016</v>
      </c>
      <c r="F180" s="2" t="s">
        <v>973</v>
      </c>
      <c r="G180" s="2" t="s">
        <v>974</v>
      </c>
      <c r="H180" s="2"/>
      <c r="I180" s="2" t="s">
        <v>9</v>
      </c>
    </row>
    <row r="181" spans="1:9" ht="52" x14ac:dyDescent="0.3">
      <c r="A181" s="1" t="str">
        <f>HYPERLINK("https://ipmanager.doe.gov/IPManager//ExternalLink.aspx?6ibkph2k9yi6F%2B0Vz7YoTlNm8snv%2FZpHxxw%2FGc7hmNU%3D","Link")</f>
        <v>Link</v>
      </c>
      <c r="B181" s="2" t="s">
        <v>1017</v>
      </c>
      <c r="C181" s="2" t="s">
        <v>970</v>
      </c>
      <c r="D181" s="2" t="s">
        <v>971</v>
      </c>
      <c r="E181" s="2" t="s">
        <v>1018</v>
      </c>
      <c r="F181" s="2" t="s">
        <v>1019</v>
      </c>
      <c r="G181" s="2" t="s">
        <v>984</v>
      </c>
      <c r="H181" s="2"/>
      <c r="I181" s="2" t="s">
        <v>9</v>
      </c>
    </row>
    <row r="182" spans="1:9" ht="52" x14ac:dyDescent="0.3">
      <c r="A182" s="1" t="str">
        <f>HYPERLINK("https://ipmanager.doe.gov/IPManager//ExternalLink.aspx?6ibkph2k9yi6F%2B0Vz7YoTo7DPLa3%2F%2FGghjQJ9%2BFvEas%3D","Link")</f>
        <v>Link</v>
      </c>
      <c r="B182" s="2" t="s">
        <v>685</v>
      </c>
      <c r="C182" s="2" t="s">
        <v>579</v>
      </c>
      <c r="D182" s="2" t="s">
        <v>580</v>
      </c>
      <c r="E182" s="2" t="s">
        <v>686</v>
      </c>
      <c r="F182" s="2" t="s">
        <v>687</v>
      </c>
      <c r="G182" s="2" t="s">
        <v>688</v>
      </c>
      <c r="H182" s="2">
        <v>9284783</v>
      </c>
      <c r="I182" s="2" t="s">
        <v>689</v>
      </c>
    </row>
    <row r="183" spans="1:9" ht="26" x14ac:dyDescent="0.3">
      <c r="A183" s="1" t="str">
        <f>HYPERLINK("https://ipmanager.doe.gov/IPManager//ExternalLink.aspx?6ibkph2k9yi6F%2B0Vz7YoTlNm8snv%2FZpHYSGgIO0dbC4%3D","Link")</f>
        <v>Link</v>
      </c>
      <c r="B183" s="2" t="s">
        <v>690</v>
      </c>
      <c r="C183" s="2" t="s">
        <v>579</v>
      </c>
      <c r="D183" s="2" t="s">
        <v>580</v>
      </c>
      <c r="E183" s="2" t="s">
        <v>691</v>
      </c>
      <c r="F183" s="2" t="s">
        <v>692</v>
      </c>
      <c r="G183" s="2" t="s">
        <v>693</v>
      </c>
      <c r="H183" s="2">
        <v>9242309</v>
      </c>
      <c r="I183" s="2" t="s">
        <v>584</v>
      </c>
    </row>
    <row r="184" spans="1:9" ht="52" x14ac:dyDescent="0.3">
      <c r="A184" s="1" t="str">
        <f>HYPERLINK("https://ipmanager.doe.gov/IPManager//ExternalLink.aspx?6ibkph2k9yi6F%2B0Vz7YoTjN2oADz%2F5MxThCCKykzI%2FA%3D","Link")</f>
        <v>Link</v>
      </c>
      <c r="B184" s="2" t="s">
        <v>1027</v>
      </c>
      <c r="C184" s="2" t="s">
        <v>970</v>
      </c>
      <c r="D184" s="2" t="s">
        <v>971</v>
      </c>
      <c r="E184" s="2" t="s">
        <v>1028</v>
      </c>
      <c r="F184" s="2" t="s">
        <v>1029</v>
      </c>
      <c r="G184" s="2" t="s">
        <v>1030</v>
      </c>
      <c r="H184" s="2"/>
      <c r="I184" s="2" t="s">
        <v>9</v>
      </c>
    </row>
    <row r="185" spans="1:9" ht="65" x14ac:dyDescent="0.3">
      <c r="A185" s="1" t="str">
        <f>HYPERLINK("https://ipmanager.doe.gov/IPManager//ExternalLink.aspx?6ibkph2k9yi6F%2B0Vz7YoTjnDGhmGHGI7QQKyV46iVCY%3D","Link")</f>
        <v>Link</v>
      </c>
      <c r="B185" s="2" t="s">
        <v>697</v>
      </c>
      <c r="C185" s="2" t="s">
        <v>579</v>
      </c>
      <c r="D185" s="2" t="s">
        <v>580</v>
      </c>
      <c r="E185" s="2" t="s">
        <v>698</v>
      </c>
      <c r="F185" s="2" t="s">
        <v>699</v>
      </c>
      <c r="G185" s="2" t="s">
        <v>700</v>
      </c>
      <c r="H185" s="2">
        <v>8997894</v>
      </c>
      <c r="I185" s="2" t="s">
        <v>437</v>
      </c>
    </row>
    <row r="186" spans="1:9" ht="52" x14ac:dyDescent="0.3">
      <c r="A186" s="1" t="str">
        <f>HYPERLINK("https://ipmanager.doe.gov/IPManager//ExternalLink.aspx?6ibkph2k9yi6F%2B0Vz7YoTjnDGhmGHGI715WlwnkZJok%3D","Link")</f>
        <v>Link</v>
      </c>
      <c r="B186" s="2" t="s">
        <v>705</v>
      </c>
      <c r="C186" s="2" t="s">
        <v>579</v>
      </c>
      <c r="D186" s="2" t="s">
        <v>580</v>
      </c>
      <c r="E186" s="2" t="s">
        <v>706</v>
      </c>
      <c r="F186" s="2" t="s">
        <v>707</v>
      </c>
      <c r="G186" s="2" t="s">
        <v>679</v>
      </c>
      <c r="H186" s="2">
        <v>8662160</v>
      </c>
      <c r="I186" s="2" t="s">
        <v>708</v>
      </c>
    </row>
    <row r="187" spans="1:9" ht="26" x14ac:dyDescent="0.3">
      <c r="A187" s="1" t="str">
        <f>HYPERLINK("https://ipmanager.doe.gov/IPManager//ExternalLink.aspx?6ibkph2k9yi6F%2B0Vz7YoTjN2oADz%2F5MxAGHWEXe2bZ8%3D","Link")</f>
        <v>Link</v>
      </c>
      <c r="B187" s="2" t="s">
        <v>709</v>
      </c>
      <c r="C187" s="2" t="s">
        <v>579</v>
      </c>
      <c r="D187" s="2" t="s">
        <v>580</v>
      </c>
      <c r="E187" s="2" t="s">
        <v>710</v>
      </c>
      <c r="F187" s="2" t="s">
        <v>711</v>
      </c>
      <c r="G187" s="2" t="s">
        <v>712</v>
      </c>
      <c r="H187" s="2">
        <v>8627901</v>
      </c>
      <c r="I187" s="2" t="s">
        <v>713</v>
      </c>
    </row>
    <row r="188" spans="1:9" ht="65" x14ac:dyDescent="0.3">
      <c r="A188" s="1" t="str">
        <f>HYPERLINK("https://ipmanager.doe.gov/IPManager//ExternalLink.aspx?6ibkph2k9yi6F%2B0Vz7YoTjN2oADz%2F5MxYgRahxhmLC4%3D","Link")</f>
        <v>Link</v>
      </c>
      <c r="B188" s="2" t="s">
        <v>714</v>
      </c>
      <c r="C188" s="2" t="s">
        <v>579</v>
      </c>
      <c r="D188" s="2" t="s">
        <v>580</v>
      </c>
      <c r="E188" s="2" t="s">
        <v>715</v>
      </c>
      <c r="F188" s="2" t="s">
        <v>716</v>
      </c>
      <c r="G188" s="2" t="s">
        <v>717</v>
      </c>
      <c r="H188" s="2">
        <v>8879876</v>
      </c>
      <c r="I188" s="2" t="s">
        <v>461</v>
      </c>
    </row>
    <row r="189" spans="1:9" ht="52" x14ac:dyDescent="0.3">
      <c r="A189" s="1" t="str">
        <f>HYPERLINK("https://ipmanager.doe.gov/IPManager//ExternalLink.aspx?6ibkph2k9yi6F%2B0Vz7YoTjN2oADz%2F5MxIkzClWBAFYA%3D","Link")</f>
        <v>Link</v>
      </c>
      <c r="B189" s="2" t="s">
        <v>718</v>
      </c>
      <c r="C189" s="2" t="s">
        <v>579</v>
      </c>
      <c r="D189" s="2" t="s">
        <v>580</v>
      </c>
      <c r="E189" s="2" t="s">
        <v>719</v>
      </c>
      <c r="F189" s="2" t="s">
        <v>720</v>
      </c>
      <c r="G189" s="2" t="s">
        <v>704</v>
      </c>
      <c r="H189" s="2">
        <v>8636085</v>
      </c>
      <c r="I189" s="2" t="s">
        <v>259</v>
      </c>
    </row>
    <row r="190" spans="1:9" ht="52" x14ac:dyDescent="0.3">
      <c r="A190" s="1" t="str">
        <f>HYPERLINK("https://ipmanager.doe.gov/IPManager//ExternalLink.aspx?6ibkph2k9yi6F%2B0Vz7YoTjN2oADz%2F5Mxgp2AM6NfHg0%3D","Link")</f>
        <v>Link</v>
      </c>
      <c r="B190" s="2" t="s">
        <v>721</v>
      </c>
      <c r="C190" s="2" t="s">
        <v>579</v>
      </c>
      <c r="D190" s="2" t="s">
        <v>580</v>
      </c>
      <c r="E190" s="2" t="s">
        <v>722</v>
      </c>
      <c r="F190" s="2" t="s">
        <v>723</v>
      </c>
      <c r="G190" s="2" t="s">
        <v>704</v>
      </c>
      <c r="H190" s="2">
        <v>8826973</v>
      </c>
      <c r="I190" s="2" t="s">
        <v>724</v>
      </c>
    </row>
    <row r="191" spans="1:9" ht="39" x14ac:dyDescent="0.3">
      <c r="A191" s="1" t="str">
        <f>HYPERLINK("https://ipmanager.doe.gov/IPManager//ExternalLink.aspx?6ibkph2k9yi6F%2B0Vz7YoTjN2oADz%2F5MxjLiPqUAcrzY%3D","Link")</f>
        <v>Link</v>
      </c>
      <c r="B191" s="2" t="s">
        <v>725</v>
      </c>
      <c r="C191" s="2" t="s">
        <v>579</v>
      </c>
      <c r="D191" s="2" t="s">
        <v>580</v>
      </c>
      <c r="E191" s="2" t="s">
        <v>726</v>
      </c>
      <c r="F191" s="2" t="s">
        <v>727</v>
      </c>
      <c r="G191" s="2" t="s">
        <v>704</v>
      </c>
      <c r="H191" s="2">
        <v>8820434</v>
      </c>
      <c r="I191" s="2" t="s">
        <v>728</v>
      </c>
    </row>
    <row r="192" spans="1:9" ht="65" x14ac:dyDescent="0.3">
      <c r="A192" s="1" t="str">
        <f>HYPERLINK("https://ipmanager.doe.gov/IPManager//ExternalLink.aspx?6ibkph2k9yi6F%2B0Vz7YoTn4YCwUxBRoJTz48BL9FQWQ%3D","Link")</f>
        <v>Link</v>
      </c>
      <c r="B192" s="2" t="s">
        <v>729</v>
      </c>
      <c r="C192" s="2" t="s">
        <v>579</v>
      </c>
      <c r="D192" s="2" t="s">
        <v>580</v>
      </c>
      <c r="E192" s="2" t="s">
        <v>698</v>
      </c>
      <c r="F192" s="2" t="s">
        <v>701</v>
      </c>
      <c r="G192" s="2" t="s">
        <v>730</v>
      </c>
      <c r="H192" s="2">
        <v>8511401</v>
      </c>
      <c r="I192" s="2" t="s">
        <v>702</v>
      </c>
    </row>
    <row r="193" spans="1:9" ht="52" x14ac:dyDescent="0.3">
      <c r="A193" s="1" t="str">
        <f>HYPERLINK("https://ipmanager.doe.gov/IPManager//ExternalLink.aspx?6ibkph2k9yi6F%2B0Vz7YoTvPUg%2FVZPl3iiBRL4gWTv1M%3D","Link")</f>
        <v>Link</v>
      </c>
      <c r="B193" s="2" t="s">
        <v>731</v>
      </c>
      <c r="C193" s="2" t="s">
        <v>579</v>
      </c>
      <c r="D193" s="2" t="s">
        <v>580</v>
      </c>
      <c r="E193" s="2" t="s">
        <v>719</v>
      </c>
      <c r="F193" s="2" t="s">
        <v>732</v>
      </c>
      <c r="G193" s="2" t="s">
        <v>733</v>
      </c>
      <c r="H193" s="2">
        <v>9512679</v>
      </c>
      <c r="I193" s="2" t="s">
        <v>734</v>
      </c>
    </row>
    <row r="194" spans="1:9" ht="26" x14ac:dyDescent="0.3">
      <c r="A194" s="1" t="str">
        <f>HYPERLINK("https://ipmanager.doe.gov/IPManager//ExternalLink.aspx?6ibkph2k9yi6F%2B0Vz7YoTvPUg%2FVZPl3inRtbPWeLM30%3D","Link")</f>
        <v>Link</v>
      </c>
      <c r="B194" s="2" t="s">
        <v>735</v>
      </c>
      <c r="C194" s="2" t="s">
        <v>579</v>
      </c>
      <c r="D194" s="2" t="s">
        <v>580</v>
      </c>
      <c r="E194" s="2" t="s">
        <v>736</v>
      </c>
      <c r="F194" s="2" t="s">
        <v>737</v>
      </c>
      <c r="G194" s="2" t="s">
        <v>738</v>
      </c>
      <c r="H194" s="2" t="s">
        <v>739</v>
      </c>
      <c r="I194" s="2" t="s">
        <v>740</v>
      </c>
    </row>
    <row r="195" spans="1:9" ht="39" x14ac:dyDescent="0.3">
      <c r="A195" s="1" t="str">
        <f>HYPERLINK("https://ipmanager.doe.gov/IPManager//ExternalLink.aspx?6ibkph2k9yi6F%2B0Vz7YoTjnDGhmGHGI7YwFmrP4VXhU%3D","Link")</f>
        <v>Link</v>
      </c>
      <c r="B195" s="2" t="s">
        <v>741</v>
      </c>
      <c r="C195" s="2" t="s">
        <v>579</v>
      </c>
      <c r="D195" s="2" t="s">
        <v>580</v>
      </c>
      <c r="E195" s="2" t="s">
        <v>742</v>
      </c>
      <c r="F195" s="2" t="s">
        <v>703</v>
      </c>
      <c r="G195" s="2" t="s">
        <v>704</v>
      </c>
      <c r="H195" s="2">
        <v>8424617</v>
      </c>
      <c r="I195" s="2" t="s">
        <v>317</v>
      </c>
    </row>
    <row r="196" spans="1:9" ht="52" x14ac:dyDescent="0.3">
      <c r="A196" s="1" t="str">
        <f>HYPERLINK("https://ipmanager.doe.gov/IPManager//ExternalLink.aspx?6ibkph2k9yi6F%2B0Vz7YoTjnDGhmGHGI7KRjiizGCB2A%3D","Link")</f>
        <v>Link</v>
      </c>
      <c r="B196" s="2" t="s">
        <v>743</v>
      </c>
      <c r="C196" s="2" t="s">
        <v>579</v>
      </c>
      <c r="D196" s="2" t="s">
        <v>580</v>
      </c>
      <c r="E196" s="2" t="s">
        <v>744</v>
      </c>
      <c r="F196" s="2" t="s">
        <v>745</v>
      </c>
      <c r="G196" s="2" t="s">
        <v>746</v>
      </c>
      <c r="H196" s="2">
        <v>8701794</v>
      </c>
      <c r="I196" s="2" t="s">
        <v>747</v>
      </c>
    </row>
    <row r="197" spans="1:9" ht="52" x14ac:dyDescent="0.3">
      <c r="A197" s="1" t="str">
        <f>HYPERLINK("https://ipmanager.doe.gov/IPManager//ExternalLink.aspx?6ibkph2k9yi6F%2B0Vz7YoTjnDGhmGHGI7Qv4aMow%2B97A%3D","Link")</f>
        <v>Link</v>
      </c>
      <c r="B197" s="2" t="s">
        <v>748</v>
      </c>
      <c r="C197" s="2" t="s">
        <v>579</v>
      </c>
      <c r="D197" s="2" t="s">
        <v>580</v>
      </c>
      <c r="E197" s="2" t="s">
        <v>749</v>
      </c>
      <c r="F197" s="2" t="s">
        <v>750</v>
      </c>
      <c r="G197" s="2" t="s">
        <v>746</v>
      </c>
      <c r="H197" s="2">
        <v>8869914</v>
      </c>
      <c r="I197" s="2" t="s">
        <v>751</v>
      </c>
    </row>
    <row r="198" spans="1:9" ht="52" x14ac:dyDescent="0.3">
      <c r="A198" s="1" t="str">
        <f>HYPERLINK("https://ipmanager.doe.gov/IPManager//ExternalLink.aspx?6ibkph2k9yi6F%2B0Vz7YoTjnDGhmGHGI7f2SLfe1RuAE%3D","Link")</f>
        <v>Link</v>
      </c>
      <c r="B198" s="2" t="s">
        <v>752</v>
      </c>
      <c r="C198" s="2" t="s">
        <v>579</v>
      </c>
      <c r="D198" s="2" t="s">
        <v>580</v>
      </c>
      <c r="E198" s="2" t="s">
        <v>753</v>
      </c>
      <c r="F198" s="2" t="s">
        <v>754</v>
      </c>
      <c r="G198" s="2" t="s">
        <v>746</v>
      </c>
      <c r="H198" s="2">
        <v>8936108</v>
      </c>
      <c r="I198" s="2" t="s">
        <v>755</v>
      </c>
    </row>
    <row r="199" spans="1:9" ht="65" x14ac:dyDescent="0.3">
      <c r="A199" s="1" t="str">
        <f>HYPERLINK("https://ipmanager.doe.gov/IPManager//ExternalLink.aspx?6ibkph2k9yi6F%2B0Vz7YoTjnDGhmGHGI7XEt7xk5bt38%3D","Link")</f>
        <v>Link</v>
      </c>
      <c r="B199" s="2" t="s">
        <v>756</v>
      </c>
      <c r="C199" s="2" t="s">
        <v>579</v>
      </c>
      <c r="D199" s="2" t="s">
        <v>580</v>
      </c>
      <c r="E199" s="2" t="s">
        <v>757</v>
      </c>
      <c r="F199" s="2" t="s">
        <v>758</v>
      </c>
      <c r="G199" s="2" t="s">
        <v>746</v>
      </c>
      <c r="H199" s="2">
        <v>8757292</v>
      </c>
      <c r="I199" s="2" t="s">
        <v>759</v>
      </c>
    </row>
    <row r="200" spans="1:9" ht="65" x14ac:dyDescent="0.3">
      <c r="A200" s="1" t="str">
        <f>HYPERLINK("https://ipmanager.doe.gov/IPManager//ExternalLink.aspx?6ibkph2k9yi6F%2B0Vz7YoTjnDGhmGHGI7R9jjhEYxAOs%3D","Link")</f>
        <v>Link</v>
      </c>
      <c r="B200" s="2" t="s">
        <v>760</v>
      </c>
      <c r="C200" s="2" t="s">
        <v>579</v>
      </c>
      <c r="D200" s="2" t="s">
        <v>580</v>
      </c>
      <c r="E200" s="2" t="s">
        <v>715</v>
      </c>
      <c r="F200" s="2" t="s">
        <v>604</v>
      </c>
      <c r="G200" s="2" t="s">
        <v>605</v>
      </c>
      <c r="H200" s="2">
        <v>8571368</v>
      </c>
      <c r="I200" s="2" t="s">
        <v>606</v>
      </c>
    </row>
    <row r="201" spans="1:9" ht="26" x14ac:dyDescent="0.3">
      <c r="A201" s="1" t="str">
        <f>HYPERLINK("https://ipmanager.doe.gov/IPManager//ExternalLink.aspx?6ibkph2k9yi6F%2B0Vz7YoTsTAnuFk5EoAdBOy0Wlrcak%3D","Link")</f>
        <v>Link</v>
      </c>
      <c r="B201" s="2" t="s">
        <v>761</v>
      </c>
      <c r="C201" s="2" t="s">
        <v>762</v>
      </c>
      <c r="D201" s="2" t="s">
        <v>763</v>
      </c>
      <c r="E201" s="2" t="s">
        <v>764</v>
      </c>
      <c r="F201" s="2" t="s">
        <v>765</v>
      </c>
      <c r="G201" s="2" t="s">
        <v>766</v>
      </c>
      <c r="H201" s="2">
        <v>8505858</v>
      </c>
      <c r="I201" s="2" t="s">
        <v>767</v>
      </c>
    </row>
    <row r="202" spans="1:9" ht="39" x14ac:dyDescent="0.3">
      <c r="A202" s="1" t="str">
        <f>HYPERLINK("https://ipmanager.doe.gov/IPManager//ExternalLink.aspx?6ibkph2k9yi6F%2B0Vz7YoTipZ798QK%2BbPxlC%2FmHLj%2BCQ%3D","Link")</f>
        <v>Link</v>
      </c>
      <c r="B202" s="2" t="s">
        <v>768</v>
      </c>
      <c r="C202" s="2" t="s">
        <v>769</v>
      </c>
      <c r="D202" s="2" t="s">
        <v>770</v>
      </c>
      <c r="E202" s="2" t="s">
        <v>771</v>
      </c>
      <c r="F202" s="2" t="s">
        <v>772</v>
      </c>
      <c r="G202" s="2" t="s">
        <v>773</v>
      </c>
      <c r="H202" s="2">
        <v>9000713</v>
      </c>
      <c r="I202" s="2" t="s">
        <v>437</v>
      </c>
    </row>
    <row r="203" spans="1:9" ht="39" x14ac:dyDescent="0.3">
      <c r="A203" s="1" t="str">
        <f>HYPERLINK("https://ipmanager.doe.gov/IPManager//ExternalLink.aspx?6ibkph2k9yi6F%2B0Vz7YoTlNm8snv%2FZpH3uO%2BrKaBrGE%3D","Link")</f>
        <v>Link</v>
      </c>
      <c r="B203" s="2" t="s">
        <v>1032</v>
      </c>
      <c r="C203" s="2" t="s">
        <v>970</v>
      </c>
      <c r="D203" s="2" t="s">
        <v>971</v>
      </c>
      <c r="E203" s="2" t="s">
        <v>1033</v>
      </c>
      <c r="F203" s="2" t="s">
        <v>1034</v>
      </c>
      <c r="G203" s="2" t="s">
        <v>1035</v>
      </c>
      <c r="H203" s="2"/>
      <c r="I203" s="2" t="s">
        <v>9</v>
      </c>
    </row>
    <row r="204" spans="1:9" ht="39" x14ac:dyDescent="0.3">
      <c r="A204" s="1" t="str">
        <f>HYPERLINK("https://ipmanager.doe.gov/IPManager//ExternalLink.aspx?6ibkph2k9yi6F%2B0Vz7YoTipZ798QK%2BbPHewpfn%2FTy0k%3D","Link")</f>
        <v>Link</v>
      </c>
      <c r="B204" s="2" t="s">
        <v>777</v>
      </c>
      <c r="C204" s="2" t="s">
        <v>769</v>
      </c>
      <c r="D204" s="2" t="s">
        <v>778</v>
      </c>
      <c r="E204" s="2" t="s">
        <v>779</v>
      </c>
      <c r="F204" s="2"/>
      <c r="G204" s="2" t="s">
        <v>9</v>
      </c>
      <c r="H204" s="2"/>
      <c r="I204" s="2" t="s">
        <v>9</v>
      </c>
    </row>
    <row r="205" spans="1:9" ht="39" x14ac:dyDescent="0.3">
      <c r="A205" s="1" t="str">
        <f>HYPERLINK("https://ipmanager.doe.gov/IPManager//ExternalLink.aspx?6ibkph2k9yi6F%2B0Vz7YoTk2BI6w%2FjZ2f5PrgXqTq%2BCc%3D","Link")</f>
        <v>Link</v>
      </c>
      <c r="B205" s="2" t="s">
        <v>780</v>
      </c>
      <c r="C205" s="2" t="s">
        <v>769</v>
      </c>
      <c r="D205" s="2" t="s">
        <v>135</v>
      </c>
      <c r="E205" s="2" t="s">
        <v>781</v>
      </c>
      <c r="F205" s="2"/>
      <c r="G205" s="2" t="s">
        <v>9</v>
      </c>
      <c r="H205" s="2"/>
      <c r="I205" s="2" t="s">
        <v>9</v>
      </c>
    </row>
    <row r="206" spans="1:9" ht="39" x14ac:dyDescent="0.3">
      <c r="A206" s="1" t="str">
        <f>HYPERLINK("https://ipmanager.doe.gov/IPManager//ExternalLink.aspx?6ibkph2k9yi6F%2B0Vz7YoTipZ798QK%2BbPH9fJobsylkI%3D","Link")</f>
        <v>Link</v>
      </c>
      <c r="B206" s="2" t="s">
        <v>782</v>
      </c>
      <c r="C206" s="2" t="s">
        <v>769</v>
      </c>
      <c r="D206" s="2" t="s">
        <v>770</v>
      </c>
      <c r="E206" s="2" t="s">
        <v>783</v>
      </c>
      <c r="F206" s="2" t="s">
        <v>784</v>
      </c>
      <c r="G206" s="2" t="s">
        <v>785</v>
      </c>
      <c r="H206" s="2"/>
      <c r="I206" s="2" t="s">
        <v>9</v>
      </c>
    </row>
    <row r="207" spans="1:9" ht="39" x14ac:dyDescent="0.3">
      <c r="A207" s="1" t="str">
        <f>HYPERLINK("https://ipmanager.doe.gov/IPManager//ExternalLink.aspx?6ibkph2k9yi6F%2B0Vz7YoTipZ798QK%2BbPFTI6OHrDZGc%3D","Link")</f>
        <v>Link</v>
      </c>
      <c r="B207" s="2" t="s">
        <v>786</v>
      </c>
      <c r="C207" s="2" t="s">
        <v>769</v>
      </c>
      <c r="D207" s="2" t="s">
        <v>770</v>
      </c>
      <c r="E207" s="2" t="s">
        <v>787</v>
      </c>
      <c r="F207" s="2"/>
      <c r="G207" s="2" t="s">
        <v>9</v>
      </c>
      <c r="H207" s="2"/>
      <c r="I207" s="2" t="s">
        <v>9</v>
      </c>
    </row>
    <row r="208" spans="1:9" ht="39" x14ac:dyDescent="0.3">
      <c r="A208" s="1" t="str">
        <f>HYPERLINK("https://ipmanager.doe.gov/IPManager//ExternalLink.aspx?6ibkph2k9yi6F%2B0Vz7YoTipZ798QK%2BbPqwOAZqJtgFY%3D","Link")</f>
        <v>Link</v>
      </c>
      <c r="B208" s="2" t="s">
        <v>789</v>
      </c>
      <c r="C208" s="2" t="s">
        <v>769</v>
      </c>
      <c r="D208" s="2" t="s">
        <v>770</v>
      </c>
      <c r="E208" s="2" t="s">
        <v>790</v>
      </c>
      <c r="F208" s="2" t="s">
        <v>791</v>
      </c>
      <c r="G208" s="2" t="s">
        <v>792</v>
      </c>
      <c r="H208" s="2">
        <v>9153803</v>
      </c>
      <c r="I208" s="2" t="s">
        <v>794</v>
      </c>
    </row>
    <row r="209" spans="1:9" ht="52" x14ac:dyDescent="0.3">
      <c r="A209" s="1" t="str">
        <f>HYPERLINK("https://ipmanager.doe.gov/IPManager//ExternalLink.aspx?6ibkph2k9yi6F%2B0Vz7YoTjnDGhmGHGI7sDFs3n%2FgQ2M%3D","Link")</f>
        <v>Link</v>
      </c>
      <c r="B209" s="2" t="s">
        <v>4611</v>
      </c>
      <c r="C209" s="2" t="s">
        <v>4612</v>
      </c>
      <c r="D209" s="2" t="s">
        <v>971</v>
      </c>
      <c r="E209" s="2" t="s">
        <v>4613</v>
      </c>
      <c r="F209" s="2" t="s">
        <v>4614</v>
      </c>
      <c r="G209" s="2" t="s">
        <v>1149</v>
      </c>
      <c r="H209" s="2"/>
      <c r="I209" s="2" t="s">
        <v>9</v>
      </c>
    </row>
    <row r="210" spans="1:9" ht="39" x14ac:dyDescent="0.3">
      <c r="A210" s="1" t="str">
        <f>HYPERLINK("https://ipmanager.doe.gov/IPManager//ExternalLink.aspx?6ibkph2k9yi6F%2B0Vz7YoTjnDGhmGHGI7MYLvBIpOZm4%3D","Link")</f>
        <v>Link</v>
      </c>
      <c r="B210" s="2" t="s">
        <v>4615</v>
      </c>
      <c r="C210" s="2" t="s">
        <v>4612</v>
      </c>
      <c r="D210" s="2" t="s">
        <v>971</v>
      </c>
      <c r="E210" s="2" t="s">
        <v>4616</v>
      </c>
      <c r="F210" s="2" t="s">
        <v>4617</v>
      </c>
      <c r="G210" s="2" t="s">
        <v>1149</v>
      </c>
      <c r="H210" s="2"/>
      <c r="I210" s="2" t="s">
        <v>9</v>
      </c>
    </row>
    <row r="211" spans="1:9" ht="39" x14ac:dyDescent="0.3">
      <c r="A211" s="1" t="str">
        <f>HYPERLINK("https://ipmanager.doe.gov/IPManager//ExternalLink.aspx?6ibkph2k9yi6F%2B0Vz7YoTkqAgjuWMa9QC3gNXdzo6ps%3D","Link")</f>
        <v>Link</v>
      </c>
      <c r="B211" s="2" t="s">
        <v>514</v>
      </c>
      <c r="C211" s="2" t="s">
        <v>463</v>
      </c>
      <c r="D211" s="2" t="s">
        <v>135</v>
      </c>
      <c r="E211" s="2" t="s">
        <v>491</v>
      </c>
      <c r="F211" s="2" t="s">
        <v>515</v>
      </c>
      <c r="G211" s="2" t="s">
        <v>493</v>
      </c>
      <c r="H211" s="2"/>
      <c r="I211" s="2" t="s">
        <v>9</v>
      </c>
    </row>
    <row r="212" spans="1:9" ht="39" x14ac:dyDescent="0.3">
      <c r="A212" s="1" t="str">
        <f>HYPERLINK("https://ipmanager.doe.gov/IPManager//ExternalLink.aspx?6ibkph2k9yi6F%2B0Vz7YoTkqAgjuWMa9Qci%2BjzwR6MDo%3D","Link")</f>
        <v>Link</v>
      </c>
      <c r="B212" s="2" t="s">
        <v>516</v>
      </c>
      <c r="C212" s="2" t="s">
        <v>463</v>
      </c>
      <c r="D212" s="2" t="s">
        <v>135</v>
      </c>
      <c r="E212" s="2" t="s">
        <v>491</v>
      </c>
      <c r="F212" s="2" t="s">
        <v>517</v>
      </c>
      <c r="G212" s="2" t="s">
        <v>493</v>
      </c>
      <c r="H212" s="2"/>
      <c r="I212" s="2" t="s">
        <v>9</v>
      </c>
    </row>
    <row r="213" spans="1:9" ht="52" x14ac:dyDescent="0.3">
      <c r="A213" s="1" t="str">
        <f>HYPERLINK("https://ipmanager.doe.gov/IPManager//ExternalLink.aspx?6ibkph2k9yi6F%2B0Vz7YoTo7DPLa3%2F%2FGgN%2FoATyiGpeI%3D","Link")</f>
        <v>Link</v>
      </c>
      <c r="B213" s="2" t="s">
        <v>5303</v>
      </c>
      <c r="C213" s="2" t="s">
        <v>5304</v>
      </c>
      <c r="D213" s="2" t="s">
        <v>135</v>
      </c>
      <c r="E213" s="2" t="s">
        <v>5305</v>
      </c>
      <c r="F213" s="2" t="s">
        <v>5306</v>
      </c>
      <c r="G213" s="2" t="s">
        <v>5307</v>
      </c>
      <c r="H213" s="2"/>
      <c r="I213" s="2" t="s">
        <v>9</v>
      </c>
    </row>
    <row r="214" spans="1:9" ht="52" x14ac:dyDescent="0.3">
      <c r="A214" s="1" t="str">
        <f>HYPERLINK("https://ipmanager.doe.gov/IPManager//ExternalLink.aspx?6ibkph2k9yi6F%2B0Vz7YoTvPUg%2FVZPl3iKDoDXRwNieA%3D","Link")</f>
        <v>Link</v>
      </c>
      <c r="B214" s="2" t="s">
        <v>5334</v>
      </c>
      <c r="C214" s="2" t="s">
        <v>5335</v>
      </c>
      <c r="D214" s="2" t="s">
        <v>135</v>
      </c>
      <c r="E214" s="2" t="s">
        <v>5336</v>
      </c>
      <c r="F214" s="2" t="s">
        <v>5337</v>
      </c>
      <c r="G214" s="2" t="s">
        <v>3082</v>
      </c>
      <c r="H214" s="2"/>
      <c r="I214" s="2" t="s">
        <v>9</v>
      </c>
    </row>
    <row r="215" spans="1:9" ht="52" x14ac:dyDescent="0.3">
      <c r="A215" s="1" t="str">
        <f>HYPERLINK("https://ipmanager.doe.gov/IPManager//ExternalLink.aspx?6ibkph2k9yi6F%2B0Vz7YoTjnDGhmGHGI7siksYdOjSIk%3D","Link")</f>
        <v>Link</v>
      </c>
      <c r="B215" s="2" t="s">
        <v>5341</v>
      </c>
      <c r="C215" s="2" t="s">
        <v>5335</v>
      </c>
      <c r="D215" s="2" t="s">
        <v>135</v>
      </c>
      <c r="E215" s="2" t="s">
        <v>5336</v>
      </c>
      <c r="F215" s="2" t="s">
        <v>5342</v>
      </c>
      <c r="G215" s="2" t="s">
        <v>507</v>
      </c>
      <c r="H215" s="2"/>
      <c r="I215" s="2" t="s">
        <v>9</v>
      </c>
    </row>
    <row r="216" spans="1:9" ht="26" x14ac:dyDescent="0.3">
      <c r="A216" s="1" t="str">
        <f>HYPERLINK("https://ipmanager.doe.gov/IPManager//ExternalLink.aspx?6ibkph2k9yi6F%2B0Vz7YoTipZ798QK%2BbPXnyceUzN5Do%3D","Link")</f>
        <v>Link</v>
      </c>
      <c r="B216" s="2" t="s">
        <v>819</v>
      </c>
      <c r="C216" s="2" t="s">
        <v>820</v>
      </c>
      <c r="D216" s="2" t="s">
        <v>12</v>
      </c>
      <c r="E216" s="2" t="s">
        <v>821</v>
      </c>
      <c r="F216" s="2" t="s">
        <v>822</v>
      </c>
      <c r="G216" s="2" t="s">
        <v>823</v>
      </c>
      <c r="H216" s="2"/>
      <c r="I216" s="2" t="s">
        <v>9</v>
      </c>
    </row>
    <row r="217" spans="1:9" ht="26" x14ac:dyDescent="0.3">
      <c r="A217" s="1" t="str">
        <f>HYPERLINK("https://ipmanager.doe.gov/IPManager//ExternalLink.aspx?6ibkph2k9yi6F%2B0Vz7YoTipZ798QK%2BbPNw5IKaMbpR4%3D","Link")</f>
        <v>Link</v>
      </c>
      <c r="B217" s="2" t="s">
        <v>824</v>
      </c>
      <c r="C217" s="2" t="s">
        <v>820</v>
      </c>
      <c r="D217" s="2" t="s">
        <v>12</v>
      </c>
      <c r="E217" s="2" t="s">
        <v>825</v>
      </c>
      <c r="F217" s="2"/>
      <c r="G217" s="2" t="s">
        <v>9</v>
      </c>
      <c r="H217" s="2"/>
      <c r="I217" s="2" t="s">
        <v>9</v>
      </c>
    </row>
    <row r="218" spans="1:9" ht="65" x14ac:dyDescent="0.3">
      <c r="A218" s="1" t="str">
        <f>HYPERLINK("https://ipmanager.doe.gov/IPManager//ExternalLink.aspx?6ibkph2k9yi6F%2B0Vz7YoTjnDGhmGHGI7bJreqH%2FfuC4%3D","Link")</f>
        <v>Link</v>
      </c>
      <c r="B218" s="2" t="s">
        <v>826</v>
      </c>
      <c r="C218" s="2" t="s">
        <v>820</v>
      </c>
      <c r="D218" s="2" t="s">
        <v>770</v>
      </c>
      <c r="E218" s="2" t="s">
        <v>827</v>
      </c>
      <c r="F218" s="2"/>
      <c r="G218" s="2" t="s">
        <v>9</v>
      </c>
      <c r="H218" s="2"/>
      <c r="I218" s="2" t="s">
        <v>9</v>
      </c>
    </row>
    <row r="219" spans="1:9" ht="39" x14ac:dyDescent="0.3">
      <c r="A219" s="1" t="str">
        <f>HYPERLINK("https://ipmanager.doe.gov/IPManager//ExternalLink.aspx?6ibkph2k9yi6F%2B0Vz7YoTjnDGhmGHGI7l1jmskpsTVo%3D","Link")</f>
        <v>Link</v>
      </c>
      <c r="B219" s="2" t="s">
        <v>828</v>
      </c>
      <c r="C219" s="2" t="s">
        <v>820</v>
      </c>
      <c r="D219" s="2" t="s">
        <v>770</v>
      </c>
      <c r="E219" s="2" t="s">
        <v>829</v>
      </c>
      <c r="F219" s="2"/>
      <c r="G219" s="2" t="s">
        <v>9</v>
      </c>
      <c r="H219" s="2"/>
      <c r="I219" s="2" t="s">
        <v>9</v>
      </c>
    </row>
    <row r="220" spans="1:9" ht="65" x14ac:dyDescent="0.3">
      <c r="A220" s="1" t="str">
        <f>HYPERLINK("https://ipmanager.doe.gov/IPManager//ExternalLink.aspx?6ibkph2k9yi6F%2B0Vz7YoTr7J5I%2BY4foYKatjT06OdDw%3D","Link")</f>
        <v>Link</v>
      </c>
      <c r="B220" s="2" t="s">
        <v>830</v>
      </c>
      <c r="C220" s="2" t="s">
        <v>831</v>
      </c>
      <c r="D220" s="2" t="s">
        <v>770</v>
      </c>
      <c r="E220" s="2" t="s">
        <v>832</v>
      </c>
      <c r="F220" s="2"/>
      <c r="G220" s="2" t="s">
        <v>9</v>
      </c>
      <c r="H220" s="2"/>
      <c r="I220" s="2" t="s">
        <v>9</v>
      </c>
    </row>
    <row r="221" spans="1:9" ht="91" x14ac:dyDescent="0.3">
      <c r="A221" s="1" t="str">
        <f>HYPERLINK("https://ipmanager.doe.gov/IPManager//ExternalLink.aspx?6ibkph2k9yi6F%2B0Vz7YoTipZ798QK%2BbPac0ofICNSoM%3D","Link")</f>
        <v>Link</v>
      </c>
      <c r="B221" s="2" t="s">
        <v>833</v>
      </c>
      <c r="C221" s="2" t="s">
        <v>831</v>
      </c>
      <c r="D221" s="2" t="s">
        <v>770</v>
      </c>
      <c r="E221" s="2" t="s">
        <v>834</v>
      </c>
      <c r="F221" s="2" t="s">
        <v>835</v>
      </c>
      <c r="G221" s="2" t="s">
        <v>836</v>
      </c>
      <c r="H221" s="2">
        <v>8951776</v>
      </c>
      <c r="I221" s="2" t="s">
        <v>837</v>
      </c>
    </row>
    <row r="222" spans="1:9" ht="52" x14ac:dyDescent="0.3">
      <c r="A222" s="1" t="str">
        <f>HYPERLINK("https://ipmanager.doe.gov/IPManager//ExternalLink.aspx?6ibkph2k9yi6F%2B0Vz7YoTnXVN2REjGcWfffLuqdFBeA%3D","Link")</f>
        <v>Link</v>
      </c>
      <c r="B222" s="2" t="s">
        <v>5468</v>
      </c>
      <c r="C222" s="2" t="s">
        <v>5469</v>
      </c>
      <c r="D222" s="2" t="s">
        <v>135</v>
      </c>
      <c r="E222" s="2" t="s">
        <v>5470</v>
      </c>
      <c r="F222" s="2" t="s">
        <v>5471</v>
      </c>
      <c r="G222" s="2" t="s">
        <v>5472</v>
      </c>
      <c r="H222" s="2"/>
      <c r="I222" s="2" t="s">
        <v>9</v>
      </c>
    </row>
    <row r="223" spans="1:9" ht="52" x14ac:dyDescent="0.3">
      <c r="A223" s="1" t="str">
        <f>HYPERLINK("https://ipmanager.doe.gov/IPManager//ExternalLink.aspx?6ibkph2k9yi6F%2B0Vz7YoTgZwfmYxrNyKFR9dcLdp%2FQg%3D","Link")</f>
        <v>Link</v>
      </c>
      <c r="B223" s="2" t="s">
        <v>5475</v>
      </c>
      <c r="C223" s="2" t="s">
        <v>5469</v>
      </c>
      <c r="D223" s="2" t="s">
        <v>135</v>
      </c>
      <c r="E223" s="2" t="s">
        <v>5476</v>
      </c>
      <c r="F223" s="2" t="s">
        <v>5477</v>
      </c>
      <c r="G223" s="2" t="s">
        <v>5478</v>
      </c>
      <c r="H223" s="2"/>
      <c r="I223" s="2" t="s">
        <v>9</v>
      </c>
    </row>
    <row r="224" spans="1:9" ht="52" x14ac:dyDescent="0.3">
      <c r="A224" s="1" t="str">
        <f>HYPERLINK("https://ipmanager.doe.gov/IPManager//ExternalLink.aspx?6ibkph2k9yi6F%2B0Vz7YoTipZ798QK%2BbPdCDjx%2Bs4QOI%3D","Link")</f>
        <v>Link</v>
      </c>
      <c r="B224" s="2" t="s">
        <v>848</v>
      </c>
      <c r="C224" s="2" t="s">
        <v>831</v>
      </c>
      <c r="D224" s="2" t="s">
        <v>770</v>
      </c>
      <c r="E224" s="2" t="s">
        <v>839</v>
      </c>
      <c r="F224" s="2" t="s">
        <v>849</v>
      </c>
      <c r="G224" s="2" t="s">
        <v>850</v>
      </c>
      <c r="H224" s="2">
        <v>9994876</v>
      </c>
      <c r="I224" s="2" t="s">
        <v>851</v>
      </c>
    </row>
    <row r="225" spans="1:9" ht="39" x14ac:dyDescent="0.3">
      <c r="A225" s="1" t="str">
        <f>HYPERLINK("https://ipmanager.doe.gov/IPManager//ExternalLink.aspx?6ibkph2k9yi6F%2B0Vz7YoTipZ798QK%2BbPjDwqGi6ZgWU%3D","Link")</f>
        <v>Link</v>
      </c>
      <c r="B225" s="2" t="s">
        <v>852</v>
      </c>
      <c r="C225" s="2" t="s">
        <v>831</v>
      </c>
      <c r="D225" s="2" t="s">
        <v>770</v>
      </c>
      <c r="E225" s="2" t="s">
        <v>853</v>
      </c>
      <c r="F225" s="2" t="s">
        <v>854</v>
      </c>
      <c r="G225" s="2" t="s">
        <v>847</v>
      </c>
      <c r="H225" s="2">
        <v>9096876</v>
      </c>
      <c r="I225" s="2" t="s">
        <v>855</v>
      </c>
    </row>
    <row r="226" spans="1:9" ht="91" x14ac:dyDescent="0.3">
      <c r="A226" s="1" t="str">
        <f>HYPERLINK("https://ipmanager.doe.gov/IPManager//ExternalLink.aspx?6ibkph2k9yi6F%2B0Vz7YoTjnDGhmGHGI7efi0o0KyjnU%3D","Link")</f>
        <v>Link</v>
      </c>
      <c r="B226" s="2" t="s">
        <v>856</v>
      </c>
      <c r="C226" s="2" t="s">
        <v>831</v>
      </c>
      <c r="D226" s="2" t="s">
        <v>770</v>
      </c>
      <c r="E226" s="2" t="s">
        <v>834</v>
      </c>
      <c r="F226" s="2" t="s">
        <v>857</v>
      </c>
      <c r="G226" s="2" t="s">
        <v>858</v>
      </c>
      <c r="H226" s="2"/>
      <c r="I226" s="2" t="s">
        <v>9</v>
      </c>
    </row>
    <row r="227" spans="1:9" ht="52" x14ac:dyDescent="0.3">
      <c r="A227" s="1" t="str">
        <f>HYPERLINK("https://ipmanager.doe.gov/IPManager//ExternalLink.aspx?6ibkph2k9yi6F%2B0Vz7YoTvE8yjoHgvp6oIrs5u6FhAE%3D","Link")</f>
        <v>Link</v>
      </c>
      <c r="B227" s="2" t="s">
        <v>6591</v>
      </c>
      <c r="C227" s="2" t="s">
        <v>6592</v>
      </c>
      <c r="D227" s="2" t="s">
        <v>135</v>
      </c>
      <c r="E227" s="2" t="s">
        <v>6593</v>
      </c>
      <c r="F227" s="2" t="s">
        <v>6594</v>
      </c>
      <c r="G227" s="2" t="s">
        <v>6595</v>
      </c>
      <c r="H227" s="2"/>
      <c r="I227" s="2" t="s">
        <v>9</v>
      </c>
    </row>
    <row r="228" spans="1:9" ht="52" x14ac:dyDescent="0.3">
      <c r="A228" s="1" t="str">
        <f>HYPERLINK("https://ipmanager.doe.gov/IPManager//ExternalLink.aspx?6ibkph2k9yi6F%2B0Vz7YoTkqAgjuWMa9QM6xS3Ja2M%2Bk%3D","Link")</f>
        <v>Link</v>
      </c>
      <c r="B228" s="2" t="s">
        <v>6596</v>
      </c>
      <c r="C228" s="2" t="s">
        <v>6592</v>
      </c>
      <c r="D228" s="2" t="s">
        <v>135</v>
      </c>
      <c r="E228" s="2" t="s">
        <v>6593</v>
      </c>
      <c r="F228" s="2" t="s">
        <v>6597</v>
      </c>
      <c r="G228" s="2" t="s">
        <v>6598</v>
      </c>
      <c r="H228" s="2"/>
      <c r="I228" s="2" t="s">
        <v>9</v>
      </c>
    </row>
    <row r="229" spans="1:9" ht="39" x14ac:dyDescent="0.3">
      <c r="A229" s="1" t="str">
        <f>HYPERLINK("https://ipmanager.doe.gov/IPManager//ExternalLink.aspx?6ibkph2k9yi6F%2B0Vz7YoTjnDGhmGHGI7NAxNopSp%2Bvs%3D","Link")</f>
        <v>Link</v>
      </c>
      <c r="B229" s="2" t="s">
        <v>1878</v>
      </c>
      <c r="C229" s="2" t="s">
        <v>1879</v>
      </c>
      <c r="D229" s="2" t="s">
        <v>1880</v>
      </c>
      <c r="E229" s="2" t="s">
        <v>1881</v>
      </c>
      <c r="F229" s="2" t="s">
        <v>1882</v>
      </c>
      <c r="G229" s="2" t="s">
        <v>1050</v>
      </c>
      <c r="H229" s="2"/>
      <c r="I229" s="2" t="s">
        <v>9</v>
      </c>
    </row>
    <row r="230" spans="1:9" ht="52" x14ac:dyDescent="0.3">
      <c r="A230" s="1" t="str">
        <f>HYPERLINK("https://ipmanager.doe.gov/IPManager//ExternalLink.aspx?6ibkph2k9yi6F%2B0Vz7YoThEBhkR3uHVr5FxrTYPjAwQ%3D","Link")</f>
        <v>Link</v>
      </c>
      <c r="B230" s="2" t="s">
        <v>866</v>
      </c>
      <c r="C230" s="2" t="s">
        <v>831</v>
      </c>
      <c r="D230" s="2" t="s">
        <v>770</v>
      </c>
      <c r="E230" s="2" t="s">
        <v>843</v>
      </c>
      <c r="F230" s="2" t="s">
        <v>846</v>
      </c>
      <c r="G230" s="2" t="s">
        <v>855</v>
      </c>
      <c r="H230" s="2">
        <v>9879248</v>
      </c>
      <c r="I230" s="2" t="s">
        <v>867</v>
      </c>
    </row>
    <row r="231" spans="1:9" ht="39" x14ac:dyDescent="0.3">
      <c r="A231" s="1" t="str">
        <f>HYPERLINK("https://ipmanager.doe.gov/IPManager//ExternalLink.aspx?6ibkph2k9yi6F%2B0Vz7YoTr7J5I%2BY4foYXMuNWSSOUvk%3D","Link")</f>
        <v>Link</v>
      </c>
      <c r="B231" s="2" t="s">
        <v>1886</v>
      </c>
      <c r="C231" s="2" t="s">
        <v>1879</v>
      </c>
      <c r="D231" s="2" t="s">
        <v>1880</v>
      </c>
      <c r="E231" s="2" t="s">
        <v>1887</v>
      </c>
      <c r="F231" s="2" t="s">
        <v>1888</v>
      </c>
      <c r="G231" s="2" t="s">
        <v>1883</v>
      </c>
      <c r="H231" s="2"/>
      <c r="I231" s="2" t="s">
        <v>9</v>
      </c>
    </row>
    <row r="232" spans="1:9" ht="78" x14ac:dyDescent="0.3">
      <c r="A232" s="1" t="str">
        <f>HYPERLINK("https://ipmanager.doe.gov/IPManager//ExternalLink.aspx?6ibkph2k9yi6F%2B0Vz7YoTq6RR9BlGHHilBpzDZSLerk%3D","Link")</f>
        <v>Link</v>
      </c>
      <c r="B232" s="2" t="s">
        <v>5056</v>
      </c>
      <c r="C232" s="2" t="s">
        <v>5057</v>
      </c>
      <c r="D232" s="2" t="s">
        <v>5058</v>
      </c>
      <c r="E232" s="2" t="s">
        <v>5059</v>
      </c>
      <c r="F232" s="2" t="s">
        <v>5060</v>
      </c>
      <c r="G232" s="2" t="s">
        <v>5061</v>
      </c>
      <c r="H232" s="2"/>
      <c r="I232" s="2" t="s">
        <v>9</v>
      </c>
    </row>
    <row r="233" spans="1:9" ht="65" x14ac:dyDescent="0.3">
      <c r="A233" s="1" t="str">
        <f>HYPERLINK("https://ipmanager.doe.gov/IPManager//ExternalLink.aspx?6ibkph2k9yi6F%2B0Vz7YoTipZ798QK%2BbPWh8WOXfnQxY%3D","Link")</f>
        <v>Link</v>
      </c>
      <c r="B233" s="2" t="s">
        <v>3036</v>
      </c>
      <c r="C233" s="2" t="s">
        <v>3037</v>
      </c>
      <c r="D233" s="2" t="s">
        <v>3038</v>
      </c>
      <c r="E233" s="2" t="s">
        <v>3039</v>
      </c>
      <c r="F233" s="2" t="s">
        <v>7609</v>
      </c>
      <c r="G233" s="2" t="s">
        <v>3040</v>
      </c>
      <c r="H233" s="2"/>
      <c r="I233" s="2" t="s">
        <v>9</v>
      </c>
    </row>
    <row r="234" spans="1:9" ht="65" x14ac:dyDescent="0.3">
      <c r="A234" s="1" t="str">
        <f>HYPERLINK("https://ipmanager.doe.gov/IPManager//ExternalLink.aspx?6ibkph2k9yi6F%2B0Vz7YoTlNm8snv%2FZpHduii1vAAXno%3D","Link")</f>
        <v>Link</v>
      </c>
      <c r="B234" s="2" t="s">
        <v>3041</v>
      </c>
      <c r="C234" s="2" t="s">
        <v>3037</v>
      </c>
      <c r="D234" s="2" t="s">
        <v>3038</v>
      </c>
      <c r="E234" s="2" t="s">
        <v>3042</v>
      </c>
      <c r="F234" s="2" t="s">
        <v>7610</v>
      </c>
      <c r="G234" s="2" t="s">
        <v>3043</v>
      </c>
      <c r="H234" s="2"/>
      <c r="I234" s="2" t="s">
        <v>9</v>
      </c>
    </row>
    <row r="235" spans="1:9" ht="65" x14ac:dyDescent="0.3">
      <c r="A235" s="1" t="str">
        <f>HYPERLINK("https://ipmanager.doe.gov/IPManager//ExternalLink.aspx?6ibkph2k9yi6F%2B0Vz7YoTjnDGhmGHGI7EMsVSpqovlI%3D","Link")</f>
        <v>Link</v>
      </c>
      <c r="B235" s="2" t="s">
        <v>3044</v>
      </c>
      <c r="C235" s="2" t="s">
        <v>3037</v>
      </c>
      <c r="D235" s="2" t="s">
        <v>3038</v>
      </c>
      <c r="E235" s="2" t="s">
        <v>3045</v>
      </c>
      <c r="F235" s="2" t="s">
        <v>7611</v>
      </c>
      <c r="G235" s="2" t="s">
        <v>3046</v>
      </c>
      <c r="H235" s="2"/>
      <c r="I235" s="2" t="s">
        <v>9</v>
      </c>
    </row>
    <row r="236" spans="1:9" ht="52" x14ac:dyDescent="0.3">
      <c r="A236" s="1" t="str">
        <f>HYPERLINK("https://ipmanager.doe.gov/IPManager//ExternalLink.aspx?6ibkph2k9yi6F%2B0Vz7YoTjnDGhmGHGI7gFSsr72%2BXBw%3D","Link")</f>
        <v>Link</v>
      </c>
      <c r="B236" s="2" t="s">
        <v>3047</v>
      </c>
      <c r="C236" s="2" t="s">
        <v>3037</v>
      </c>
      <c r="D236" s="2" t="s">
        <v>3038</v>
      </c>
      <c r="E236" s="2" t="s">
        <v>3048</v>
      </c>
      <c r="F236" s="2" t="s">
        <v>3049</v>
      </c>
      <c r="G236" s="2" t="s">
        <v>1313</v>
      </c>
      <c r="H236" s="2"/>
      <c r="I236" s="2" t="s">
        <v>9</v>
      </c>
    </row>
    <row r="237" spans="1:9" ht="78" x14ac:dyDescent="0.3">
      <c r="A237" s="1" t="str">
        <f>HYPERLINK("https://ipmanager.doe.gov/IPManager//ExternalLink.aspx?6ibkph2k9yi6F%2B0Vz7YoTjnDGhmGHGI7wb0P7U3oUow%3D","Link")</f>
        <v>Link</v>
      </c>
      <c r="B237" s="2" t="s">
        <v>3050</v>
      </c>
      <c r="C237" s="2" t="s">
        <v>3037</v>
      </c>
      <c r="D237" s="2" t="s">
        <v>3038</v>
      </c>
      <c r="E237" s="2" t="s">
        <v>3051</v>
      </c>
      <c r="F237" s="2" t="s">
        <v>7612</v>
      </c>
      <c r="G237" s="2" t="s">
        <v>3052</v>
      </c>
      <c r="H237" s="2"/>
      <c r="I237" s="2" t="s">
        <v>9</v>
      </c>
    </row>
    <row r="238" spans="1:9" ht="78" x14ac:dyDescent="0.3">
      <c r="A238" s="1" t="str">
        <f>HYPERLINK("https://ipmanager.doe.gov/IPManager//ExternalLink.aspx?6ibkph2k9yi6F%2B0Vz7YoTjnDGhmGHGI7PyLmnzletGk%3D","Link")</f>
        <v>Link</v>
      </c>
      <c r="B238" s="2" t="s">
        <v>2459</v>
      </c>
      <c r="C238" s="2" t="s">
        <v>2425</v>
      </c>
      <c r="D238" s="2" t="s">
        <v>1415</v>
      </c>
      <c r="E238" s="2" t="s">
        <v>2460</v>
      </c>
      <c r="F238" s="2" t="s">
        <v>2461</v>
      </c>
      <c r="G238" s="2" t="s">
        <v>2462</v>
      </c>
      <c r="H238" s="2"/>
      <c r="I238" s="2" t="s">
        <v>9</v>
      </c>
    </row>
    <row r="239" spans="1:9" ht="26" x14ac:dyDescent="0.3">
      <c r="A239" s="1" t="str">
        <f>HYPERLINK("https://ipmanager.doe.gov/IPManager//ExternalLink.aspx?6ibkph2k9yi6F%2B0Vz7YoTp68px7nSN2gZsoCXDVq6Vg%3D","Link")</f>
        <v>Link</v>
      </c>
      <c r="B239" s="2" t="s">
        <v>2733</v>
      </c>
      <c r="C239" s="2" t="s">
        <v>2734</v>
      </c>
      <c r="D239" s="2" t="s">
        <v>1415</v>
      </c>
      <c r="E239" s="2" t="s">
        <v>2735</v>
      </c>
      <c r="F239" s="2" t="s">
        <v>2736</v>
      </c>
      <c r="G239" s="2" t="s">
        <v>2737</v>
      </c>
      <c r="H239" s="2"/>
      <c r="I239" s="2" t="s">
        <v>9</v>
      </c>
    </row>
    <row r="240" spans="1:9" ht="39" x14ac:dyDescent="0.3">
      <c r="A240" s="1" t="str">
        <f>HYPERLINK("https://ipmanager.doe.gov/IPManager//ExternalLink.aspx?6ibkph2k9yi6F%2B0Vz7YoThEBhkR3uHVrgFJZXfWhke0%3D","Link")</f>
        <v>Link</v>
      </c>
      <c r="B240" s="2" t="s">
        <v>2738</v>
      </c>
      <c r="C240" s="2" t="s">
        <v>2734</v>
      </c>
      <c r="D240" s="2" t="s">
        <v>1415</v>
      </c>
      <c r="E240" s="2" t="s">
        <v>2739</v>
      </c>
      <c r="F240" s="2" t="s">
        <v>2740</v>
      </c>
      <c r="G240" s="2" t="s">
        <v>2741</v>
      </c>
      <c r="H240" s="2"/>
      <c r="I240" s="2" t="s">
        <v>9</v>
      </c>
    </row>
    <row r="241" spans="1:9" ht="26" x14ac:dyDescent="0.3">
      <c r="A241" s="1" t="str">
        <f>HYPERLINK("https://ipmanager.doe.gov/IPManager//ExternalLink.aspx?6ibkph2k9yi6F%2B0Vz7YoTsTAnuFk5EoADMX9sLajXyA%3D","Link")</f>
        <v>Link</v>
      </c>
      <c r="B241" s="2" t="s">
        <v>2743</v>
      </c>
      <c r="C241" s="2" t="s">
        <v>2734</v>
      </c>
      <c r="D241" s="2" t="s">
        <v>1415</v>
      </c>
      <c r="E241" s="2" t="s">
        <v>2735</v>
      </c>
      <c r="F241" s="2" t="s">
        <v>2744</v>
      </c>
      <c r="G241" s="2" t="s">
        <v>2737</v>
      </c>
      <c r="H241" s="2"/>
      <c r="I241" s="2" t="s">
        <v>9</v>
      </c>
    </row>
    <row r="242" spans="1:9" ht="39" x14ac:dyDescent="0.3">
      <c r="A242" s="1" t="str">
        <f>HYPERLINK("https://ipmanager.doe.gov/IPManager//ExternalLink.aspx?6ibkph2k9yi6F%2B0Vz7YoTnXVN2REjGcWBun6NgAAqhE%3D","Link")</f>
        <v>Link</v>
      </c>
      <c r="B242" s="2" t="s">
        <v>2745</v>
      </c>
      <c r="C242" s="2" t="s">
        <v>2734</v>
      </c>
      <c r="D242" s="2" t="s">
        <v>1415</v>
      </c>
      <c r="E242" s="2" t="s">
        <v>2739</v>
      </c>
      <c r="F242" s="2" t="s">
        <v>2742</v>
      </c>
      <c r="G242" s="2" t="s">
        <v>2746</v>
      </c>
      <c r="H242" s="2"/>
      <c r="I242" s="2" t="s">
        <v>9</v>
      </c>
    </row>
    <row r="243" spans="1:9" ht="26" x14ac:dyDescent="0.3">
      <c r="A243" s="1" t="str">
        <f>HYPERLINK("https://ipmanager.doe.gov/IPManager//ExternalLink.aspx?6ibkph2k9yi6F%2B0Vz7YoTu0g4zH%2BOsvyATac5GU2qug%3D","Link")</f>
        <v>Link</v>
      </c>
      <c r="B243" s="2" t="s">
        <v>917</v>
      </c>
      <c r="C243" s="2" t="s">
        <v>908</v>
      </c>
      <c r="D243" s="2" t="s">
        <v>909</v>
      </c>
      <c r="E243" s="2" t="s">
        <v>918</v>
      </c>
      <c r="F243" s="2" t="s">
        <v>919</v>
      </c>
      <c r="G243" s="2" t="s">
        <v>920</v>
      </c>
      <c r="H243" s="2">
        <v>8828574</v>
      </c>
      <c r="I243" s="2" t="s">
        <v>921</v>
      </c>
    </row>
    <row r="244" spans="1:9" ht="39" x14ac:dyDescent="0.3">
      <c r="A244" s="1" t="str">
        <f>HYPERLINK("https://ipmanager.doe.gov/IPManager//ExternalLink.aspx?6ibkph2k9yi6F%2B0Vz7YoTgZwfmYxrNyK%2FdEAJPNGzJA%3D","Link")</f>
        <v>Link</v>
      </c>
      <c r="B244" s="2" t="s">
        <v>4390</v>
      </c>
      <c r="C244" s="2" t="s">
        <v>4391</v>
      </c>
      <c r="D244" s="2" t="s">
        <v>1415</v>
      </c>
      <c r="E244" s="2" t="s">
        <v>4392</v>
      </c>
      <c r="F244" s="2" t="s">
        <v>4393</v>
      </c>
      <c r="G244" s="2" t="s">
        <v>4394</v>
      </c>
      <c r="H244" s="2"/>
      <c r="I244" s="2" t="s">
        <v>9</v>
      </c>
    </row>
    <row r="245" spans="1:9" ht="26" x14ac:dyDescent="0.3">
      <c r="A245" s="1" t="str">
        <f>HYPERLINK("https://ipmanager.doe.gov/IPManager//ExternalLink.aspx?6ibkph2k9yi6F%2B0Vz7YoTu0g4zH%2BOsvyv7uuMg%2BOgEo%3D","Link")</f>
        <v>Link</v>
      </c>
      <c r="B245" s="2" t="s">
        <v>925</v>
      </c>
      <c r="C245" s="2" t="s">
        <v>908</v>
      </c>
      <c r="D245" s="2" t="s">
        <v>909</v>
      </c>
      <c r="E245" s="2" t="s">
        <v>918</v>
      </c>
      <c r="F245" s="2" t="s">
        <v>926</v>
      </c>
      <c r="G245" s="2" t="s">
        <v>927</v>
      </c>
      <c r="H245" s="2">
        <v>8828575</v>
      </c>
      <c r="I245" s="2" t="s">
        <v>724</v>
      </c>
    </row>
    <row r="246" spans="1:9" ht="26" x14ac:dyDescent="0.3">
      <c r="A246" s="1" t="str">
        <f>HYPERLINK("https://ipmanager.doe.gov/IPManager//ExternalLink.aspx?6ibkph2k9yi6F%2B0Vz7YoTu0g4zH%2BOsvy9fSpn3yTn7M%3D","Link")</f>
        <v>Link</v>
      </c>
      <c r="B246" s="2" t="s">
        <v>928</v>
      </c>
      <c r="C246" s="2" t="s">
        <v>908</v>
      </c>
      <c r="D246" s="2" t="s">
        <v>909</v>
      </c>
      <c r="E246" s="2" t="s">
        <v>918</v>
      </c>
      <c r="F246" s="2" t="s">
        <v>929</v>
      </c>
      <c r="G246" s="2" t="s">
        <v>927</v>
      </c>
      <c r="H246" s="2">
        <v>8828575</v>
      </c>
      <c r="I246" s="2" t="s">
        <v>724</v>
      </c>
    </row>
    <row r="247" spans="1:9" ht="52" x14ac:dyDescent="0.3">
      <c r="A247" s="1" t="str">
        <f>HYPERLINK("https://ipmanager.doe.gov/IPManager//ExternalLink.aspx?6ibkph2k9yi6F%2B0Vz7YoTq6RR9BlGHHijIigjawrHrs%3D","Link")</f>
        <v>Link</v>
      </c>
      <c r="B247" s="2" t="s">
        <v>4919</v>
      </c>
      <c r="C247" s="2" t="s">
        <v>4920</v>
      </c>
      <c r="D247" s="2" t="s">
        <v>1415</v>
      </c>
      <c r="E247" s="2" t="s">
        <v>4921</v>
      </c>
      <c r="F247" s="2" t="s">
        <v>4922</v>
      </c>
      <c r="G247" s="2" t="s">
        <v>3339</v>
      </c>
      <c r="H247" s="2"/>
      <c r="I247" s="2" t="s">
        <v>9</v>
      </c>
    </row>
    <row r="248" spans="1:9" ht="39" x14ac:dyDescent="0.3">
      <c r="A248" s="1" t="str">
        <f>HYPERLINK("https://ipmanager.doe.gov/IPManager//ExternalLink.aspx?6ibkph2k9yi6F%2B0Vz7YoTp68px7nSN2gd%2FsM3WlMy0k%3D","Link")</f>
        <v>Link</v>
      </c>
      <c r="B248" s="2" t="s">
        <v>934</v>
      </c>
      <c r="C248" s="2" t="s">
        <v>908</v>
      </c>
      <c r="D248" s="2" t="s">
        <v>909</v>
      </c>
      <c r="E248" s="2" t="s">
        <v>935</v>
      </c>
      <c r="F248" s="2" t="s">
        <v>936</v>
      </c>
      <c r="G248" s="2" t="s">
        <v>937</v>
      </c>
      <c r="H248" s="2">
        <v>8932771</v>
      </c>
      <c r="I248" s="2" t="s">
        <v>938</v>
      </c>
    </row>
    <row r="249" spans="1:9" ht="26" x14ac:dyDescent="0.3">
      <c r="A249" s="1" t="str">
        <f>HYPERLINK("https://ipmanager.doe.gov/IPManager//ExternalLink.aspx?6ibkph2k9yi6F%2B0Vz7YoTp68px7nSN2guZzu08CyvZM%3D","Link")</f>
        <v>Link</v>
      </c>
      <c r="B249" s="2" t="s">
        <v>939</v>
      </c>
      <c r="C249" s="2" t="s">
        <v>908</v>
      </c>
      <c r="D249" s="2" t="s">
        <v>909</v>
      </c>
      <c r="E249" s="2" t="s">
        <v>914</v>
      </c>
      <c r="F249" s="2" t="s">
        <v>924</v>
      </c>
      <c r="G249" s="2" t="s">
        <v>418</v>
      </c>
      <c r="H249" s="2">
        <v>9660311</v>
      </c>
      <c r="I249" s="2" t="s">
        <v>940</v>
      </c>
    </row>
    <row r="250" spans="1:9" ht="26" x14ac:dyDescent="0.3">
      <c r="A250" s="1" t="str">
        <f>HYPERLINK("https://ipmanager.doe.gov/IPManager//ExternalLink.aspx?6ibkph2k9yi6F%2B0Vz7YoTp68px7nSN2gmRbRAbdMAsU%3D","Link")</f>
        <v>Link</v>
      </c>
      <c r="B250" s="2" t="s">
        <v>941</v>
      </c>
      <c r="C250" s="2" t="s">
        <v>908</v>
      </c>
      <c r="D250" s="2" t="s">
        <v>909</v>
      </c>
      <c r="E250" s="2" t="s">
        <v>918</v>
      </c>
      <c r="F250" s="2" t="s">
        <v>919</v>
      </c>
      <c r="G250" s="2" t="s">
        <v>920</v>
      </c>
      <c r="H250" s="2">
        <v>8828574</v>
      </c>
      <c r="I250" s="2" t="s">
        <v>921</v>
      </c>
    </row>
    <row r="251" spans="1:9" ht="65" x14ac:dyDescent="0.3">
      <c r="A251" s="1" t="str">
        <f>HYPERLINK("https://ipmanager.doe.gov/IPManager//ExternalLink.aspx?6ibkph2k9yi6F%2B0Vz7YoTlNm8snv%2FZpH%2BL%2BanMHT0fI%3D","Link")</f>
        <v>Link</v>
      </c>
      <c r="B251" s="2" t="s">
        <v>942</v>
      </c>
      <c r="C251" s="2" t="s">
        <v>943</v>
      </c>
      <c r="D251" s="2" t="s">
        <v>944</v>
      </c>
      <c r="E251" s="2" t="s">
        <v>945</v>
      </c>
      <c r="F251" s="2" t="s">
        <v>946</v>
      </c>
      <c r="G251" s="2" t="s">
        <v>947</v>
      </c>
      <c r="H251" s="2">
        <v>9240612</v>
      </c>
      <c r="I251" s="2" t="s">
        <v>9</v>
      </c>
    </row>
    <row r="252" spans="1:9" ht="65" x14ac:dyDescent="0.3">
      <c r="A252" s="1" t="str">
        <f>HYPERLINK("https://ipmanager.doe.gov/IPManager//ExternalLink.aspx?6ibkph2k9yi6F%2B0Vz7YoTlNm8snv%2FZpHaW1%2Bbm2jEug%3D","Link")</f>
        <v>Link</v>
      </c>
      <c r="B252" s="2" t="s">
        <v>948</v>
      </c>
      <c r="C252" s="2" t="s">
        <v>943</v>
      </c>
      <c r="D252" s="2" t="s">
        <v>944</v>
      </c>
      <c r="E252" s="2" t="s">
        <v>949</v>
      </c>
      <c r="F252" s="2" t="s">
        <v>950</v>
      </c>
      <c r="G252" s="2" t="s">
        <v>947</v>
      </c>
      <c r="H252" s="2">
        <v>9401528</v>
      </c>
      <c r="I252" s="2" t="s">
        <v>386</v>
      </c>
    </row>
    <row r="253" spans="1:9" ht="52" x14ac:dyDescent="0.3">
      <c r="A253" s="1" t="str">
        <f>HYPERLINK("https://ipmanager.doe.gov/IPManager//ExternalLink.aspx?6ibkph2k9yi6F%2B0Vz7YoTlNm8snv%2FZpHVW43RSlnYK8%3D","Link")</f>
        <v>Link</v>
      </c>
      <c r="B253" s="2" t="s">
        <v>951</v>
      </c>
      <c r="C253" s="2" t="s">
        <v>943</v>
      </c>
      <c r="D253" s="2" t="s">
        <v>944</v>
      </c>
      <c r="E253" s="2" t="s">
        <v>952</v>
      </c>
      <c r="F253" s="2" t="s">
        <v>953</v>
      </c>
      <c r="G253" s="2" t="s">
        <v>897</v>
      </c>
      <c r="H253" s="2">
        <v>8951676</v>
      </c>
      <c r="I253" s="2" t="s">
        <v>837</v>
      </c>
    </row>
    <row r="254" spans="1:9" ht="39" x14ac:dyDescent="0.3">
      <c r="A254" s="1" t="str">
        <f>HYPERLINK("https://ipmanager.doe.gov/IPManager//ExternalLink.aspx?6ibkph2k9yi6F%2B0Vz7YoTsTAnuFk5EoAZkxUq4JUJ9M%3D","Link")</f>
        <v>Link</v>
      </c>
      <c r="B254" s="2" t="s">
        <v>5673</v>
      </c>
      <c r="C254" s="2" t="s">
        <v>5674</v>
      </c>
      <c r="D254" s="2" t="s">
        <v>1415</v>
      </c>
      <c r="E254" s="2" t="s">
        <v>5675</v>
      </c>
      <c r="F254" s="2" t="s">
        <v>5676</v>
      </c>
      <c r="G254" s="2" t="s">
        <v>5677</v>
      </c>
      <c r="H254" s="2"/>
      <c r="I254" s="2" t="s">
        <v>9</v>
      </c>
    </row>
    <row r="255" spans="1:9" ht="39" x14ac:dyDescent="0.3">
      <c r="A255" s="1" t="str">
        <f>HYPERLINK("https://ipmanager.doe.gov/IPManager//ExternalLink.aspx?6ibkph2k9yi6F%2B0Vz7YoTsTAnuFk5EoA50LvkoXGqxQ%3D","Link")</f>
        <v>Link</v>
      </c>
      <c r="B255" s="2" t="s">
        <v>5678</v>
      </c>
      <c r="C255" s="2" t="s">
        <v>5674</v>
      </c>
      <c r="D255" s="2" t="s">
        <v>1415</v>
      </c>
      <c r="E255" s="2" t="s">
        <v>5675</v>
      </c>
      <c r="F255" s="2" t="s">
        <v>5679</v>
      </c>
      <c r="G255" s="2" t="s">
        <v>5680</v>
      </c>
      <c r="H255" s="2"/>
      <c r="I255" s="2" t="s">
        <v>9</v>
      </c>
    </row>
    <row r="256" spans="1:9" ht="39" x14ac:dyDescent="0.3">
      <c r="A256" s="1" t="str">
        <f>HYPERLINK("https://ipmanager.doe.gov/IPManager//ExternalLink.aspx?6ibkph2k9yi6F%2B0Vz7YoTkqAgjuWMa9Q%2B6BwXbi4tJc%3D","Link")</f>
        <v>Link</v>
      </c>
      <c r="B256" s="2" t="s">
        <v>7116</v>
      </c>
      <c r="C256" s="2" t="s">
        <v>7114</v>
      </c>
      <c r="D256" s="2" t="s">
        <v>1415</v>
      </c>
      <c r="E256" s="2" t="s">
        <v>7117</v>
      </c>
      <c r="F256" s="2" t="s">
        <v>7118</v>
      </c>
      <c r="G256" s="2" t="s">
        <v>6039</v>
      </c>
      <c r="H256" s="2"/>
      <c r="I256" s="2" t="s">
        <v>9</v>
      </c>
    </row>
    <row r="257" spans="1:9" ht="65" x14ac:dyDescent="0.3">
      <c r="A257" s="1" t="str">
        <f>HYPERLINK("https://ipmanager.doe.gov/IPManager//ExternalLink.aspx?6ibkph2k9yi6F%2B0Vz7YoTlNm8snv%2FZpHLr4pRjESZaA%3D","Link")</f>
        <v>Link</v>
      </c>
      <c r="B257" s="2" t="s">
        <v>963</v>
      </c>
      <c r="C257" s="2" t="s">
        <v>943</v>
      </c>
      <c r="D257" s="2" t="s">
        <v>944</v>
      </c>
      <c r="E257" s="2" t="s">
        <v>964</v>
      </c>
      <c r="F257" s="2" t="s">
        <v>965</v>
      </c>
      <c r="G257" s="2" t="s">
        <v>947</v>
      </c>
      <c r="H257" s="2">
        <v>9172111</v>
      </c>
      <c r="I257" s="2" t="s">
        <v>50</v>
      </c>
    </row>
    <row r="258" spans="1:9" ht="52" x14ac:dyDescent="0.3">
      <c r="A258" s="1" t="str">
        <f>HYPERLINK("https://ipmanager.doe.gov/IPManager//ExternalLink.aspx?6ibkph2k9yi6F%2B0Vz7YoTlNm8snv%2FZpHdsO0NOt75x8%3D","Link")</f>
        <v>Link</v>
      </c>
      <c r="B258" s="2" t="s">
        <v>966</v>
      </c>
      <c r="C258" s="2" t="s">
        <v>943</v>
      </c>
      <c r="D258" s="2" t="s">
        <v>944</v>
      </c>
      <c r="E258" s="2" t="s">
        <v>955</v>
      </c>
      <c r="F258" s="2" t="s">
        <v>967</v>
      </c>
      <c r="G258" s="2" t="s">
        <v>897</v>
      </c>
      <c r="H258" s="2">
        <v>9293790</v>
      </c>
      <c r="I258" s="2" t="s">
        <v>968</v>
      </c>
    </row>
    <row r="259" spans="1:9" ht="26" x14ac:dyDescent="0.3">
      <c r="A259" s="1" t="str">
        <f>HYPERLINK("https://ipmanager.doe.gov/IPManager//ExternalLink.aspx?6ibkph2k9yi6F%2B0Vz7YoThEBhkR3uHVrtPHihlca%2BCA%3D","Link")</f>
        <v>Link</v>
      </c>
      <c r="B259" s="2" t="s">
        <v>7119</v>
      </c>
      <c r="C259" s="2" t="s">
        <v>7120</v>
      </c>
      <c r="D259" s="2" t="s">
        <v>1415</v>
      </c>
      <c r="E259" s="2" t="s">
        <v>7121</v>
      </c>
      <c r="F259" s="2" t="s">
        <v>7122</v>
      </c>
      <c r="G259" s="2" t="s">
        <v>807</v>
      </c>
      <c r="H259" s="2"/>
      <c r="I259" s="2" t="s">
        <v>9</v>
      </c>
    </row>
    <row r="260" spans="1:9" ht="26" x14ac:dyDescent="0.3">
      <c r="A260" s="1" t="str">
        <f>HYPERLINK("https://ipmanager.doe.gov/IPManager//ExternalLink.aspx?6ibkph2k9yi6F%2B0Vz7YoTp68px7nSN2gOOcQ5ai0E6w%3D","Link")</f>
        <v>Link</v>
      </c>
      <c r="B260" s="2" t="s">
        <v>7123</v>
      </c>
      <c r="C260" s="2" t="s">
        <v>7120</v>
      </c>
      <c r="D260" s="2" t="s">
        <v>1415</v>
      </c>
      <c r="E260" s="2" t="s">
        <v>7124</v>
      </c>
      <c r="F260" s="2" t="s">
        <v>7125</v>
      </c>
      <c r="G260" s="2" t="s">
        <v>7126</v>
      </c>
      <c r="H260" s="2"/>
      <c r="I260" s="2" t="s">
        <v>9</v>
      </c>
    </row>
    <row r="261" spans="1:9" ht="39" x14ac:dyDescent="0.3">
      <c r="A261" s="1" t="str">
        <f>HYPERLINK("https://ipmanager.doe.gov/IPManager//ExternalLink.aspx?6ibkph2k9yi6F%2B0Vz7YoTjnDGhmGHGI7apbJHM095K0%3D","Link")</f>
        <v>Link</v>
      </c>
      <c r="B261" s="2" t="s">
        <v>4717</v>
      </c>
      <c r="C261" s="2" t="s">
        <v>4718</v>
      </c>
      <c r="D261" s="2" t="s">
        <v>4719</v>
      </c>
      <c r="E261" s="2" t="s">
        <v>4720</v>
      </c>
      <c r="F261" s="2" t="s">
        <v>4721</v>
      </c>
      <c r="G261" s="2" t="s">
        <v>4722</v>
      </c>
      <c r="H261" s="2"/>
      <c r="I261" s="2" t="s">
        <v>9</v>
      </c>
    </row>
    <row r="262" spans="1:9" ht="91" x14ac:dyDescent="0.3">
      <c r="A262" s="1" t="str">
        <f>HYPERLINK("https://ipmanager.doe.gov/IPManager//ExternalLink.aspx?6ibkph2k9yi6F%2B0Vz7YoTlNm8snv%2FZpHz7V9mXDq9qs%3D","Link")</f>
        <v>Link</v>
      </c>
      <c r="B262" s="2" t="s">
        <v>981</v>
      </c>
      <c r="C262" s="2" t="s">
        <v>970</v>
      </c>
      <c r="D262" s="2" t="s">
        <v>971</v>
      </c>
      <c r="E262" s="2" t="s">
        <v>982</v>
      </c>
      <c r="F262" s="2" t="s">
        <v>983</v>
      </c>
      <c r="G262" s="2" t="s">
        <v>984</v>
      </c>
      <c r="H262" s="2">
        <v>8927068</v>
      </c>
      <c r="I262" s="2" t="s">
        <v>985</v>
      </c>
    </row>
    <row r="263" spans="1:9" ht="39" x14ac:dyDescent="0.3">
      <c r="A263" s="1" t="str">
        <f>HYPERLINK("https://ipmanager.doe.gov/IPManager//ExternalLink.aspx?6ibkph2k9yi6F%2B0Vz7YoTjnDGhmGHGI7HGlkWbVhcf8%3D","Link")</f>
        <v>Link</v>
      </c>
      <c r="B263" s="2" t="s">
        <v>4753</v>
      </c>
      <c r="C263" s="2" t="s">
        <v>4718</v>
      </c>
      <c r="D263" s="2" t="s">
        <v>4719</v>
      </c>
      <c r="E263" s="2" t="s">
        <v>4754</v>
      </c>
      <c r="F263" s="2" t="s">
        <v>4755</v>
      </c>
      <c r="G263" s="2" t="s">
        <v>2276</v>
      </c>
      <c r="H263" s="2"/>
      <c r="I263" s="2" t="s">
        <v>9</v>
      </c>
    </row>
    <row r="264" spans="1:9" ht="52" x14ac:dyDescent="0.3">
      <c r="A264" s="1" t="str">
        <f>HYPERLINK("https://ipmanager.doe.gov/IPManager//ExternalLink.aspx?6ibkph2k9yi6F%2B0Vz7YoTjN2oADz%2F5MxIDZXRKmSBRc%3D","Link")</f>
        <v>Link</v>
      </c>
      <c r="B264" s="2" t="s">
        <v>990</v>
      </c>
      <c r="C264" s="2" t="s">
        <v>970</v>
      </c>
      <c r="D264" s="2" t="s">
        <v>971</v>
      </c>
      <c r="E264" s="2" t="s">
        <v>972</v>
      </c>
      <c r="F264" s="2"/>
      <c r="G264" s="2" t="s">
        <v>9</v>
      </c>
      <c r="H264" s="2"/>
      <c r="I264" s="2" t="s">
        <v>9</v>
      </c>
    </row>
    <row r="265" spans="1:9" ht="52" x14ac:dyDescent="0.3">
      <c r="A265" s="1" t="str">
        <f>HYPERLINK("https://ipmanager.doe.gov/IPManager//ExternalLink.aspx?6ibkph2k9yi6F%2B0Vz7YoTjnDGhmGHGI7ygpINilo6Bw%3D","Link")</f>
        <v>Link</v>
      </c>
      <c r="B265" s="2" t="s">
        <v>4759</v>
      </c>
      <c r="C265" s="2" t="s">
        <v>4718</v>
      </c>
      <c r="D265" s="2" t="s">
        <v>4719</v>
      </c>
      <c r="E265" s="2" t="s">
        <v>4760</v>
      </c>
      <c r="F265" s="2" t="s">
        <v>4761</v>
      </c>
      <c r="G265" s="2" t="s">
        <v>2650</v>
      </c>
      <c r="H265" s="2"/>
      <c r="I265" s="2" t="s">
        <v>9</v>
      </c>
    </row>
    <row r="266" spans="1:9" ht="78" x14ac:dyDescent="0.3">
      <c r="A266" s="1" t="str">
        <f>HYPERLINK("https://ipmanager.doe.gov/IPManager//ExternalLink.aspx?6ibkph2k9yi6F%2B0Vz7YoTlNm8snv%2FZpHLfF9%2BPAlUww%3D","Link")</f>
        <v>Link</v>
      </c>
      <c r="B266" s="2" t="s">
        <v>993</v>
      </c>
      <c r="C266" s="2" t="s">
        <v>970</v>
      </c>
      <c r="D266" s="2" t="s">
        <v>971</v>
      </c>
      <c r="E266" s="2" t="s">
        <v>994</v>
      </c>
      <c r="F266" s="2"/>
      <c r="G266" s="2" t="s">
        <v>9</v>
      </c>
      <c r="H266" s="2"/>
      <c r="I266" s="2" t="s">
        <v>9</v>
      </c>
    </row>
    <row r="267" spans="1:9" ht="39" x14ac:dyDescent="0.3">
      <c r="A267" s="1" t="str">
        <f>HYPERLINK("https://ipmanager.doe.gov/IPManager//ExternalLink.aspx?6ibkph2k9yi6F%2B0Vz7YoTlNm8snv%2FZpHeEip%2Bjyvfz4%3D","Link")</f>
        <v>Link</v>
      </c>
      <c r="B267" s="2" t="s">
        <v>995</v>
      </c>
      <c r="C267" s="2" t="s">
        <v>970</v>
      </c>
      <c r="D267" s="2" t="s">
        <v>971</v>
      </c>
      <c r="E267" s="2" t="s">
        <v>996</v>
      </c>
      <c r="F267" s="2"/>
      <c r="G267" s="2" t="s">
        <v>9</v>
      </c>
      <c r="H267" s="2"/>
      <c r="I267" s="2" t="s">
        <v>9</v>
      </c>
    </row>
    <row r="268" spans="1:9" ht="52" x14ac:dyDescent="0.3">
      <c r="A268" s="1" t="str">
        <f>HYPERLINK("https://ipmanager.doe.gov/IPManager//ExternalLink.aspx?6ibkph2k9yi6F%2B0Vz7YoTjnDGhmGHGI7mqOO1b8dD8s%3D","Link")</f>
        <v>Link</v>
      </c>
      <c r="B268" s="2" t="s">
        <v>997</v>
      </c>
      <c r="C268" s="2" t="s">
        <v>970</v>
      </c>
      <c r="D268" s="2" t="s">
        <v>971</v>
      </c>
      <c r="E268" s="2" t="s">
        <v>998</v>
      </c>
      <c r="F268" s="2"/>
      <c r="G268" s="2" t="s">
        <v>9</v>
      </c>
      <c r="H268" s="2"/>
      <c r="I268" s="2" t="s">
        <v>9</v>
      </c>
    </row>
    <row r="269" spans="1:9" ht="39" x14ac:dyDescent="0.3">
      <c r="A269" s="1" t="str">
        <f>HYPERLINK("https://ipmanager.doe.gov/IPManager//ExternalLink.aspx?6ibkph2k9yi6F%2B0Vz7YoTjnDGhmGHGI7YtryKzaQzDA%3D","Link")</f>
        <v>Link</v>
      </c>
      <c r="B269" s="2" t="s">
        <v>999</v>
      </c>
      <c r="C269" s="2" t="s">
        <v>970</v>
      </c>
      <c r="D269" s="2" t="s">
        <v>971</v>
      </c>
      <c r="E269" s="2" t="s">
        <v>1000</v>
      </c>
      <c r="F269" s="2"/>
      <c r="G269" s="2" t="s">
        <v>9</v>
      </c>
      <c r="H269" s="2"/>
      <c r="I269" s="2" t="s">
        <v>9</v>
      </c>
    </row>
    <row r="270" spans="1:9" ht="26" x14ac:dyDescent="0.3">
      <c r="A270" s="1" t="str">
        <f>HYPERLINK("https://ipmanager.doe.gov/IPManager//ExternalLink.aspx?6ibkph2k9yi6F%2B0Vz7YoTp68px7nSN2gngP9TIv708g%3D","Link")</f>
        <v>Link</v>
      </c>
      <c r="B270" s="2" t="s">
        <v>1460</v>
      </c>
      <c r="C270" s="2" t="s">
        <v>1440</v>
      </c>
      <c r="D270" s="2" t="s">
        <v>1461</v>
      </c>
      <c r="E270" s="2" t="s">
        <v>1462</v>
      </c>
      <c r="F270" s="2" t="s">
        <v>1463</v>
      </c>
      <c r="G270" s="2" t="s">
        <v>1046</v>
      </c>
      <c r="H270" s="2"/>
      <c r="I270" s="2" t="s">
        <v>9</v>
      </c>
    </row>
    <row r="271" spans="1:9" ht="39" x14ac:dyDescent="0.3">
      <c r="A271" s="1" t="str">
        <f>HYPERLINK("https://ipmanager.doe.gov/IPManager//ExternalLink.aspx?6ibkph2k9yi6F%2B0Vz7YoTjN2oADz%2F5Mx39KGBnVgrjM%3D","Link")</f>
        <v>Link</v>
      </c>
      <c r="B271" s="2" t="s">
        <v>1005</v>
      </c>
      <c r="C271" s="2" t="s">
        <v>970</v>
      </c>
      <c r="D271" s="2" t="s">
        <v>971</v>
      </c>
      <c r="E271" s="2" t="s">
        <v>980</v>
      </c>
      <c r="F271" s="2"/>
      <c r="G271" s="2" t="s">
        <v>9</v>
      </c>
      <c r="H271" s="2"/>
      <c r="I271" s="2" t="s">
        <v>9</v>
      </c>
    </row>
    <row r="272" spans="1:9" ht="78" x14ac:dyDescent="0.3">
      <c r="A272" s="1" t="str">
        <f>HYPERLINK("https://ipmanager.doe.gov/IPManager//ExternalLink.aspx?6ibkph2k9yi6F%2B0Vz7YoTlNm8snv%2FZpH8p6I52v649Q%3D","Link")</f>
        <v>Link</v>
      </c>
      <c r="B272" s="2" t="s">
        <v>1006</v>
      </c>
      <c r="C272" s="2" t="s">
        <v>970</v>
      </c>
      <c r="D272" s="2" t="s">
        <v>971</v>
      </c>
      <c r="E272" s="2" t="s">
        <v>1007</v>
      </c>
      <c r="F272" s="2" t="s">
        <v>983</v>
      </c>
      <c r="G272" s="2" t="s">
        <v>1008</v>
      </c>
      <c r="H272" s="2">
        <v>8927068</v>
      </c>
      <c r="I272" s="2" t="s">
        <v>985</v>
      </c>
    </row>
    <row r="273" spans="1:9" ht="39" x14ac:dyDescent="0.3">
      <c r="A273" s="1" t="str">
        <f>HYPERLINK("https://ipmanager.doe.gov/IPManager//ExternalLink.aspx?6ibkph2k9yi6F%2B0Vz7YoTlNm8snv%2FZpHb0EYqKUpa7k%3D","Link")</f>
        <v>Link</v>
      </c>
      <c r="B273" s="2" t="s">
        <v>1009</v>
      </c>
      <c r="C273" s="2" t="s">
        <v>970</v>
      </c>
      <c r="D273" s="2" t="s">
        <v>971</v>
      </c>
      <c r="E273" s="2" t="s">
        <v>1010</v>
      </c>
      <c r="F273" s="2"/>
      <c r="G273" s="2" t="s">
        <v>9</v>
      </c>
      <c r="H273" s="2"/>
      <c r="I273" s="2" t="s">
        <v>9</v>
      </c>
    </row>
    <row r="274" spans="1:9" ht="26" x14ac:dyDescent="0.3">
      <c r="A274" s="1" t="str">
        <f>HYPERLINK("https://ipmanager.doe.gov/IPManager//ExternalLink.aspx?6ibkph2k9yi6F%2B0Vz7YoTsTAnuFk5EoABc61kE0eqvU%3D","Link")</f>
        <v>Link</v>
      </c>
      <c r="B274" s="2" t="s">
        <v>1466</v>
      </c>
      <c r="C274" s="2" t="s">
        <v>1440</v>
      </c>
      <c r="D274" s="2" t="s">
        <v>1461</v>
      </c>
      <c r="E274" s="2" t="s">
        <v>1462</v>
      </c>
      <c r="F274" s="2" t="s">
        <v>1464</v>
      </c>
      <c r="G274" s="2" t="s">
        <v>1046</v>
      </c>
      <c r="H274" s="2"/>
      <c r="I274" s="2" t="s">
        <v>9</v>
      </c>
    </row>
    <row r="275" spans="1:9" ht="39" x14ac:dyDescent="0.3">
      <c r="A275" s="1" t="str">
        <f>HYPERLINK("https://ipmanager.doe.gov/IPManager//ExternalLink.aspx?6ibkph2k9yi6F%2B0Vz7YoTlNm8snv%2FZpHflgz5qddKRU%3D","Link")</f>
        <v>Link</v>
      </c>
      <c r="B275" s="2" t="s">
        <v>1013</v>
      </c>
      <c r="C275" s="2" t="s">
        <v>970</v>
      </c>
      <c r="D275" s="2" t="s">
        <v>971</v>
      </c>
      <c r="E275" s="2" t="s">
        <v>1014</v>
      </c>
      <c r="F275" s="2"/>
      <c r="G275" s="2" t="s">
        <v>9</v>
      </c>
      <c r="H275" s="2"/>
      <c r="I275" s="2" t="s">
        <v>9</v>
      </c>
    </row>
    <row r="276" spans="1:9" ht="39" x14ac:dyDescent="0.3">
      <c r="A276" s="1" t="str">
        <f>HYPERLINK("https://ipmanager.doe.gov/IPManager//ExternalLink.aspx?6ibkph2k9yi6F%2B0Vz7YoTvPUg%2FVZPl3ivxGBEjiPAwk%3D","Link")</f>
        <v>Link</v>
      </c>
      <c r="B276" s="2" t="s">
        <v>3495</v>
      </c>
      <c r="C276" s="2" t="s">
        <v>3496</v>
      </c>
      <c r="D276" s="2" t="s">
        <v>1461</v>
      </c>
      <c r="E276" s="2" t="s">
        <v>3497</v>
      </c>
      <c r="F276" s="2" t="s">
        <v>3498</v>
      </c>
      <c r="G276" s="2" t="s">
        <v>3499</v>
      </c>
      <c r="H276" s="2"/>
      <c r="I276" s="2" t="s">
        <v>9</v>
      </c>
    </row>
    <row r="277" spans="1:9" ht="52" x14ac:dyDescent="0.3">
      <c r="A277" s="1" t="str">
        <f>HYPERLINK("https://ipmanager.doe.gov/IPManager//ExternalLink.aspx?6ibkph2k9yi6F%2B0Vz7YoTvPUg%2FVZPl3ig3FxxYVwzOk%3D","Link")</f>
        <v>Link</v>
      </c>
      <c r="B277" s="2" t="s">
        <v>3505</v>
      </c>
      <c r="C277" s="2" t="s">
        <v>3496</v>
      </c>
      <c r="D277" s="2" t="s">
        <v>1461</v>
      </c>
      <c r="E277" s="2" t="s">
        <v>3506</v>
      </c>
      <c r="F277" s="2" t="s">
        <v>3507</v>
      </c>
      <c r="G277" s="2" t="s">
        <v>3499</v>
      </c>
      <c r="H277" s="2"/>
      <c r="I277" s="2" t="s">
        <v>9</v>
      </c>
    </row>
    <row r="278" spans="1:9" ht="39" x14ac:dyDescent="0.3">
      <c r="A278" s="1" t="str">
        <f>HYPERLINK("https://ipmanager.doe.gov/IPManager//ExternalLink.aspx?6ibkph2k9yi6F%2B0Vz7YoTjnDGhmGHGI7cqCCI%2FOOsLs%3D","Link")</f>
        <v>Link</v>
      </c>
      <c r="B278" s="2" t="s">
        <v>1020</v>
      </c>
      <c r="C278" s="2" t="s">
        <v>970</v>
      </c>
      <c r="D278" s="2" t="s">
        <v>971</v>
      </c>
      <c r="E278" s="2" t="s">
        <v>1021</v>
      </c>
      <c r="F278" s="2" t="s">
        <v>1022</v>
      </c>
      <c r="G278" s="2" t="s">
        <v>1023</v>
      </c>
      <c r="H278" s="2">
        <v>9065122</v>
      </c>
      <c r="I278" s="2" t="s">
        <v>1024</v>
      </c>
    </row>
    <row r="279" spans="1:9" ht="52" x14ac:dyDescent="0.3">
      <c r="A279" s="1" t="str">
        <f>HYPERLINK("https://ipmanager.doe.gov/IPManager//ExternalLink.aspx?6ibkph2k9yi6F%2B0Vz7YoTjnDGhmGHGI7lzT%2F5ycbBAg%3D","Link")</f>
        <v>Link</v>
      </c>
      <c r="B279" s="2" t="s">
        <v>1025</v>
      </c>
      <c r="C279" s="2" t="s">
        <v>970</v>
      </c>
      <c r="D279" s="2" t="s">
        <v>971</v>
      </c>
      <c r="E279" s="2" t="s">
        <v>1026</v>
      </c>
      <c r="F279" s="2" t="s">
        <v>983</v>
      </c>
      <c r="G279" s="2" t="s">
        <v>1008</v>
      </c>
      <c r="H279" s="2">
        <v>8927068</v>
      </c>
      <c r="I279" s="2" t="s">
        <v>1024</v>
      </c>
    </row>
    <row r="280" spans="1:9" ht="39" x14ac:dyDescent="0.3">
      <c r="A280" s="1" t="str">
        <f>HYPERLINK("https://ipmanager.doe.gov/IPManager//ExternalLink.aspx?6ibkph2k9yi6F%2B0Vz7YoTr7J5I%2BY4foY4fmy7LTFW98%3D","Link")</f>
        <v>Link</v>
      </c>
      <c r="B280" s="2" t="s">
        <v>3512</v>
      </c>
      <c r="C280" s="2" t="s">
        <v>3496</v>
      </c>
      <c r="D280" s="2" t="s">
        <v>1461</v>
      </c>
      <c r="E280" s="2" t="s">
        <v>3513</v>
      </c>
      <c r="F280" s="2" t="s">
        <v>3514</v>
      </c>
      <c r="G280" s="2" t="s">
        <v>3515</v>
      </c>
      <c r="H280" s="2"/>
      <c r="I280" s="2" t="s">
        <v>9</v>
      </c>
    </row>
    <row r="281" spans="1:9" ht="26" x14ac:dyDescent="0.3">
      <c r="A281" s="1" t="str">
        <f>HYPERLINK("https://ipmanager.doe.gov/IPManager//ExternalLink.aspx?6ibkph2k9yi6F%2B0Vz7YoTipZ798QK%2BbP8yleM5J%2FIqU%3D","Link")</f>
        <v>Link</v>
      </c>
      <c r="B281" s="2" t="s">
        <v>235</v>
      </c>
      <c r="C281" s="2" t="s">
        <v>232</v>
      </c>
      <c r="D281" s="2" t="s">
        <v>233</v>
      </c>
      <c r="E281" s="2" t="s">
        <v>236</v>
      </c>
      <c r="F281" s="2" t="s">
        <v>237</v>
      </c>
      <c r="G281" s="2" t="s">
        <v>238</v>
      </c>
      <c r="H281" s="2"/>
      <c r="I281" s="2" t="s">
        <v>9</v>
      </c>
    </row>
    <row r="282" spans="1:9" ht="39" x14ac:dyDescent="0.3">
      <c r="A282" s="1" t="str">
        <f>HYPERLINK("https://ipmanager.doe.gov/IPManager//ExternalLink.aspx?6ibkph2k9yi6F%2B0Vz7YoTo7DPLa3%2F%2FGgeyOQrzjtaMw%3D","Link")</f>
        <v>Link</v>
      </c>
      <c r="B282" s="2" t="s">
        <v>4681</v>
      </c>
      <c r="C282" s="2" t="s">
        <v>4682</v>
      </c>
      <c r="D282" s="2" t="s">
        <v>4683</v>
      </c>
      <c r="E282" s="2" t="s">
        <v>4684</v>
      </c>
      <c r="F282" s="2" t="s">
        <v>4685</v>
      </c>
      <c r="G282" s="2" t="s">
        <v>3732</v>
      </c>
      <c r="H282" s="2"/>
      <c r="I282" s="2" t="s">
        <v>9</v>
      </c>
    </row>
    <row r="283" spans="1:9" ht="65" x14ac:dyDescent="0.3">
      <c r="A283" s="1" t="str">
        <f>HYPERLINK("https://ipmanager.doe.gov/IPManager//ExternalLink.aspx?6ibkph2k9yi6F%2B0Vz7YoTipZ798QK%2BbP3M2iwsXtscM%3D","Link")</f>
        <v>Link</v>
      </c>
      <c r="B283" s="2" t="s">
        <v>1041</v>
      </c>
      <c r="C283" s="2" t="s">
        <v>1037</v>
      </c>
      <c r="D283" s="2" t="s">
        <v>778</v>
      </c>
      <c r="E283" s="2" t="s">
        <v>1042</v>
      </c>
      <c r="F283" s="2"/>
      <c r="G283" s="2" t="s">
        <v>9</v>
      </c>
      <c r="H283" s="2"/>
      <c r="I283" s="2" t="s">
        <v>9</v>
      </c>
    </row>
    <row r="284" spans="1:9" ht="65" x14ac:dyDescent="0.3">
      <c r="A284" s="1" t="str">
        <f>HYPERLINK("https://ipmanager.doe.gov/IPManager//ExternalLink.aspx?6ibkph2k9yi6F%2B0Vz7YoTipZ798QK%2BbPXgmL89MjpgQ%3D","Link")</f>
        <v>Link</v>
      </c>
      <c r="B284" s="2" t="s">
        <v>1043</v>
      </c>
      <c r="C284" s="2" t="s">
        <v>1037</v>
      </c>
      <c r="D284" s="2" t="s">
        <v>778</v>
      </c>
      <c r="E284" s="2" t="s">
        <v>1042</v>
      </c>
      <c r="F284" s="2"/>
      <c r="G284" s="2" t="s">
        <v>9</v>
      </c>
      <c r="H284" s="2"/>
      <c r="I284" s="2" t="s">
        <v>9</v>
      </c>
    </row>
    <row r="285" spans="1:9" ht="39" x14ac:dyDescent="0.3">
      <c r="A285" s="1" t="str">
        <f>HYPERLINK("https://ipmanager.doe.gov/IPManager//ExternalLink.aspx?6ibkph2k9yi6F%2B0Vz7YoTipZ798QK%2BbPtuoD33J2cuc%3D","Link")</f>
        <v>Link</v>
      </c>
      <c r="B285" s="2" t="s">
        <v>1044</v>
      </c>
      <c r="C285" s="2" t="s">
        <v>1037</v>
      </c>
      <c r="D285" s="2" t="s">
        <v>770</v>
      </c>
      <c r="E285" s="2" t="s">
        <v>1045</v>
      </c>
      <c r="F285" s="2"/>
      <c r="G285" s="2" t="s">
        <v>9</v>
      </c>
      <c r="H285" s="2"/>
      <c r="I285" s="2" t="s">
        <v>9</v>
      </c>
    </row>
    <row r="286" spans="1:9" ht="39" x14ac:dyDescent="0.3">
      <c r="A286" s="1" t="str">
        <f>HYPERLINK("https://ipmanager.doe.gov/IPManager//ExternalLink.aspx?6ibkph2k9yi6F%2B0Vz7YoTjnDGhmGHGI7kSUj3KIzAdA%3D","Link")</f>
        <v>Link</v>
      </c>
      <c r="B286" s="2" t="s">
        <v>4686</v>
      </c>
      <c r="C286" s="2" t="s">
        <v>4682</v>
      </c>
      <c r="D286" s="2" t="s">
        <v>4683</v>
      </c>
      <c r="E286" s="2" t="s">
        <v>4687</v>
      </c>
      <c r="F286" s="2" t="s">
        <v>4688</v>
      </c>
      <c r="G286" s="2" t="s">
        <v>4689</v>
      </c>
      <c r="H286" s="2"/>
      <c r="I286" s="2" t="s">
        <v>9</v>
      </c>
    </row>
    <row r="287" spans="1:9" ht="26" x14ac:dyDescent="0.3">
      <c r="A287" s="1" t="str">
        <f>HYPERLINK("https://ipmanager.doe.gov/IPManager//ExternalLink.aspx?6ibkph2k9yi6F%2B0Vz7YoTvE8yjoHgvp6SH1dx6l%2F4%2FM%3D","Link")</f>
        <v>Link</v>
      </c>
      <c r="B287" s="2" t="s">
        <v>4247</v>
      </c>
      <c r="C287" s="2" t="s">
        <v>4241</v>
      </c>
      <c r="D287" s="2" t="s">
        <v>4248</v>
      </c>
      <c r="E287" s="2" t="s">
        <v>4249</v>
      </c>
      <c r="F287" s="2" t="s">
        <v>4250</v>
      </c>
      <c r="G287" s="2" t="s">
        <v>713</v>
      </c>
      <c r="H287" s="2"/>
      <c r="I287" s="2" t="s">
        <v>9</v>
      </c>
    </row>
    <row r="288" spans="1:9" ht="39" x14ac:dyDescent="0.3">
      <c r="A288" s="1" t="str">
        <f>HYPERLINK("https://ipmanager.doe.gov/IPManager//ExternalLink.aspx?6ibkph2k9yi6F%2B0Vz7YoTipZ798QK%2BbPyDGjTZUF0Sk%3D","Link")</f>
        <v>Link</v>
      </c>
      <c r="B288" s="2" t="s">
        <v>1055</v>
      </c>
      <c r="C288" s="2" t="s">
        <v>1037</v>
      </c>
      <c r="D288" s="2" t="s">
        <v>770</v>
      </c>
      <c r="E288" s="2" t="s">
        <v>1056</v>
      </c>
      <c r="F288" s="2"/>
      <c r="G288" s="2" t="s">
        <v>9</v>
      </c>
      <c r="H288" s="2"/>
      <c r="I288" s="2" t="s">
        <v>9</v>
      </c>
    </row>
    <row r="289" spans="1:9" ht="39" x14ac:dyDescent="0.3">
      <c r="A289" s="1" t="str">
        <f>HYPERLINK("https://ipmanager.doe.gov/IPManager//ExternalLink.aspx?6ibkph2k9yi6F%2B0Vz7YoTipZ798QK%2BbP5ot%2FQ00io%2BY%3D","Link")</f>
        <v>Link</v>
      </c>
      <c r="B289" s="2" t="s">
        <v>1057</v>
      </c>
      <c r="C289" s="2" t="s">
        <v>1037</v>
      </c>
      <c r="D289" s="2" t="s">
        <v>770</v>
      </c>
      <c r="E289" s="2" t="s">
        <v>787</v>
      </c>
      <c r="F289" s="2"/>
      <c r="G289" s="2" t="s">
        <v>9</v>
      </c>
      <c r="H289" s="2"/>
      <c r="I289" s="2" t="s">
        <v>9</v>
      </c>
    </row>
    <row r="290" spans="1:9" ht="39" x14ac:dyDescent="0.3">
      <c r="A290" s="1" t="str">
        <f>HYPERLINK("https://ipmanager.doe.gov/IPManager//ExternalLink.aspx?6ibkph2k9yi6F%2B0Vz7YoTipZ798QK%2BbPmc6g0vuMAYI%3D","Link")</f>
        <v>Link</v>
      </c>
      <c r="B290" s="2" t="s">
        <v>1051</v>
      </c>
      <c r="C290" s="2" t="s">
        <v>1037</v>
      </c>
      <c r="D290" s="2" t="s">
        <v>770</v>
      </c>
      <c r="E290" s="2" t="s">
        <v>1052</v>
      </c>
      <c r="F290" s="2" t="s">
        <v>1058</v>
      </c>
      <c r="G290" s="2" t="s">
        <v>1054</v>
      </c>
      <c r="H290" s="2">
        <v>9583779</v>
      </c>
      <c r="I290" s="2" t="s">
        <v>9</v>
      </c>
    </row>
    <row r="291" spans="1:9" ht="78" x14ac:dyDescent="0.3">
      <c r="A291" s="1" t="str">
        <f>HYPERLINK("https://ipmanager.doe.gov/IPManager//ExternalLink.aspx?6ibkph2k9yi6F%2B0Vz7YoTk2BI6w%2FjZ2fCVlmhfPap3Q%3D","Link")</f>
        <v>Link</v>
      </c>
      <c r="B291" s="2" t="s">
        <v>4256</v>
      </c>
      <c r="C291" s="2" t="s">
        <v>4241</v>
      </c>
      <c r="D291" s="2" t="s">
        <v>4248</v>
      </c>
      <c r="E291" s="2" t="s">
        <v>4252</v>
      </c>
      <c r="F291" s="2" t="s">
        <v>4257</v>
      </c>
      <c r="G291" s="2" t="s">
        <v>4258</v>
      </c>
      <c r="H291" s="2"/>
      <c r="I291" s="2" t="s">
        <v>9</v>
      </c>
    </row>
    <row r="292" spans="1:9" ht="39" x14ac:dyDescent="0.3">
      <c r="A292" s="1" t="str">
        <f>HYPERLINK("https://ipmanager.doe.gov/IPManager//ExternalLink.aspx?6ibkph2k9yi6F%2B0Vz7YoTipZ798QK%2BbP4A3Ce6yGZjY%3D","Link")</f>
        <v>Link</v>
      </c>
      <c r="B292" s="2" t="s">
        <v>1062</v>
      </c>
      <c r="C292" s="2" t="s">
        <v>1063</v>
      </c>
      <c r="D292" s="2" t="s">
        <v>1064</v>
      </c>
      <c r="E292" s="2" t="s">
        <v>1065</v>
      </c>
      <c r="F292" s="2" t="s">
        <v>7613</v>
      </c>
      <c r="G292" s="2" t="s">
        <v>1066</v>
      </c>
      <c r="H292" s="2">
        <v>9397345</v>
      </c>
      <c r="I292" s="2" t="s">
        <v>1067</v>
      </c>
    </row>
    <row r="293" spans="1:9" ht="39" x14ac:dyDescent="0.3">
      <c r="A293" s="1" t="str">
        <f>HYPERLINK("https://ipmanager.doe.gov/IPManager//ExternalLink.aspx?6ibkph2k9yi6F%2B0Vz7YoTlNm8snv%2FZpH0YwsndzoJQ4%3D","Link")</f>
        <v>Link</v>
      </c>
      <c r="B293" s="2" t="s">
        <v>1068</v>
      </c>
      <c r="C293" s="2" t="s">
        <v>1069</v>
      </c>
      <c r="D293" s="2" t="s">
        <v>1070</v>
      </c>
      <c r="E293" s="2" t="s">
        <v>1071</v>
      </c>
      <c r="F293" s="2" t="s">
        <v>1072</v>
      </c>
      <c r="G293" s="2" t="s">
        <v>1073</v>
      </c>
      <c r="H293" s="2"/>
      <c r="I293" s="2" t="s">
        <v>9</v>
      </c>
    </row>
    <row r="294" spans="1:9" ht="26" x14ac:dyDescent="0.3">
      <c r="A294" s="1" t="str">
        <f>HYPERLINK("https://ipmanager.doe.gov/IPManager//ExternalLink.aspx?6ibkph2k9yi6F%2B0Vz7YoTlNm8snv%2FZpHMu9DG%2Bgrkbc%3D","Link")</f>
        <v>Link</v>
      </c>
      <c r="B294" s="2" t="s">
        <v>1074</v>
      </c>
      <c r="C294" s="2" t="s">
        <v>1069</v>
      </c>
      <c r="D294" s="2" t="s">
        <v>1070</v>
      </c>
      <c r="E294" s="2" t="s">
        <v>1075</v>
      </c>
      <c r="F294" s="2"/>
      <c r="G294" s="2" t="s">
        <v>9</v>
      </c>
      <c r="H294" s="2"/>
      <c r="I294" s="2" t="s">
        <v>9</v>
      </c>
    </row>
    <row r="295" spans="1:9" ht="78" x14ac:dyDescent="0.3">
      <c r="A295" s="1" t="str">
        <f>HYPERLINK("https://ipmanager.doe.gov/IPManager//ExternalLink.aspx?6ibkph2k9yi6F%2B0Vz7YoTgZwfmYxrNyKXHa%2BBYb26u8%3D","Link")</f>
        <v>Link</v>
      </c>
      <c r="B295" s="2" t="s">
        <v>4262</v>
      </c>
      <c r="C295" s="2" t="s">
        <v>4241</v>
      </c>
      <c r="D295" s="2" t="s">
        <v>4248</v>
      </c>
      <c r="E295" s="2" t="s">
        <v>4252</v>
      </c>
      <c r="F295" s="2" t="s">
        <v>4257</v>
      </c>
      <c r="G295" s="2" t="s">
        <v>4258</v>
      </c>
      <c r="H295" s="2"/>
      <c r="I295" s="2" t="s">
        <v>9</v>
      </c>
    </row>
    <row r="296" spans="1:9" ht="78" x14ac:dyDescent="0.3">
      <c r="A296" s="1" t="str">
        <f>HYPERLINK("https://ipmanager.doe.gov/IPManager//ExternalLink.aspx?6ibkph2k9yi6F%2B0Vz7YoTr7J5I%2BY4foYumTdQ9aMCYo%3D","Link")</f>
        <v>Link</v>
      </c>
      <c r="B296" s="2" t="s">
        <v>4263</v>
      </c>
      <c r="C296" s="2" t="s">
        <v>4241</v>
      </c>
      <c r="D296" s="2" t="s">
        <v>4248</v>
      </c>
      <c r="E296" s="2" t="s">
        <v>4252</v>
      </c>
      <c r="F296" s="2" t="s">
        <v>4264</v>
      </c>
      <c r="G296" s="2" t="s">
        <v>4265</v>
      </c>
      <c r="H296" s="2"/>
      <c r="I296" s="2" t="s">
        <v>9</v>
      </c>
    </row>
    <row r="297" spans="1:9" ht="52" x14ac:dyDescent="0.3">
      <c r="A297" s="1" t="str">
        <f>HYPERLINK("https://ipmanager.doe.gov/IPManager//ExternalLink.aspx?6ibkph2k9yi6F%2B0Vz7YoTlNm8snv%2FZpH%2BPQTMtFOv8g%3D","Link")</f>
        <v>Link</v>
      </c>
      <c r="B297" s="2" t="s">
        <v>1084</v>
      </c>
      <c r="C297" s="2" t="s">
        <v>1069</v>
      </c>
      <c r="D297" s="2" t="s">
        <v>1070</v>
      </c>
      <c r="E297" s="2" t="s">
        <v>1085</v>
      </c>
      <c r="F297" s="2"/>
      <c r="G297" s="2" t="s">
        <v>9</v>
      </c>
      <c r="H297" s="2"/>
      <c r="I297" s="2" t="s">
        <v>9</v>
      </c>
    </row>
    <row r="298" spans="1:9" ht="39" x14ac:dyDescent="0.3">
      <c r="A298" s="1" t="str">
        <f>HYPERLINK("https://ipmanager.doe.gov/IPManager//ExternalLink.aspx?6ibkph2k9yi6F%2B0Vz7YoTlNm8snv%2FZpHHxephbGgmz0%3D","Link")</f>
        <v>Link</v>
      </c>
      <c r="B298" s="2" t="s">
        <v>88</v>
      </c>
      <c r="C298" s="2" t="s">
        <v>85</v>
      </c>
      <c r="D298" s="2" t="s">
        <v>86</v>
      </c>
      <c r="E298" s="2" t="s">
        <v>87</v>
      </c>
      <c r="F298" s="2" t="s">
        <v>89</v>
      </c>
      <c r="G298" s="2" t="s">
        <v>90</v>
      </c>
      <c r="H298" s="2"/>
      <c r="I298" s="2" t="s">
        <v>9</v>
      </c>
    </row>
    <row r="299" spans="1:9" ht="52" x14ac:dyDescent="0.3">
      <c r="A299" s="1" t="str">
        <f>HYPERLINK("https://ipmanager.doe.gov/IPManager//ExternalLink.aspx?6ibkph2k9yi6F%2B0Vz7YoTjN2oADz%2F5MxU4Y7VBKXh8o%3D","Link")</f>
        <v>Link</v>
      </c>
      <c r="B299" s="2" t="s">
        <v>1089</v>
      </c>
      <c r="C299" s="2" t="s">
        <v>1069</v>
      </c>
      <c r="D299" s="2" t="s">
        <v>1070</v>
      </c>
      <c r="E299" s="2" t="s">
        <v>1085</v>
      </c>
      <c r="F299" s="2"/>
      <c r="G299" s="2" t="s">
        <v>9</v>
      </c>
      <c r="H299" s="2"/>
      <c r="I299" s="2" t="s">
        <v>9</v>
      </c>
    </row>
    <row r="300" spans="1:9" ht="26" x14ac:dyDescent="0.3">
      <c r="A300" s="1" t="str">
        <f>HYPERLINK("https://ipmanager.doe.gov/IPManager//ExternalLink.aspx?6ibkph2k9yi6F%2B0Vz7YoTk2BI6w%2FjZ2fOxQU0LvXXxI%3D","Link")</f>
        <v>Link</v>
      </c>
      <c r="B300" s="2" t="s">
        <v>1090</v>
      </c>
      <c r="C300" s="2" t="s">
        <v>1069</v>
      </c>
      <c r="D300" s="2" t="s">
        <v>1070</v>
      </c>
      <c r="E300" s="2" t="s">
        <v>1091</v>
      </c>
      <c r="F300" s="2" t="s">
        <v>1092</v>
      </c>
      <c r="G300" s="2" t="s">
        <v>1093</v>
      </c>
      <c r="H300" s="2">
        <v>8802287</v>
      </c>
      <c r="I300" s="2" t="s">
        <v>1094</v>
      </c>
    </row>
    <row r="301" spans="1:9" ht="26" x14ac:dyDescent="0.3">
      <c r="A301" s="1" t="str">
        <f>HYPERLINK("https://ipmanager.doe.gov/IPManager//ExternalLink.aspx?6ibkph2k9yi6F%2B0Vz7YoTgZwfmYxrNyK08l8zO1JMIM%3D","Link")</f>
        <v>Link</v>
      </c>
      <c r="B301" s="2" t="s">
        <v>5360</v>
      </c>
      <c r="C301" s="2" t="s">
        <v>5349</v>
      </c>
      <c r="D301" s="2" t="s">
        <v>5350</v>
      </c>
      <c r="E301" s="2" t="s">
        <v>5361</v>
      </c>
      <c r="F301" s="2" t="s">
        <v>5362</v>
      </c>
      <c r="G301" s="2" t="s">
        <v>5363</v>
      </c>
      <c r="H301" s="2"/>
      <c r="I301" s="2" t="s">
        <v>9</v>
      </c>
    </row>
    <row r="302" spans="1:9" ht="39" x14ac:dyDescent="0.3">
      <c r="A302" s="1" t="str">
        <f>HYPERLINK("https://ipmanager.doe.gov/IPManager//ExternalLink.aspx?6ibkph2k9yi6F%2B0Vz7YoTlNm8snv%2FZpHmiWL5FV%2B5P8%3D","Link")</f>
        <v>Link</v>
      </c>
      <c r="B302" s="2" t="s">
        <v>1097</v>
      </c>
      <c r="C302" s="2" t="s">
        <v>1069</v>
      </c>
      <c r="D302" s="2" t="s">
        <v>1070</v>
      </c>
      <c r="E302" s="2" t="s">
        <v>1098</v>
      </c>
      <c r="F302" s="2" t="s">
        <v>7614</v>
      </c>
      <c r="G302" s="2" t="s">
        <v>1099</v>
      </c>
      <c r="H302" s="2">
        <v>8936870</v>
      </c>
      <c r="I302" s="2" t="s">
        <v>755</v>
      </c>
    </row>
    <row r="303" spans="1:9" ht="39" x14ac:dyDescent="0.3">
      <c r="A303" s="1" t="str">
        <f>HYPERLINK("https://ipmanager.doe.gov/IPManager//ExternalLink.aspx?6ibkph2k9yi6F%2B0Vz7YoTvE8yjoHgvp6WYfg0LeTb4k%3D","Link")</f>
        <v>Link</v>
      </c>
      <c r="B303" s="2" t="s">
        <v>7249</v>
      </c>
      <c r="C303" s="2" t="s">
        <v>7250</v>
      </c>
      <c r="D303" s="2" t="s">
        <v>7251</v>
      </c>
      <c r="E303" s="2" t="s">
        <v>7252</v>
      </c>
      <c r="F303" s="2" t="s">
        <v>7253</v>
      </c>
      <c r="G303" s="2" t="s">
        <v>3625</v>
      </c>
      <c r="H303" s="2"/>
      <c r="I303" s="2" t="s">
        <v>9</v>
      </c>
    </row>
    <row r="304" spans="1:9" ht="39" x14ac:dyDescent="0.3">
      <c r="A304" s="1" t="str">
        <f>HYPERLINK("https://ipmanager.doe.gov/IPManager//ExternalLink.aspx?6ibkph2k9yi6F%2B0Vz7YoTlNm8snv%2FZpHi76bImeJTQI%3D","Link")</f>
        <v>Link</v>
      </c>
      <c r="B304" s="2" t="s">
        <v>2002</v>
      </c>
      <c r="C304" s="2" t="s">
        <v>1986</v>
      </c>
      <c r="D304" s="2" t="s">
        <v>2003</v>
      </c>
      <c r="E304" s="2" t="s">
        <v>2004</v>
      </c>
      <c r="F304" s="2" t="s">
        <v>2005</v>
      </c>
      <c r="G304" s="2" t="s">
        <v>2006</v>
      </c>
      <c r="H304" s="2"/>
      <c r="I304" s="2" t="s">
        <v>9</v>
      </c>
    </row>
    <row r="305" spans="1:9" ht="52" x14ac:dyDescent="0.3">
      <c r="A305" s="1" t="str">
        <f>HYPERLINK("https://ipmanager.doe.gov/IPManager//ExternalLink.aspx?6ibkph2k9yi6F%2B0Vz7YoTjnDGhmGHGI7bboO3zwIJ9U%3D","Link")</f>
        <v>Link</v>
      </c>
      <c r="B305" s="2" t="s">
        <v>1106</v>
      </c>
      <c r="C305" s="2" t="s">
        <v>1069</v>
      </c>
      <c r="D305" s="2" t="s">
        <v>1070</v>
      </c>
      <c r="E305" s="2" t="s">
        <v>1107</v>
      </c>
      <c r="F305" s="2" t="s">
        <v>1108</v>
      </c>
      <c r="G305" s="2" t="s">
        <v>1109</v>
      </c>
      <c r="H305" s="2">
        <v>8877367</v>
      </c>
      <c r="I305" s="2" t="s">
        <v>461</v>
      </c>
    </row>
    <row r="306" spans="1:9" ht="52" x14ac:dyDescent="0.3">
      <c r="A306" s="1" t="str">
        <f>HYPERLINK("https://ipmanager.doe.gov/IPManager//ExternalLink.aspx?6ibkph2k9yi6F%2B0Vz7YoTjnDGhmGHGI71yMN4HTMkOw%3D","Link")</f>
        <v>Link</v>
      </c>
      <c r="B306" s="2" t="s">
        <v>2770</v>
      </c>
      <c r="C306" s="2" t="s">
        <v>2750</v>
      </c>
      <c r="D306" s="2" t="s">
        <v>2771</v>
      </c>
      <c r="E306" s="2" t="s">
        <v>2772</v>
      </c>
      <c r="F306" s="2" t="s">
        <v>2773</v>
      </c>
      <c r="G306" s="2" t="s">
        <v>242</v>
      </c>
      <c r="H306" s="2"/>
      <c r="I306" s="2" t="s">
        <v>9</v>
      </c>
    </row>
    <row r="307" spans="1:9" ht="39" x14ac:dyDescent="0.3">
      <c r="A307" s="1" t="str">
        <f>HYPERLINK("https://ipmanager.doe.gov/IPManager//ExternalLink.aspx?6ibkph2k9yi6F%2B0Vz7YoTgZwfmYxrNyK72WL%2FNPPPmA%3D","Link")</f>
        <v>Link</v>
      </c>
      <c r="B307" s="2" t="s">
        <v>4163</v>
      </c>
      <c r="C307" s="2" t="s">
        <v>4158</v>
      </c>
      <c r="D307" s="2" t="s">
        <v>4159</v>
      </c>
      <c r="E307" s="2" t="s">
        <v>4164</v>
      </c>
      <c r="F307" s="2" t="s">
        <v>4165</v>
      </c>
      <c r="G307" s="2" t="s">
        <v>4166</v>
      </c>
      <c r="H307" s="2"/>
      <c r="I307" s="2" t="s">
        <v>9</v>
      </c>
    </row>
    <row r="308" spans="1:9" ht="39" x14ac:dyDescent="0.3">
      <c r="A308" s="1" t="str">
        <f>HYPERLINK("https://ipmanager.doe.gov/IPManager//ExternalLink.aspx?6ibkph2k9yi6F%2B0Vz7YoTjnDGhmGHGI7QevE6Qqlhww%3D","Link")</f>
        <v>Link</v>
      </c>
      <c r="B308" s="2" t="s">
        <v>1114</v>
      </c>
      <c r="C308" s="2" t="s">
        <v>1069</v>
      </c>
      <c r="D308" s="2" t="s">
        <v>1070</v>
      </c>
      <c r="E308" s="2" t="s">
        <v>1115</v>
      </c>
      <c r="F308" s="2" t="s">
        <v>1116</v>
      </c>
      <c r="G308" s="2" t="s">
        <v>1117</v>
      </c>
      <c r="H308" s="2"/>
      <c r="I308" s="2" t="s">
        <v>9</v>
      </c>
    </row>
    <row r="309" spans="1:9" ht="26" x14ac:dyDescent="0.3">
      <c r="A309" s="1" t="str">
        <f>HYPERLINK("https://ipmanager.doe.gov/IPManager//ExternalLink.aspx?6ibkph2k9yi6F%2B0Vz7YoTjnDGhmGHGI76beBe2kQZLY%3D","Link")</f>
        <v>Link</v>
      </c>
      <c r="B309" s="2" t="s">
        <v>1118</v>
      </c>
      <c r="C309" s="2" t="s">
        <v>1069</v>
      </c>
      <c r="D309" s="2" t="s">
        <v>1070</v>
      </c>
      <c r="E309" s="2" t="s">
        <v>1119</v>
      </c>
      <c r="F309" s="2" t="s">
        <v>1120</v>
      </c>
      <c r="G309" s="2" t="s">
        <v>45</v>
      </c>
      <c r="H309" s="2"/>
      <c r="I309" s="2" t="s">
        <v>9</v>
      </c>
    </row>
    <row r="310" spans="1:9" ht="52" x14ac:dyDescent="0.3">
      <c r="A310" s="1" t="str">
        <f>HYPERLINK("https://ipmanager.doe.gov/IPManager//ExternalLink.aspx?6ibkph2k9yi6F%2B0Vz7YoTjnDGhmGHGI7F63EHs6ncxw%3D","Link")</f>
        <v>Link</v>
      </c>
      <c r="B310" s="2" t="s">
        <v>1121</v>
      </c>
      <c r="C310" s="2" t="s">
        <v>1069</v>
      </c>
      <c r="D310" s="2" t="s">
        <v>1070</v>
      </c>
      <c r="E310" s="2" t="s">
        <v>1077</v>
      </c>
      <c r="F310" s="2" t="s">
        <v>1122</v>
      </c>
      <c r="G310" s="2" t="s">
        <v>1079</v>
      </c>
      <c r="H310" s="2"/>
      <c r="I310" s="2" t="s">
        <v>9</v>
      </c>
    </row>
    <row r="311" spans="1:9" ht="39" x14ac:dyDescent="0.3">
      <c r="A311" s="1" t="str">
        <f>HYPERLINK("https://ipmanager.doe.gov/IPManager//ExternalLink.aspx?6ibkph2k9yi6F%2B0Vz7YoTlNm8snv%2FZpHvyfNbcPos98%3D","Link")</f>
        <v>Link</v>
      </c>
      <c r="B311" s="2" t="s">
        <v>1123</v>
      </c>
      <c r="C311" s="2" t="s">
        <v>1069</v>
      </c>
      <c r="D311" s="2" t="s">
        <v>1070</v>
      </c>
      <c r="E311" s="2" t="s">
        <v>1098</v>
      </c>
      <c r="F311" s="2" t="s">
        <v>1124</v>
      </c>
      <c r="G311" s="2" t="s">
        <v>1125</v>
      </c>
      <c r="H311" s="2">
        <v>9040197</v>
      </c>
      <c r="I311" s="2" t="s">
        <v>1126</v>
      </c>
    </row>
    <row r="312" spans="1:9" ht="39" x14ac:dyDescent="0.3">
      <c r="A312" s="1" t="str">
        <f>HYPERLINK("https://ipmanager.doe.gov/IPManager//ExternalLink.aspx?6ibkph2k9yi6F%2B0Vz7YoTo7DPLa3%2F%2FGgbuzv7sG1saM%3D","Link")</f>
        <v>Link</v>
      </c>
      <c r="B312" s="2" t="s">
        <v>5949</v>
      </c>
      <c r="C312" s="2" t="s">
        <v>5950</v>
      </c>
      <c r="D312" s="2" t="s">
        <v>5951</v>
      </c>
      <c r="E312" s="2" t="s">
        <v>5952</v>
      </c>
      <c r="F312" s="2" t="s">
        <v>7615</v>
      </c>
      <c r="G312" s="2" t="s">
        <v>5953</v>
      </c>
      <c r="H312" s="2"/>
      <c r="I312" s="2" t="s">
        <v>9</v>
      </c>
    </row>
    <row r="313" spans="1:9" ht="78" x14ac:dyDescent="0.3">
      <c r="A313" s="1" t="str">
        <f>HYPERLINK("https://ipmanager.doe.gov/IPManager//ExternalLink.aspx?6ibkph2k9yi6F%2B0Vz7YoTipZ798QK%2BbPv0h7WQut6q4%3D","Link")</f>
        <v>Link</v>
      </c>
      <c r="B313" s="2" t="s">
        <v>1131</v>
      </c>
      <c r="C313" s="2" t="s">
        <v>1132</v>
      </c>
      <c r="D313" s="2" t="s">
        <v>233</v>
      </c>
      <c r="E313" s="2" t="s">
        <v>118</v>
      </c>
      <c r="F313" s="2"/>
      <c r="G313" s="2" t="s">
        <v>9</v>
      </c>
      <c r="H313" s="2"/>
      <c r="I313" s="2" t="s">
        <v>9</v>
      </c>
    </row>
    <row r="314" spans="1:9" ht="39" x14ac:dyDescent="0.3">
      <c r="A314" s="1" t="str">
        <f>HYPERLINK("https://ipmanager.doe.gov/IPManager//ExternalLink.aspx?6ibkph2k9yi6F%2B0Vz7YoTjN2oADz%2F5MxdARbeMDmwrA%3D","Link")</f>
        <v>Link</v>
      </c>
      <c r="B314" s="2" t="s">
        <v>1133</v>
      </c>
      <c r="C314" s="2" t="s">
        <v>1132</v>
      </c>
      <c r="D314" s="2" t="s">
        <v>233</v>
      </c>
      <c r="E314" s="2" t="s">
        <v>1134</v>
      </c>
      <c r="F314" s="2" t="s">
        <v>1135</v>
      </c>
      <c r="G314" s="2" t="s">
        <v>1136</v>
      </c>
      <c r="H314" s="2">
        <v>9312398</v>
      </c>
      <c r="I314" s="2" t="s">
        <v>1137</v>
      </c>
    </row>
    <row r="315" spans="1:9" ht="39" x14ac:dyDescent="0.3">
      <c r="A315" s="1" t="str">
        <f>HYPERLINK("https://ipmanager.doe.gov/IPManager//ExternalLink.aspx?6ibkph2k9yi6F%2B0Vz7YoTvE8yjoHgvp6HSxYFO9h2CA%3D","Link")</f>
        <v>Link</v>
      </c>
      <c r="B315" s="2" t="s">
        <v>1138</v>
      </c>
      <c r="C315" s="2" t="s">
        <v>1132</v>
      </c>
      <c r="D315" s="2" t="s">
        <v>233</v>
      </c>
      <c r="E315" s="2" t="s">
        <v>1139</v>
      </c>
      <c r="F315" s="2"/>
      <c r="G315" s="2" t="s">
        <v>9</v>
      </c>
      <c r="H315" s="2"/>
      <c r="I315" s="2" t="s">
        <v>9</v>
      </c>
    </row>
    <row r="316" spans="1:9" ht="39" x14ac:dyDescent="0.3">
      <c r="A316" s="1" t="str">
        <f>HYPERLINK("https://ipmanager.doe.gov/IPManager//ExternalLink.aspx?6ibkph2k9yi6F%2B0Vz7YoTgZwfmYxrNyKgOEvauiJEuw%3D","Link")</f>
        <v>Link</v>
      </c>
      <c r="B316" s="2" t="s">
        <v>5954</v>
      </c>
      <c r="C316" s="2" t="s">
        <v>5950</v>
      </c>
      <c r="D316" s="2" t="s">
        <v>5951</v>
      </c>
      <c r="E316" s="2" t="s">
        <v>5955</v>
      </c>
      <c r="F316" s="2" t="s">
        <v>7616</v>
      </c>
      <c r="G316" s="2" t="s">
        <v>5953</v>
      </c>
      <c r="H316" s="2"/>
      <c r="I316" s="2" t="s">
        <v>9</v>
      </c>
    </row>
    <row r="317" spans="1:9" ht="52" x14ac:dyDescent="0.3">
      <c r="A317" s="1" t="str">
        <f>HYPERLINK("https://ipmanager.doe.gov/IPManager//ExternalLink.aspx?6ibkph2k9yi6F%2B0Vz7YoTr7J5I%2BY4foYZECUbgoUDKM%3D","Link")</f>
        <v>Link</v>
      </c>
      <c r="B317" s="2" t="s">
        <v>1144</v>
      </c>
      <c r="C317" s="2" t="s">
        <v>1145</v>
      </c>
      <c r="D317" s="2" t="s">
        <v>1146</v>
      </c>
      <c r="E317" s="2" t="s">
        <v>1147</v>
      </c>
      <c r="F317" s="2" t="s">
        <v>1148</v>
      </c>
      <c r="G317" s="2" t="s">
        <v>1149</v>
      </c>
      <c r="H317" s="2">
        <v>8512989</v>
      </c>
      <c r="I317" s="2" t="s">
        <v>702</v>
      </c>
    </row>
    <row r="318" spans="1:9" ht="52" x14ac:dyDescent="0.3">
      <c r="A318" s="1" t="str">
        <f>HYPERLINK("https://ipmanager.doe.gov/IPManager//ExternalLink.aspx?6ibkph2k9yi6F%2B0Vz7YoTr7J5I%2BY4foYg6KxaoQq50w%3D","Link")</f>
        <v>Link</v>
      </c>
      <c r="B318" s="2" t="s">
        <v>1152</v>
      </c>
      <c r="C318" s="2" t="s">
        <v>1145</v>
      </c>
      <c r="D318" s="2" t="s">
        <v>1146</v>
      </c>
      <c r="E318" s="2" t="s">
        <v>1153</v>
      </c>
      <c r="F318" s="2" t="s">
        <v>1154</v>
      </c>
      <c r="G318" s="2" t="s">
        <v>675</v>
      </c>
      <c r="H318" s="2"/>
      <c r="I318" s="2" t="s">
        <v>9</v>
      </c>
    </row>
    <row r="319" spans="1:9" ht="52" x14ac:dyDescent="0.3">
      <c r="A319" s="1" t="str">
        <f>HYPERLINK("https://ipmanager.doe.gov/IPManager//ExternalLink.aspx?6ibkph2k9yi6F%2B0Vz7YoTjnDGhmGHGI74mFBFdcGreU%3D","Link")</f>
        <v>Link</v>
      </c>
      <c r="B319" s="2" t="s">
        <v>1155</v>
      </c>
      <c r="C319" s="2" t="s">
        <v>1145</v>
      </c>
      <c r="D319" s="2" t="s">
        <v>1146</v>
      </c>
      <c r="E319" s="2" t="s">
        <v>1156</v>
      </c>
      <c r="F319" s="2" t="s">
        <v>1151</v>
      </c>
      <c r="G319" s="2" t="s">
        <v>675</v>
      </c>
      <c r="H319" s="2">
        <v>8354262</v>
      </c>
      <c r="I319" s="2" t="s">
        <v>1157</v>
      </c>
    </row>
    <row r="320" spans="1:9" ht="52" x14ac:dyDescent="0.3">
      <c r="A320" s="1" t="str">
        <f>HYPERLINK("https://ipmanager.doe.gov/IPManager//ExternalLink.aspx?6ibkph2k9yi6F%2B0Vz7YoTjnDGhmGHGI71zdFZeR0RYg%3D","Link")</f>
        <v>Link</v>
      </c>
      <c r="B320" s="2" t="s">
        <v>1155</v>
      </c>
      <c r="C320" s="2" t="s">
        <v>1145</v>
      </c>
      <c r="D320" s="2" t="s">
        <v>1146</v>
      </c>
      <c r="E320" s="2" t="s">
        <v>1156</v>
      </c>
      <c r="F320" s="2" t="s">
        <v>1158</v>
      </c>
      <c r="G320" s="2" t="s">
        <v>675</v>
      </c>
      <c r="H320" s="2"/>
      <c r="I320" s="2" t="s">
        <v>9</v>
      </c>
    </row>
    <row r="321" spans="1:9" ht="52" x14ac:dyDescent="0.3">
      <c r="A321" s="1" t="str">
        <f>HYPERLINK("https://ipmanager.doe.gov/IPManager//ExternalLink.aspx?6ibkph2k9yi6F%2B0Vz7YoTjN2oADz%2F5Mxza%2FsAp%2FKfDI%3D","Link")</f>
        <v>Link</v>
      </c>
      <c r="B321" s="2" t="s">
        <v>1152</v>
      </c>
      <c r="C321" s="2" t="s">
        <v>1145</v>
      </c>
      <c r="D321" s="2" t="s">
        <v>1146</v>
      </c>
      <c r="E321" s="2" t="s">
        <v>1147</v>
      </c>
      <c r="F321" s="2" t="s">
        <v>1150</v>
      </c>
      <c r="G321" s="2" t="s">
        <v>675</v>
      </c>
      <c r="H321" s="2">
        <v>8420364</v>
      </c>
      <c r="I321" s="2" t="s">
        <v>1159</v>
      </c>
    </row>
    <row r="322" spans="1:9" ht="52" x14ac:dyDescent="0.3">
      <c r="A322" s="1" t="str">
        <f>HYPERLINK("https://ipmanager.doe.gov/IPManager//ExternalLink.aspx?6ibkph2k9yi6F%2B0Vz7YoTjN2oADz%2F5Mxhzz6l1uV5vc%3D","Link")</f>
        <v>Link</v>
      </c>
      <c r="B322" s="2" t="s">
        <v>1160</v>
      </c>
      <c r="C322" s="2" t="s">
        <v>1145</v>
      </c>
      <c r="D322" s="2" t="s">
        <v>1146</v>
      </c>
      <c r="E322" s="2" t="s">
        <v>1156</v>
      </c>
      <c r="F322" s="2" t="s">
        <v>1161</v>
      </c>
      <c r="G322" s="2" t="s">
        <v>35</v>
      </c>
      <c r="H322" s="2">
        <v>8569031</v>
      </c>
      <c r="I322" s="2" t="s">
        <v>606</v>
      </c>
    </row>
    <row r="323" spans="1:9" ht="52" x14ac:dyDescent="0.3">
      <c r="A323" s="1" t="str">
        <f>HYPERLINK("https://ipmanager.doe.gov/IPManager//ExternalLink.aspx?6ibkph2k9yi6F%2B0Vz7YoTjN2oADz%2F5MxbrEnCMRkfN4%3D","Link")</f>
        <v>Link</v>
      </c>
      <c r="B323" s="2" t="s">
        <v>1162</v>
      </c>
      <c r="C323" s="2" t="s">
        <v>1145</v>
      </c>
      <c r="D323" s="2" t="s">
        <v>1146</v>
      </c>
      <c r="E323" s="2" t="s">
        <v>1163</v>
      </c>
      <c r="F323" s="2"/>
      <c r="G323" s="2" t="s">
        <v>9</v>
      </c>
      <c r="H323" s="2"/>
      <c r="I323" s="2" t="s">
        <v>9</v>
      </c>
    </row>
    <row r="324" spans="1:9" ht="52" x14ac:dyDescent="0.3">
      <c r="A324" s="1" t="str">
        <f>HYPERLINK("https://ipmanager.doe.gov/IPManager//ExternalLink.aspx?6ibkph2k9yi6F%2B0Vz7YoTr7J5I%2BY4foYdRWiqgRjWXQ%3D","Link")</f>
        <v>Link</v>
      </c>
      <c r="B324" s="2" t="s">
        <v>1164</v>
      </c>
      <c r="C324" s="2" t="s">
        <v>1145</v>
      </c>
      <c r="D324" s="2" t="s">
        <v>1146</v>
      </c>
      <c r="E324" s="2" t="s">
        <v>1165</v>
      </c>
      <c r="F324" s="2"/>
      <c r="G324" s="2" t="s">
        <v>9</v>
      </c>
      <c r="H324" s="2"/>
      <c r="I324" s="2" t="s">
        <v>9</v>
      </c>
    </row>
    <row r="325" spans="1:9" ht="52" x14ac:dyDescent="0.3">
      <c r="A325" s="1" t="str">
        <f>HYPERLINK("https://ipmanager.doe.gov/IPManager//ExternalLink.aspx?6ibkph2k9yi6F%2B0Vz7YoTjN2oADz%2F5MxvP%2BD9dn0V1E%3D","Link")</f>
        <v>Link</v>
      </c>
      <c r="B325" s="2" t="s">
        <v>1166</v>
      </c>
      <c r="C325" s="2" t="s">
        <v>1145</v>
      </c>
      <c r="D325" s="2" t="s">
        <v>1146</v>
      </c>
      <c r="E325" s="2" t="s">
        <v>1167</v>
      </c>
      <c r="F325" s="2"/>
      <c r="G325" s="2" t="s">
        <v>9</v>
      </c>
      <c r="H325" s="2"/>
      <c r="I325" s="2" t="s">
        <v>9</v>
      </c>
    </row>
    <row r="326" spans="1:9" ht="91" x14ac:dyDescent="0.3">
      <c r="A326" s="1" t="str">
        <f>HYPERLINK("https://ipmanager.doe.gov/IPManager//ExternalLink.aspx?6ibkph2k9yi6F%2B0Vz7YoTlNm8snv%2FZpHX3Le3TB0xPc%3D","Link")</f>
        <v>Link</v>
      </c>
      <c r="B326" s="2" t="s">
        <v>1168</v>
      </c>
      <c r="C326" s="2" t="s">
        <v>1145</v>
      </c>
      <c r="D326" s="2" t="s">
        <v>1146</v>
      </c>
      <c r="E326" s="2" t="s">
        <v>1169</v>
      </c>
      <c r="F326" s="2"/>
      <c r="G326" s="2" t="s">
        <v>9</v>
      </c>
      <c r="H326" s="2"/>
      <c r="I326" s="2" t="s">
        <v>9</v>
      </c>
    </row>
    <row r="327" spans="1:9" ht="26" x14ac:dyDescent="0.3">
      <c r="A327" s="1" t="str">
        <f>HYPERLINK("https://ipmanager.doe.gov/IPManager//ExternalLink.aspx?6ibkph2k9yi6F%2B0Vz7YoTlNm8snv%2FZpHhNO2vQzv5ZM%3D","Link")</f>
        <v>Link</v>
      </c>
      <c r="B327" s="2" t="s">
        <v>1170</v>
      </c>
      <c r="C327" s="2" t="s">
        <v>1145</v>
      </c>
      <c r="D327" s="2" t="s">
        <v>1146</v>
      </c>
      <c r="E327" s="2" t="s">
        <v>1171</v>
      </c>
      <c r="F327" s="2"/>
      <c r="G327" s="2" t="s">
        <v>9</v>
      </c>
      <c r="H327" s="2"/>
      <c r="I327" s="2" t="s">
        <v>9</v>
      </c>
    </row>
    <row r="328" spans="1:9" ht="91" x14ac:dyDescent="0.3">
      <c r="A328" s="1" t="str">
        <f>HYPERLINK("https://ipmanager.doe.gov/IPManager//ExternalLink.aspx?6ibkph2k9yi6F%2B0Vz7YoTlNm8snv%2FZpH%2FWriMX2uOyw%3D","Link")</f>
        <v>Link</v>
      </c>
      <c r="B328" s="2" t="s">
        <v>1172</v>
      </c>
      <c r="C328" s="2" t="s">
        <v>1145</v>
      </c>
      <c r="D328" s="2" t="s">
        <v>1146</v>
      </c>
      <c r="E328" s="2" t="s">
        <v>1173</v>
      </c>
      <c r="F328" s="2"/>
      <c r="G328" s="2" t="s">
        <v>9</v>
      </c>
      <c r="H328" s="2"/>
      <c r="I328" s="2" t="s">
        <v>9</v>
      </c>
    </row>
    <row r="329" spans="1:9" ht="91" x14ac:dyDescent="0.3">
      <c r="A329" s="1" t="str">
        <f>HYPERLINK("https://ipmanager.doe.gov/IPManager//ExternalLink.aspx?6ibkph2k9yi6F%2B0Vz7YoTlNm8snv%2FZpH4rfUlURlOgw%3D","Link")</f>
        <v>Link</v>
      </c>
      <c r="B329" s="2" t="s">
        <v>1174</v>
      </c>
      <c r="C329" s="2" t="s">
        <v>1145</v>
      </c>
      <c r="D329" s="2" t="s">
        <v>1146</v>
      </c>
      <c r="E329" s="2" t="s">
        <v>1175</v>
      </c>
      <c r="F329" s="2"/>
      <c r="G329" s="2" t="s">
        <v>9</v>
      </c>
      <c r="H329" s="2"/>
      <c r="I329" s="2" t="s">
        <v>9</v>
      </c>
    </row>
    <row r="330" spans="1:9" ht="91" x14ac:dyDescent="0.3">
      <c r="A330" s="1" t="str">
        <f>HYPERLINK("https://ipmanager.doe.gov/IPManager//ExternalLink.aspx?6ibkph2k9yi6F%2B0Vz7YoTlNm8snv%2FZpHZ6gV2twVO2s%3D","Link")</f>
        <v>Link</v>
      </c>
      <c r="B330" s="2" t="s">
        <v>1176</v>
      </c>
      <c r="C330" s="2" t="s">
        <v>1145</v>
      </c>
      <c r="D330" s="2" t="s">
        <v>1146</v>
      </c>
      <c r="E330" s="2" t="s">
        <v>1177</v>
      </c>
      <c r="F330" s="2"/>
      <c r="G330" s="2" t="s">
        <v>9</v>
      </c>
      <c r="H330" s="2"/>
      <c r="I330" s="2" t="s">
        <v>9</v>
      </c>
    </row>
    <row r="331" spans="1:9" ht="39" x14ac:dyDescent="0.3">
      <c r="A331" s="1" t="str">
        <f>HYPERLINK("https://ipmanager.doe.gov/IPManager//ExternalLink.aspx?6ibkph2k9yi6F%2B0Vz7YoTjN2oADz%2F5MxGS0268sTdOA%3D","Link")</f>
        <v>Link</v>
      </c>
      <c r="B331" s="2" t="s">
        <v>1178</v>
      </c>
      <c r="C331" s="2" t="s">
        <v>1145</v>
      </c>
      <c r="D331" s="2" t="s">
        <v>1146</v>
      </c>
      <c r="E331" s="2" t="s">
        <v>1179</v>
      </c>
      <c r="F331" s="2"/>
      <c r="G331" s="2" t="s">
        <v>9</v>
      </c>
      <c r="H331" s="2"/>
      <c r="I331" s="2" t="s">
        <v>9</v>
      </c>
    </row>
    <row r="332" spans="1:9" ht="130" x14ac:dyDescent="0.3">
      <c r="A332" s="1" t="str">
        <f>HYPERLINK("https://ipmanager.doe.gov/IPManager//ExternalLink.aspx?6ibkph2k9yi6F%2B0Vz7YoTjnDGhmGHGI7w9O8P1LMZC8%3D","Link")</f>
        <v>Link</v>
      </c>
      <c r="B332" s="2" t="s">
        <v>16</v>
      </c>
      <c r="C332" s="2" t="s">
        <v>1180</v>
      </c>
      <c r="D332" s="2" t="s">
        <v>1181</v>
      </c>
      <c r="E332" s="2" t="s">
        <v>1182</v>
      </c>
      <c r="F332" s="2" t="s">
        <v>1183</v>
      </c>
      <c r="G332" s="2" t="s">
        <v>1184</v>
      </c>
      <c r="H332" s="2">
        <v>8328911</v>
      </c>
      <c r="I332" s="2" t="s">
        <v>1185</v>
      </c>
    </row>
    <row r="333" spans="1:9" ht="26" x14ac:dyDescent="0.3">
      <c r="A333" s="1" t="str">
        <f>HYPERLINK("https://ipmanager.doe.gov/IPManager//ExternalLink.aspx?6ibkph2k9yi6F%2B0Vz7YoTsTAnuFk5EoABfy64d%2FL5IY%3D","Link")</f>
        <v>Link</v>
      </c>
      <c r="B333" s="2" t="s">
        <v>4799</v>
      </c>
      <c r="C333" s="2" t="s">
        <v>4795</v>
      </c>
      <c r="D333" s="2" t="s">
        <v>4796</v>
      </c>
      <c r="E333" s="2" t="s">
        <v>4800</v>
      </c>
      <c r="F333" s="2" t="s">
        <v>4801</v>
      </c>
      <c r="G333" s="2" t="s">
        <v>2632</v>
      </c>
      <c r="H333" s="2"/>
      <c r="I333" s="2" t="s">
        <v>9</v>
      </c>
    </row>
    <row r="334" spans="1:9" ht="52" x14ac:dyDescent="0.3">
      <c r="A334" s="1" t="str">
        <f>HYPERLINK("https://ipmanager.doe.gov/IPManager//ExternalLink.aspx?6ibkph2k9yi6F%2B0Vz7YoTipZ798QK%2BbPWGj%2Fdpcq6%2Fo%3D","Link")</f>
        <v>Link</v>
      </c>
      <c r="B334" s="2" t="s">
        <v>1191</v>
      </c>
      <c r="C334" s="2" t="s">
        <v>1187</v>
      </c>
      <c r="D334" s="2" t="s">
        <v>1188</v>
      </c>
      <c r="E334" s="2" t="s">
        <v>1192</v>
      </c>
      <c r="F334" s="2" t="s">
        <v>1193</v>
      </c>
      <c r="G334" s="2" t="s">
        <v>113</v>
      </c>
      <c r="H334" s="2">
        <v>9409116</v>
      </c>
      <c r="I334" s="2" t="s">
        <v>1194</v>
      </c>
    </row>
    <row r="335" spans="1:9" ht="39" x14ac:dyDescent="0.3">
      <c r="A335" s="1" t="str">
        <f>HYPERLINK("https://ipmanager.doe.gov/IPManager//ExternalLink.aspx?6ibkph2k9yi6F%2B0Vz7YoTsTAnuFk5EoAZA%2BzxeQsaO4%3D","Link")</f>
        <v>Link</v>
      </c>
      <c r="B335" s="2" t="s">
        <v>4802</v>
      </c>
      <c r="C335" s="2" t="s">
        <v>4795</v>
      </c>
      <c r="D335" s="2" t="s">
        <v>4796</v>
      </c>
      <c r="E335" s="2" t="s">
        <v>4803</v>
      </c>
      <c r="F335" s="2" t="s">
        <v>4804</v>
      </c>
      <c r="G335" s="2" t="s">
        <v>3103</v>
      </c>
      <c r="H335" s="2"/>
      <c r="I335" s="2" t="s">
        <v>9</v>
      </c>
    </row>
    <row r="336" spans="1:9" ht="52" x14ac:dyDescent="0.3">
      <c r="A336" s="1" t="str">
        <f>HYPERLINK("https://ipmanager.doe.gov/IPManager//ExternalLink.aspx?6ibkph2k9yi6F%2B0Vz7YoTipZ798QK%2BbPIKzBSOqKwn0%3D","Link")</f>
        <v>Link</v>
      </c>
      <c r="B336" s="2" t="s">
        <v>1198</v>
      </c>
      <c r="C336" s="2" t="s">
        <v>1187</v>
      </c>
      <c r="D336" s="2" t="s">
        <v>1188</v>
      </c>
      <c r="E336" s="2" t="s">
        <v>1199</v>
      </c>
      <c r="F336" s="2" t="s">
        <v>1200</v>
      </c>
      <c r="G336" s="2" t="s">
        <v>1008</v>
      </c>
      <c r="H336" s="2">
        <v>9421514</v>
      </c>
      <c r="I336" s="2" t="s">
        <v>36</v>
      </c>
    </row>
    <row r="337" spans="1:9" ht="39" x14ac:dyDescent="0.3">
      <c r="A337" s="1" t="str">
        <f>HYPERLINK("https://ipmanager.doe.gov/IPManager//ExternalLink.aspx?6ibkph2k9yi6F%2B0Vz7YoTsTAnuFk5EoAj5CSf%2BWotiM%3D","Link")</f>
        <v>Link</v>
      </c>
      <c r="B337" s="2" t="s">
        <v>4808</v>
      </c>
      <c r="C337" s="2" t="s">
        <v>4795</v>
      </c>
      <c r="D337" s="2" t="s">
        <v>4796</v>
      </c>
      <c r="E337" s="2" t="s">
        <v>4803</v>
      </c>
      <c r="F337" s="2" t="s">
        <v>4809</v>
      </c>
      <c r="G337" s="2" t="s">
        <v>3103</v>
      </c>
      <c r="H337" s="2"/>
      <c r="I337" s="2" t="s">
        <v>9</v>
      </c>
    </row>
    <row r="338" spans="1:9" ht="26" x14ac:dyDescent="0.3">
      <c r="A338" s="1" t="str">
        <f>HYPERLINK("https://ipmanager.doe.gov/IPManager//ExternalLink.aspx?6ibkph2k9yi6F%2B0Vz7YoTsTAnuFk5EoA4sDIBhgYpD8%3D","Link")</f>
        <v>Link</v>
      </c>
      <c r="B338" s="2" t="s">
        <v>4810</v>
      </c>
      <c r="C338" s="2" t="s">
        <v>4795</v>
      </c>
      <c r="D338" s="2" t="s">
        <v>4796</v>
      </c>
      <c r="E338" s="2" t="s">
        <v>4811</v>
      </c>
      <c r="F338" s="2" t="s">
        <v>4812</v>
      </c>
      <c r="G338" s="2" t="s">
        <v>4813</v>
      </c>
      <c r="H338" s="2"/>
      <c r="I338" s="2" t="s">
        <v>9</v>
      </c>
    </row>
    <row r="339" spans="1:9" ht="26" x14ac:dyDescent="0.3">
      <c r="A339" s="1" t="str">
        <f>HYPERLINK("https://ipmanager.doe.gov/IPManager//ExternalLink.aspx?6ibkph2k9yi6F%2B0Vz7YoTvE8yjoHgvp6qrayISj4%2BO8%3D","Link")</f>
        <v>Link</v>
      </c>
      <c r="B339" s="2" t="s">
        <v>4818</v>
      </c>
      <c r="C339" s="2" t="s">
        <v>4795</v>
      </c>
      <c r="D339" s="2" t="s">
        <v>4796</v>
      </c>
      <c r="E339" s="2" t="s">
        <v>4811</v>
      </c>
      <c r="F339" s="2" t="s">
        <v>4819</v>
      </c>
      <c r="G339" s="2" t="s">
        <v>4820</v>
      </c>
      <c r="H339" s="2"/>
      <c r="I339" s="2" t="s">
        <v>9</v>
      </c>
    </row>
    <row r="340" spans="1:9" ht="26" x14ac:dyDescent="0.3">
      <c r="A340" s="1" t="str">
        <f>HYPERLINK("https://ipmanager.doe.gov/IPManager//ExternalLink.aspx?6ibkph2k9yi6F%2B0Vz7YoTsTAnuFk5EoASQDRoJPfv5o%3D","Link")</f>
        <v>Link</v>
      </c>
      <c r="B340" s="2" t="s">
        <v>4825</v>
      </c>
      <c r="C340" s="2" t="s">
        <v>4795</v>
      </c>
      <c r="D340" s="2" t="s">
        <v>4796</v>
      </c>
      <c r="E340" s="2" t="s">
        <v>4806</v>
      </c>
      <c r="F340" s="2" t="s">
        <v>4807</v>
      </c>
      <c r="G340" s="2" t="s">
        <v>4155</v>
      </c>
      <c r="H340" s="2"/>
      <c r="I340" s="2" t="s">
        <v>9</v>
      </c>
    </row>
    <row r="341" spans="1:9" ht="39" x14ac:dyDescent="0.3">
      <c r="A341" s="1" t="str">
        <f>HYPERLINK("https://ipmanager.doe.gov/IPManager//ExternalLink.aspx?6ibkph2k9yi6F%2B0Vz7YoTo7DPLa3%2F%2FGgrGoHdSA2phs%3D","Link")</f>
        <v>Link</v>
      </c>
      <c r="B341" s="2" t="s">
        <v>1214</v>
      </c>
      <c r="C341" s="2" t="s">
        <v>1187</v>
      </c>
      <c r="D341" s="2" t="s">
        <v>1188</v>
      </c>
      <c r="E341" s="2" t="s">
        <v>1215</v>
      </c>
      <c r="F341" s="2" t="s">
        <v>1216</v>
      </c>
      <c r="G341" s="2" t="s">
        <v>1217</v>
      </c>
      <c r="H341" s="2">
        <v>9102691</v>
      </c>
      <c r="I341" s="2" t="s">
        <v>1218</v>
      </c>
    </row>
    <row r="342" spans="1:9" ht="26" x14ac:dyDescent="0.3">
      <c r="A342" s="1" t="str">
        <f>HYPERLINK("https://ipmanager.doe.gov/IPManager//ExternalLink.aspx?6ibkph2k9yi6F%2B0Vz7YoTlNm8snv%2FZpH3qVUsD0VevU%3D","Link")</f>
        <v>Link</v>
      </c>
      <c r="B342" s="2" t="s">
        <v>1219</v>
      </c>
      <c r="C342" s="2" t="s">
        <v>1220</v>
      </c>
      <c r="D342" s="2" t="s">
        <v>1221</v>
      </c>
      <c r="E342" s="2" t="s">
        <v>1222</v>
      </c>
      <c r="F342" s="2" t="s">
        <v>1223</v>
      </c>
      <c r="G342" s="2" t="s">
        <v>559</v>
      </c>
      <c r="H342" s="2">
        <v>9283502</v>
      </c>
      <c r="I342" s="2" t="s">
        <v>689</v>
      </c>
    </row>
    <row r="343" spans="1:9" ht="39" x14ac:dyDescent="0.3">
      <c r="A343" s="1" t="str">
        <f>HYPERLINK("https://ipmanager.doe.gov/IPManager//ExternalLink.aspx?6ibkph2k9yi6F%2B0Vz7YoTlNm8snv%2FZpHjz9p440F9Ro%3D","Link")</f>
        <v>Link</v>
      </c>
      <c r="B343" s="2" t="s">
        <v>1224</v>
      </c>
      <c r="C343" s="2" t="s">
        <v>1225</v>
      </c>
      <c r="D343" s="2" t="s">
        <v>452</v>
      </c>
      <c r="E343" s="2" t="s">
        <v>1226</v>
      </c>
      <c r="F343" s="2"/>
      <c r="G343" s="2" t="s">
        <v>9</v>
      </c>
      <c r="H343" s="2"/>
      <c r="I343" s="2" t="s">
        <v>9</v>
      </c>
    </row>
    <row r="344" spans="1:9" ht="52" x14ac:dyDescent="0.3">
      <c r="A344" s="1" t="str">
        <f>HYPERLINK("https://ipmanager.doe.gov/IPManager//ExternalLink.aspx?6ibkph2k9yi6F%2B0Vz7YoTlNm8snv%2FZpH%2F4C94Yyii2A%3D","Link")</f>
        <v>Link</v>
      </c>
      <c r="B344" s="2" t="s">
        <v>1228</v>
      </c>
      <c r="C344" s="2" t="s">
        <v>1225</v>
      </c>
      <c r="D344" s="2" t="s">
        <v>452</v>
      </c>
      <c r="E344" s="2" t="s">
        <v>1229</v>
      </c>
      <c r="F344" s="2"/>
      <c r="G344" s="2" t="s">
        <v>9</v>
      </c>
      <c r="H344" s="2"/>
      <c r="I344" s="2" t="s">
        <v>9</v>
      </c>
    </row>
    <row r="345" spans="1:9" ht="52" x14ac:dyDescent="0.3">
      <c r="A345" s="1" t="str">
        <f>HYPERLINK("https://ipmanager.doe.gov/IPManager//ExternalLink.aspx?6ibkph2k9yi6F%2B0Vz7YoTk2BI6w%2FjZ2fxeiKujQGW6c%3D","Link")</f>
        <v>Link</v>
      </c>
      <c r="B345" s="2" t="s">
        <v>1230</v>
      </c>
      <c r="C345" s="2" t="s">
        <v>1225</v>
      </c>
      <c r="D345" s="2" t="s">
        <v>452</v>
      </c>
      <c r="E345" s="2" t="s">
        <v>1231</v>
      </c>
      <c r="F345" s="2"/>
      <c r="G345" s="2" t="s">
        <v>9</v>
      </c>
      <c r="H345" s="2"/>
      <c r="I345" s="2" t="s">
        <v>9</v>
      </c>
    </row>
    <row r="346" spans="1:9" ht="52" x14ac:dyDescent="0.3">
      <c r="A346" s="1" t="str">
        <f>HYPERLINK("https://ipmanager.doe.gov/IPManager//ExternalLink.aspx?6ibkph2k9yi6F%2B0Vz7YoTipZ798QK%2BbP47GONJlf96A%3D","Link")</f>
        <v>Link</v>
      </c>
      <c r="B346" s="2" t="s">
        <v>1232</v>
      </c>
      <c r="C346" s="2" t="s">
        <v>1225</v>
      </c>
      <c r="D346" s="2" t="s">
        <v>452</v>
      </c>
      <c r="E346" s="2" t="s">
        <v>1233</v>
      </c>
      <c r="F346" s="2"/>
      <c r="G346" s="2" t="s">
        <v>9</v>
      </c>
      <c r="H346" s="2"/>
      <c r="I346" s="2" t="s">
        <v>9</v>
      </c>
    </row>
    <row r="347" spans="1:9" ht="39" x14ac:dyDescent="0.3">
      <c r="A347" s="1" t="str">
        <f>HYPERLINK("https://ipmanager.doe.gov/IPManager//ExternalLink.aspx?6ibkph2k9yi6F%2B0Vz7YoTipZ798QK%2BbPJDOL0kEIBPw%3D","Link")</f>
        <v>Link</v>
      </c>
      <c r="B347" s="2" t="s">
        <v>1234</v>
      </c>
      <c r="C347" s="2" t="s">
        <v>1225</v>
      </c>
      <c r="D347" s="2" t="s">
        <v>452</v>
      </c>
      <c r="E347" s="2" t="s">
        <v>1235</v>
      </c>
      <c r="F347" s="2"/>
      <c r="G347" s="2" t="s">
        <v>9</v>
      </c>
      <c r="H347" s="2"/>
      <c r="I347" s="2" t="s">
        <v>9</v>
      </c>
    </row>
    <row r="348" spans="1:9" ht="39" x14ac:dyDescent="0.3">
      <c r="A348" s="1" t="str">
        <f>HYPERLINK("https://ipmanager.doe.gov/IPManager//ExternalLink.aspx?6ibkph2k9yi6F%2B0Vz7YoTjnDGhmGHGI7XN%2BV2RCvblI%3D","Link")</f>
        <v>Link</v>
      </c>
      <c r="B348" s="2" t="s">
        <v>4829</v>
      </c>
      <c r="C348" s="2" t="s">
        <v>4795</v>
      </c>
      <c r="D348" s="2" t="s">
        <v>4796</v>
      </c>
      <c r="E348" s="2" t="s">
        <v>4830</v>
      </c>
      <c r="F348" s="2" t="s">
        <v>4831</v>
      </c>
      <c r="G348" s="2" t="s">
        <v>4832</v>
      </c>
      <c r="H348" s="2"/>
      <c r="I348" s="2" t="s">
        <v>9</v>
      </c>
    </row>
    <row r="349" spans="1:9" ht="26" x14ac:dyDescent="0.3">
      <c r="A349" s="1" t="str">
        <f>HYPERLINK("https://ipmanager.doe.gov/IPManager//ExternalLink.aspx?6ibkph2k9yi6F%2B0Vz7YoTjnDGhmGHGI70iWHMYYytEc%3D","Link")</f>
        <v>Link</v>
      </c>
      <c r="B349" s="2" t="s">
        <v>4833</v>
      </c>
      <c r="C349" s="2" t="s">
        <v>4795</v>
      </c>
      <c r="D349" s="2" t="s">
        <v>4796</v>
      </c>
      <c r="E349" s="2" t="s">
        <v>4834</v>
      </c>
      <c r="F349" s="2" t="s">
        <v>4835</v>
      </c>
      <c r="G349" s="2" t="s">
        <v>9</v>
      </c>
      <c r="H349" s="2"/>
      <c r="I349" s="2" t="s">
        <v>9</v>
      </c>
    </row>
    <row r="350" spans="1:9" ht="52" x14ac:dyDescent="0.3">
      <c r="A350" s="1" t="str">
        <f>HYPERLINK("https://ipmanager.doe.gov/IPManager//ExternalLink.aspx?6ibkph2k9yi6F%2B0Vz7YoTk2BI6w%2FjZ2f0x39Xeemdhc%3D","Link")</f>
        <v>Link</v>
      </c>
      <c r="B350" s="2" t="s">
        <v>1244</v>
      </c>
      <c r="C350" s="2" t="s">
        <v>1245</v>
      </c>
      <c r="D350" s="2" t="s">
        <v>1246</v>
      </c>
      <c r="E350" s="2" t="s">
        <v>1247</v>
      </c>
      <c r="F350" s="2"/>
      <c r="G350" s="2" t="s">
        <v>9</v>
      </c>
      <c r="H350" s="2"/>
      <c r="I350" s="2" t="s">
        <v>9</v>
      </c>
    </row>
    <row r="351" spans="1:9" ht="39" x14ac:dyDescent="0.3">
      <c r="A351" s="1" t="str">
        <f>HYPERLINK("https://ipmanager.doe.gov/IPManager//ExternalLink.aspx?6ibkph2k9yi6F%2B0Vz7YoTipZ798QK%2BbP%2BbDdKW11%2B24%3D","Link")</f>
        <v>Link</v>
      </c>
      <c r="B351" s="2" t="s">
        <v>1248</v>
      </c>
      <c r="C351" s="2" t="s">
        <v>1245</v>
      </c>
      <c r="D351" s="2" t="s">
        <v>154</v>
      </c>
      <c r="E351" s="2" t="s">
        <v>783</v>
      </c>
      <c r="F351" s="2" t="s">
        <v>1260</v>
      </c>
      <c r="G351" s="2" t="s">
        <v>1249</v>
      </c>
      <c r="H351" s="8">
        <v>9587256</v>
      </c>
      <c r="I351" s="2" t="s">
        <v>270</v>
      </c>
    </row>
    <row r="352" spans="1:9" ht="39" x14ac:dyDescent="0.3">
      <c r="A352" s="1" t="str">
        <f>HYPERLINK("https://ipmanager.doe.gov/IPManager//ExternalLink.aspx?6ibkph2k9yi6F%2B0Vz7YoTo7DPLa3%2F%2FGgaqHU4jXMJE0%3D","Link")</f>
        <v>Link</v>
      </c>
      <c r="B352" s="2" t="s">
        <v>4836</v>
      </c>
      <c r="C352" s="2" t="s">
        <v>4795</v>
      </c>
      <c r="D352" s="2" t="s">
        <v>4796</v>
      </c>
      <c r="E352" s="2" t="s">
        <v>4837</v>
      </c>
      <c r="F352" s="2" t="s">
        <v>4838</v>
      </c>
      <c r="G352" s="2" t="s">
        <v>3543</v>
      </c>
      <c r="H352" s="7"/>
      <c r="I352" s="2" t="s">
        <v>9</v>
      </c>
    </row>
    <row r="353" spans="1:9" ht="39" x14ac:dyDescent="0.3">
      <c r="A353" s="1" t="str">
        <f>HYPERLINK("https://ipmanager.doe.gov/IPManager//ExternalLink.aspx?6ibkph2k9yi6F%2B0Vz7YoTjnDGhmGHGI7xVFYFp6J6gQ%3D","Link")</f>
        <v>Link</v>
      </c>
      <c r="B353" s="2" t="s">
        <v>4839</v>
      </c>
      <c r="C353" s="2" t="s">
        <v>4795</v>
      </c>
      <c r="D353" s="2" t="s">
        <v>4796</v>
      </c>
      <c r="E353" s="2" t="s">
        <v>4840</v>
      </c>
      <c r="F353" s="2" t="s">
        <v>4841</v>
      </c>
      <c r="G353" s="2" t="s">
        <v>9</v>
      </c>
      <c r="H353" s="7"/>
      <c r="I353" s="2" t="s">
        <v>9</v>
      </c>
    </row>
    <row r="354" spans="1:9" ht="65" x14ac:dyDescent="0.3">
      <c r="A354" s="1" t="str">
        <f>HYPERLINK("https://ipmanager.doe.gov/IPManager//ExternalLink.aspx?6ibkph2k9yi6F%2B0Vz7YoTr7J5I%2BY4foY4hjhkQEafAg%3D","Link")</f>
        <v>Link</v>
      </c>
      <c r="B354" s="2" t="s">
        <v>1257</v>
      </c>
      <c r="C354" s="2" t="s">
        <v>1245</v>
      </c>
      <c r="D354" s="2" t="s">
        <v>1246</v>
      </c>
      <c r="E354" s="2" t="s">
        <v>1258</v>
      </c>
      <c r="F354" s="2"/>
      <c r="G354" s="2" t="s">
        <v>9</v>
      </c>
      <c r="H354" s="7"/>
      <c r="I354" s="2" t="s">
        <v>9</v>
      </c>
    </row>
    <row r="355" spans="1:9" ht="39" x14ac:dyDescent="0.3">
      <c r="A355" s="1" t="str">
        <f>HYPERLINK("https://ipmanager.doe.gov/IPManager//ExternalLink.aspx?6ibkph2k9yi6F%2B0Vz7YoTvPUg%2FVZPl3iqr%2F610kDyCg%3D","Link")</f>
        <v>Link</v>
      </c>
      <c r="B355" s="2" t="s">
        <v>1259</v>
      </c>
      <c r="C355" s="2" t="s">
        <v>1245</v>
      </c>
      <c r="D355" s="2" t="s">
        <v>1251</v>
      </c>
      <c r="E355" s="2" t="s">
        <v>783</v>
      </c>
      <c r="F355" s="2" t="s">
        <v>1260</v>
      </c>
      <c r="G355" s="2" t="s">
        <v>1261</v>
      </c>
      <c r="H355" s="7"/>
      <c r="I355" s="2" t="s">
        <v>9</v>
      </c>
    </row>
    <row r="356" spans="1:9" ht="39" x14ac:dyDescent="0.3">
      <c r="A356" s="1" t="str">
        <f>HYPERLINK("https://ipmanager.doe.gov/IPManager//ExternalLink.aspx?6ibkph2k9yi6F%2B0Vz7YoTvPUg%2FVZPl3iYKt2Y2vL3j8%3D","Link")</f>
        <v>Link</v>
      </c>
      <c r="B356" s="2" t="s">
        <v>1272</v>
      </c>
      <c r="C356" s="2" t="s">
        <v>1273</v>
      </c>
      <c r="D356" s="2" t="s">
        <v>770</v>
      </c>
      <c r="E356" s="2" t="s">
        <v>1274</v>
      </c>
      <c r="F356" s="2" t="s">
        <v>1275</v>
      </c>
      <c r="G356" s="2" t="s">
        <v>1276</v>
      </c>
      <c r="H356" s="7">
        <v>9567678</v>
      </c>
      <c r="I356" s="2" t="s">
        <v>9</v>
      </c>
    </row>
    <row r="357" spans="1:9" ht="39" x14ac:dyDescent="0.3">
      <c r="A357" s="1" t="str">
        <f>HYPERLINK("https://ipmanager.doe.gov/IPManager//ExternalLink.aspx?6ibkph2k9yi6F%2B0Vz7YoTp68px7nSN2g%2FQWvZPoiWfw%3D","Link")</f>
        <v>Link</v>
      </c>
      <c r="B357" s="2" t="s">
        <v>1277</v>
      </c>
      <c r="C357" s="2" t="s">
        <v>1273</v>
      </c>
      <c r="D357" s="2" t="s">
        <v>770</v>
      </c>
      <c r="E357" s="2" t="s">
        <v>1278</v>
      </c>
      <c r="F357" s="2" t="s">
        <v>1279</v>
      </c>
      <c r="G357" s="2" t="s">
        <v>146</v>
      </c>
      <c r="H357" s="7">
        <v>9302219</v>
      </c>
      <c r="I357" s="2" t="s">
        <v>160</v>
      </c>
    </row>
    <row r="358" spans="1:9" ht="26" x14ac:dyDescent="0.3">
      <c r="A358" s="1" t="str">
        <f>HYPERLINK("https://ipmanager.doe.gov/IPManager//ExternalLink.aspx?6ibkph2k9yi6F%2B0Vz7YoTjnDGhmGHGI7jisvp3snmkM%3D","Link")</f>
        <v>Link</v>
      </c>
      <c r="B358" s="2" t="s">
        <v>4846</v>
      </c>
      <c r="C358" s="2" t="s">
        <v>4795</v>
      </c>
      <c r="D358" s="2" t="s">
        <v>4796</v>
      </c>
      <c r="E358" s="2" t="s">
        <v>4847</v>
      </c>
      <c r="F358" s="2" t="s">
        <v>4848</v>
      </c>
      <c r="G358" s="2" t="s">
        <v>9</v>
      </c>
      <c r="H358" s="7"/>
      <c r="I358" s="2" t="s">
        <v>9</v>
      </c>
    </row>
    <row r="359" spans="1:9" ht="26" x14ac:dyDescent="0.3">
      <c r="A359" s="1" t="str">
        <f>HYPERLINK("https://ipmanager.doe.gov/IPManager//ExternalLink.aspx?6ibkph2k9yi6F%2B0Vz7YoTo7DPLa3%2F%2FGgJ2fJfO6jhgU%3D","Link")</f>
        <v>Link</v>
      </c>
      <c r="B359" s="2" t="s">
        <v>4849</v>
      </c>
      <c r="C359" s="2" t="s">
        <v>4795</v>
      </c>
      <c r="D359" s="2" t="s">
        <v>4796</v>
      </c>
      <c r="E359" s="2" t="s">
        <v>4850</v>
      </c>
      <c r="F359" s="2" t="s">
        <v>4851</v>
      </c>
      <c r="G359" s="2" t="s">
        <v>2583</v>
      </c>
      <c r="H359" s="7"/>
      <c r="I359" s="2" t="s">
        <v>9</v>
      </c>
    </row>
    <row r="360" spans="1:9" ht="65" x14ac:dyDescent="0.3">
      <c r="A360" s="1" t="str">
        <f>HYPERLINK("https://ipmanager.doe.gov/IPManager//ExternalLink.aspx?6ibkph2k9yi6F%2B0Vz7YoTq6RR9BlGHHiJCGXTrvVuLA%3D","Link")</f>
        <v>Link</v>
      </c>
      <c r="B360" s="2" t="s">
        <v>1290</v>
      </c>
      <c r="C360" s="2" t="s">
        <v>1284</v>
      </c>
      <c r="D360" s="2" t="s">
        <v>1285</v>
      </c>
      <c r="E360" s="2" t="s">
        <v>1291</v>
      </c>
      <c r="F360" s="2"/>
      <c r="G360" s="2" t="s">
        <v>9</v>
      </c>
      <c r="H360" s="7"/>
      <c r="I360" s="2" t="s">
        <v>9</v>
      </c>
    </row>
    <row r="361" spans="1:9" ht="39" x14ac:dyDescent="0.3">
      <c r="A361" s="1" t="str">
        <f>HYPERLINK("https://ipmanager.doe.gov/IPManager//ExternalLink.aspx?6ibkph2k9yi6F%2B0Vz7YoTipZ798QK%2BbPGGsmqA6wXh4%3D","Link")</f>
        <v>Link</v>
      </c>
      <c r="B361" s="2" t="s">
        <v>1292</v>
      </c>
      <c r="C361" s="2" t="s">
        <v>1284</v>
      </c>
      <c r="D361" s="2" t="s">
        <v>1285</v>
      </c>
      <c r="E361" s="2" t="s">
        <v>1293</v>
      </c>
      <c r="F361" s="2"/>
      <c r="G361" s="2" t="s">
        <v>9</v>
      </c>
      <c r="H361" s="7"/>
      <c r="I361" s="2" t="s">
        <v>9</v>
      </c>
    </row>
    <row r="362" spans="1:9" ht="39" x14ac:dyDescent="0.3">
      <c r="A362" s="1" t="str">
        <f>HYPERLINK("https://ipmanager.doe.gov/IPManager//ExternalLink.aspx?6ibkph2k9yi6F%2B0Vz7YoTipZ798QK%2BbP1dXzuy051%2FE%3D","Link")</f>
        <v>Link</v>
      </c>
      <c r="B362" s="2" t="s">
        <v>1294</v>
      </c>
      <c r="C362" s="2" t="s">
        <v>1284</v>
      </c>
      <c r="D362" s="2" t="s">
        <v>1285</v>
      </c>
      <c r="E362" s="2" t="s">
        <v>1295</v>
      </c>
      <c r="F362" s="2" t="s">
        <v>1296</v>
      </c>
      <c r="G362" s="2" t="s">
        <v>1297</v>
      </c>
      <c r="H362" s="7"/>
      <c r="I362" s="2" t="s">
        <v>9</v>
      </c>
    </row>
    <row r="363" spans="1:9" ht="26" x14ac:dyDescent="0.3">
      <c r="A363" s="1" t="str">
        <f>HYPERLINK("https://ipmanager.doe.gov/IPManager//ExternalLink.aspx?6ibkph2k9yi6F%2B0Vz7YoTlNm8snv%2FZpHP0Ut2ZvZOiA%3D","Link")</f>
        <v>Link</v>
      </c>
      <c r="B363" s="2" t="s">
        <v>1298</v>
      </c>
      <c r="C363" s="2" t="s">
        <v>1284</v>
      </c>
      <c r="D363" s="2" t="s">
        <v>1285</v>
      </c>
      <c r="E363" s="2" t="s">
        <v>1299</v>
      </c>
      <c r="F363" s="2" t="s">
        <v>1300</v>
      </c>
      <c r="G363" s="2" t="s">
        <v>1301</v>
      </c>
      <c r="H363" s="7">
        <v>9427698</v>
      </c>
      <c r="I363" s="2" t="s">
        <v>1302</v>
      </c>
    </row>
    <row r="364" spans="1:9" ht="39" x14ac:dyDescent="0.3">
      <c r="A364" s="1" t="str">
        <f>HYPERLINK("https://ipmanager.doe.gov/IPManager//ExternalLink.aspx?6ibkph2k9yi6F%2B0Vz7YoTipZ798QK%2BbP2MueLYseo10%3D","Link")</f>
        <v>Link</v>
      </c>
      <c r="B364" s="2" t="s">
        <v>1303</v>
      </c>
      <c r="C364" s="2" t="s">
        <v>1284</v>
      </c>
      <c r="D364" s="2" t="s">
        <v>1285</v>
      </c>
      <c r="E364" s="2" t="s">
        <v>1304</v>
      </c>
      <c r="F364" s="2"/>
      <c r="G364" s="2" t="s">
        <v>9</v>
      </c>
      <c r="H364" s="7"/>
      <c r="I364" s="2" t="s">
        <v>9</v>
      </c>
    </row>
    <row r="365" spans="1:9" ht="39" x14ac:dyDescent="0.3">
      <c r="A365" s="1" t="str">
        <f>HYPERLINK("https://ipmanager.doe.gov/IPManager//ExternalLink.aspx?6ibkph2k9yi6F%2B0Vz7YoTipZ798QK%2BbP%2Fv2Am9VeoIs%3D","Link")</f>
        <v>Link</v>
      </c>
      <c r="B365" s="2" t="s">
        <v>1306</v>
      </c>
      <c r="C365" s="2" t="s">
        <v>1284</v>
      </c>
      <c r="D365" s="2" t="s">
        <v>1285</v>
      </c>
      <c r="E365" s="2" t="s">
        <v>1307</v>
      </c>
      <c r="F365" s="2" t="s">
        <v>1308</v>
      </c>
      <c r="G365" s="2" t="s">
        <v>1309</v>
      </c>
      <c r="H365" s="7">
        <v>9427697</v>
      </c>
      <c r="I365" s="2" t="s">
        <v>1302</v>
      </c>
    </row>
    <row r="366" spans="1:9" ht="39" x14ac:dyDescent="0.3">
      <c r="A366" s="1" t="str">
        <f>HYPERLINK("https://ipmanager.doe.gov/IPManager//ExternalLink.aspx?6ibkph2k9yi6F%2B0Vz7YoTipZ798QK%2BbPu3s%2BLLROfSQ%3D","Link")</f>
        <v>Link</v>
      </c>
      <c r="B366" s="2" t="s">
        <v>1310</v>
      </c>
      <c r="C366" s="2" t="s">
        <v>1284</v>
      </c>
      <c r="D366" s="2" t="s">
        <v>1285</v>
      </c>
      <c r="E366" s="2" t="s">
        <v>1311</v>
      </c>
      <c r="F366" s="2" t="s">
        <v>1312</v>
      </c>
      <c r="G366" s="2" t="s">
        <v>1313</v>
      </c>
      <c r="H366" s="7">
        <v>9302220</v>
      </c>
      <c r="I366" s="2" t="s">
        <v>160</v>
      </c>
    </row>
    <row r="367" spans="1:9" ht="26" x14ac:dyDescent="0.3">
      <c r="A367" s="1" t="str">
        <f>HYPERLINK("https://ipmanager.doe.gov/IPManager//ExternalLink.aspx?6ibkph2k9yi6F%2B0Vz7YoTlNm8snv%2FZpHC09T8RmVqrM%3D","Link")</f>
        <v>Link</v>
      </c>
      <c r="B367" s="2" t="s">
        <v>1314</v>
      </c>
      <c r="C367" s="2" t="s">
        <v>1284</v>
      </c>
      <c r="D367" s="2" t="s">
        <v>1285</v>
      </c>
      <c r="E367" s="2" t="s">
        <v>1315</v>
      </c>
      <c r="F367" s="2"/>
      <c r="G367" s="2" t="s">
        <v>9</v>
      </c>
      <c r="H367" s="7"/>
      <c r="I367" s="2" t="s">
        <v>9</v>
      </c>
    </row>
    <row r="368" spans="1:9" ht="39" x14ac:dyDescent="0.3">
      <c r="A368" s="1" t="str">
        <f>HYPERLINK("https://ipmanager.doe.gov/IPManager//ExternalLink.aspx?6ibkph2k9yi6F%2B0Vz7YoTk2BI6w%2FjZ2fA4wrVtFEOkA%3D","Link")</f>
        <v>Link</v>
      </c>
      <c r="B368" s="2" t="s">
        <v>1316</v>
      </c>
      <c r="C368" s="2" t="s">
        <v>1317</v>
      </c>
      <c r="D368" s="2" t="s">
        <v>1318</v>
      </c>
      <c r="E368" s="2" t="s">
        <v>1319</v>
      </c>
      <c r="F368" s="2" t="s">
        <v>1320</v>
      </c>
      <c r="G368" s="2" t="s">
        <v>1321</v>
      </c>
      <c r="H368" s="7">
        <v>9150889</v>
      </c>
      <c r="I368" s="2" t="s">
        <v>794</v>
      </c>
    </row>
    <row r="369" spans="1:9" ht="39" x14ac:dyDescent="0.3">
      <c r="A369" s="1" t="str">
        <f>HYPERLINK("https://ipmanager.doe.gov/IPManager//ExternalLink.aspx?6ibkph2k9yi6F%2B0Vz7YoTk2BI6w%2FjZ2farUr%2FXr07jA%3D","Link")</f>
        <v>Link</v>
      </c>
      <c r="B369" s="2" t="s">
        <v>1322</v>
      </c>
      <c r="C369" s="2" t="s">
        <v>1317</v>
      </c>
      <c r="D369" s="2" t="s">
        <v>1318</v>
      </c>
      <c r="E369" s="2" t="s">
        <v>1319</v>
      </c>
      <c r="F369" s="2" t="s">
        <v>1323</v>
      </c>
      <c r="G369" s="2" t="s">
        <v>1324</v>
      </c>
      <c r="H369" s="7">
        <v>9481898</v>
      </c>
      <c r="I369" s="2" t="s">
        <v>1325</v>
      </c>
    </row>
    <row r="370" spans="1:9" ht="65" x14ac:dyDescent="0.3">
      <c r="A370" s="1" t="str">
        <f>HYPERLINK("https://ipmanager.doe.gov/IPManager//ExternalLink.aspx?6ibkph2k9yi6F%2B0Vz7YoTjnDGhmGHGI7n6YAE6bQV04%3D","Link")</f>
        <v>Link</v>
      </c>
      <c r="B370" s="2" t="s">
        <v>2984</v>
      </c>
      <c r="C370" s="2" t="s">
        <v>2974</v>
      </c>
      <c r="D370" s="2" t="s">
        <v>348</v>
      </c>
      <c r="E370" s="2" t="s">
        <v>2985</v>
      </c>
      <c r="F370" s="2" t="s">
        <v>2986</v>
      </c>
      <c r="G370" s="2" t="s">
        <v>2987</v>
      </c>
      <c r="H370" s="7"/>
      <c r="I370" s="2" t="s">
        <v>9</v>
      </c>
    </row>
    <row r="371" spans="1:9" ht="52" x14ac:dyDescent="0.3">
      <c r="A371" s="1" t="str">
        <f>HYPERLINK("https://ipmanager.doe.gov/IPManager//ExternalLink.aspx?6ibkph2k9yi6F%2B0Vz7YoTjnDGhmGHGI7wttj3cJZyk0%3D","Link")</f>
        <v>Link</v>
      </c>
      <c r="B371" s="2" t="s">
        <v>2997</v>
      </c>
      <c r="C371" s="2" t="s">
        <v>2974</v>
      </c>
      <c r="D371" s="2" t="s">
        <v>348</v>
      </c>
      <c r="E371" s="2" t="s">
        <v>2989</v>
      </c>
      <c r="F371" s="2" t="s">
        <v>2998</v>
      </c>
      <c r="G371" s="2" t="s">
        <v>855</v>
      </c>
      <c r="H371" s="7"/>
      <c r="I371" s="2" t="s">
        <v>9</v>
      </c>
    </row>
    <row r="372" spans="1:9" ht="39" x14ac:dyDescent="0.3">
      <c r="A372" s="1" t="str">
        <f>HYPERLINK("https://ipmanager.doe.gov/IPManager//ExternalLink.aspx?6ibkph2k9yi6F%2B0Vz7YoTjnDGhmGHGI7Ss%2FjzKJ5Mxs%3D","Link")</f>
        <v>Link</v>
      </c>
      <c r="B372" s="2" t="s">
        <v>2999</v>
      </c>
      <c r="C372" s="2" t="s">
        <v>2974</v>
      </c>
      <c r="D372" s="2" t="s">
        <v>348</v>
      </c>
      <c r="E372" s="2" t="s">
        <v>3000</v>
      </c>
      <c r="F372" s="2" t="s">
        <v>3001</v>
      </c>
      <c r="G372" s="2" t="s">
        <v>3002</v>
      </c>
      <c r="H372" s="7"/>
      <c r="I372" s="2" t="s">
        <v>9</v>
      </c>
    </row>
    <row r="373" spans="1:9" ht="52" x14ac:dyDescent="0.3">
      <c r="A373" s="1" t="str">
        <f>HYPERLINK("https://ipmanager.doe.gov/IPManager//ExternalLink.aspx?6ibkph2k9yi6F%2B0Vz7YoTipZ798QK%2BbPcGjhhD5aBh8%3D","Link")</f>
        <v>Link</v>
      </c>
      <c r="B373" s="2" t="s">
        <v>1338</v>
      </c>
      <c r="C373" s="2" t="s">
        <v>1339</v>
      </c>
      <c r="D373" s="2" t="s">
        <v>1340</v>
      </c>
      <c r="E373" s="2" t="s">
        <v>1341</v>
      </c>
      <c r="F373" s="2"/>
      <c r="G373" s="2" t="s">
        <v>9</v>
      </c>
      <c r="H373" s="7"/>
      <c r="I373" s="2" t="s">
        <v>9</v>
      </c>
    </row>
    <row r="374" spans="1:9" ht="78" x14ac:dyDescent="0.3">
      <c r="A374" s="1" t="str">
        <f>HYPERLINK("https://ipmanager.doe.gov/IPManager//ExternalLink.aspx?6ibkph2k9yi6F%2B0Vz7YoTlNm8snv%2FZpHy%2FnWFfaX8qY%3D","Link")</f>
        <v>Link</v>
      </c>
      <c r="B374" s="2" t="s">
        <v>1342</v>
      </c>
      <c r="C374" s="2" t="s">
        <v>1339</v>
      </c>
      <c r="D374" s="2" t="s">
        <v>1343</v>
      </c>
      <c r="E374" s="2" t="s">
        <v>1344</v>
      </c>
      <c r="F374" s="2" t="s">
        <v>1345</v>
      </c>
      <c r="G374" s="2" t="s">
        <v>883</v>
      </c>
      <c r="H374" s="7">
        <v>9856449</v>
      </c>
      <c r="I374" s="2" t="s">
        <v>1346</v>
      </c>
    </row>
    <row r="375" spans="1:9" ht="52" x14ac:dyDescent="0.3">
      <c r="A375" s="1" t="str">
        <f>HYPERLINK("https://ipmanager.doe.gov/IPManager//ExternalLink.aspx?6ibkph2k9yi6F%2B0Vz7YoTipZ798QK%2BbPJ1MSzLGOHW4%3D","Link")</f>
        <v>Link</v>
      </c>
      <c r="B375" s="2" t="s">
        <v>1348</v>
      </c>
      <c r="C375" s="2" t="s">
        <v>1339</v>
      </c>
      <c r="D375" s="2" t="s">
        <v>1343</v>
      </c>
      <c r="E375" s="2" t="s">
        <v>1349</v>
      </c>
      <c r="F375" s="2" t="s">
        <v>1347</v>
      </c>
      <c r="G375" s="2" t="s">
        <v>401</v>
      </c>
      <c r="H375" s="7">
        <v>9175408</v>
      </c>
      <c r="I375" s="2" t="s">
        <v>1350</v>
      </c>
    </row>
    <row r="376" spans="1:9" ht="65" x14ac:dyDescent="0.3">
      <c r="A376" s="1" t="str">
        <f>HYPERLINK("https://ipmanager.doe.gov/IPManager//ExternalLink.aspx?6ibkph2k9yi6F%2B0Vz7YoTvPUg%2FVZPl3iizkreLxMVDw%3D","Link")</f>
        <v>Link</v>
      </c>
      <c r="B376" s="2" t="s">
        <v>4625</v>
      </c>
      <c r="C376" s="2" t="s">
        <v>4619</v>
      </c>
      <c r="D376" s="2" t="s">
        <v>348</v>
      </c>
      <c r="E376" s="2" t="s">
        <v>4626</v>
      </c>
      <c r="F376" s="2" t="s">
        <v>4627</v>
      </c>
      <c r="G376" s="2" t="s">
        <v>4628</v>
      </c>
      <c r="H376" s="7"/>
      <c r="I376" s="2" t="s">
        <v>9</v>
      </c>
    </row>
    <row r="377" spans="1:9" ht="39" x14ac:dyDescent="0.3">
      <c r="A377" s="1" t="str">
        <f>HYPERLINK("https://ipmanager.doe.gov/IPManager//ExternalLink.aspx?6ibkph2k9yi6F%2B0Vz7YoTipZ798QK%2BbP4aXVdML6vkc%3D","Link")</f>
        <v>Link</v>
      </c>
      <c r="B377" s="2" t="s">
        <v>1355</v>
      </c>
      <c r="C377" s="2" t="s">
        <v>1352</v>
      </c>
      <c r="D377" s="2" t="s">
        <v>1353</v>
      </c>
      <c r="E377" s="2" t="s">
        <v>1356</v>
      </c>
      <c r="F377" s="2" t="s">
        <v>7617</v>
      </c>
      <c r="G377" s="2" t="s">
        <v>1357</v>
      </c>
      <c r="H377" s="8">
        <v>9428778</v>
      </c>
      <c r="I377" s="2" t="s">
        <v>1302</v>
      </c>
    </row>
    <row r="378" spans="1:9" ht="52" x14ac:dyDescent="0.3">
      <c r="A378" s="1" t="str">
        <f>HYPERLINK("https://ipmanager.doe.gov/IPManager//ExternalLink.aspx?6ibkph2k9yi6F%2B0Vz7YoTsTAnuFk5EoAmQNpTAj4uO4%3D","Link")</f>
        <v>Link</v>
      </c>
      <c r="B378" s="2" t="s">
        <v>5560</v>
      </c>
      <c r="C378" s="2" t="s">
        <v>5561</v>
      </c>
      <c r="D378" s="2" t="s">
        <v>348</v>
      </c>
      <c r="E378" s="2" t="s">
        <v>5562</v>
      </c>
      <c r="F378" s="2" t="s">
        <v>5563</v>
      </c>
      <c r="G378" s="2" t="s">
        <v>2614</v>
      </c>
      <c r="H378" s="7"/>
      <c r="I378" s="2" t="s">
        <v>9</v>
      </c>
    </row>
    <row r="379" spans="1:9" ht="52" x14ac:dyDescent="0.3">
      <c r="A379" s="1" t="str">
        <f>HYPERLINK("https://ipmanager.doe.gov/IPManager//ExternalLink.aspx?6ibkph2k9yi6F%2B0Vz7YoTvPUg%2FVZPl3ivpvmzeeAn58%3D","Link")</f>
        <v>Link</v>
      </c>
      <c r="B379" s="2" t="s">
        <v>5568</v>
      </c>
      <c r="C379" s="2" t="s">
        <v>5561</v>
      </c>
      <c r="D379" s="2" t="s">
        <v>348</v>
      </c>
      <c r="E379" s="2" t="s">
        <v>5562</v>
      </c>
      <c r="F379" s="2" t="s">
        <v>5564</v>
      </c>
      <c r="G379" s="2" t="s">
        <v>2614</v>
      </c>
      <c r="H379" s="7"/>
      <c r="I379" s="2" t="s">
        <v>9</v>
      </c>
    </row>
    <row r="380" spans="1:9" ht="52" x14ac:dyDescent="0.3">
      <c r="A380" s="1" t="str">
        <f>HYPERLINK("https://ipmanager.doe.gov/IPManager//ExternalLink.aspx?6ibkph2k9yi6F%2B0Vz7YoTsTAnuFk5EoADqW4uyf4gc4%3D","Link")</f>
        <v>Link</v>
      </c>
      <c r="B380" s="2" t="s">
        <v>6246</v>
      </c>
      <c r="C380" s="2" t="s">
        <v>6244</v>
      </c>
      <c r="D380" s="2" t="s">
        <v>348</v>
      </c>
      <c r="E380" s="2" t="s">
        <v>6247</v>
      </c>
      <c r="F380" s="2" t="s">
        <v>6248</v>
      </c>
      <c r="G380" s="2" t="s">
        <v>4575</v>
      </c>
      <c r="H380" s="7"/>
      <c r="I380" s="2" t="s">
        <v>9</v>
      </c>
    </row>
    <row r="381" spans="1:9" ht="52" x14ac:dyDescent="0.3">
      <c r="A381" s="1" t="str">
        <f>HYPERLINK("https://ipmanager.doe.gov/IPManager//ExternalLink.aspx?6ibkph2k9yi6F%2B0Vz7YoTp68px7nSN2gwMAQUHskP04%3D","Link")</f>
        <v>Link</v>
      </c>
      <c r="B381" s="2" t="s">
        <v>6526</v>
      </c>
      <c r="C381" s="2" t="s">
        <v>6512</v>
      </c>
      <c r="D381" s="2" t="s">
        <v>348</v>
      </c>
      <c r="E381" s="2" t="s">
        <v>6527</v>
      </c>
      <c r="F381" s="2" t="s">
        <v>6528</v>
      </c>
      <c r="G381" s="2" t="s">
        <v>5856</v>
      </c>
      <c r="H381" s="7"/>
      <c r="I381" s="2" t="s">
        <v>9</v>
      </c>
    </row>
    <row r="382" spans="1:9" ht="52" x14ac:dyDescent="0.3">
      <c r="A382" s="1" t="str">
        <f>HYPERLINK("https://ipmanager.doe.gov/IPManager//ExternalLink.aspx?6ibkph2k9yi6F%2B0Vz7YoTjN2oADz%2F5Mx%2FDrFWB%2B0gs0%3D","Link")</f>
        <v>Link</v>
      </c>
      <c r="B382" s="2" t="s">
        <v>1373</v>
      </c>
      <c r="C382" s="2" t="s">
        <v>1374</v>
      </c>
      <c r="D382" s="2" t="s">
        <v>1375</v>
      </c>
      <c r="E382" s="2" t="s">
        <v>1376</v>
      </c>
      <c r="F382" s="2"/>
      <c r="G382" s="2" t="s">
        <v>9</v>
      </c>
      <c r="H382" s="7"/>
      <c r="I382" s="2" t="s">
        <v>9</v>
      </c>
    </row>
    <row r="383" spans="1:9" ht="65" x14ac:dyDescent="0.3">
      <c r="A383" s="1" t="str">
        <f>HYPERLINK("https://ipmanager.doe.gov/IPManager//ExternalLink.aspx?6ibkph2k9yi6F%2B0Vz7YoTjN2oADz%2F5MxSyJ85RPSWkw%3D","Link")</f>
        <v>Link</v>
      </c>
      <c r="B383" s="2" t="s">
        <v>1377</v>
      </c>
      <c r="C383" s="2" t="s">
        <v>1374</v>
      </c>
      <c r="D383" s="2" t="s">
        <v>1375</v>
      </c>
      <c r="E383" s="2" t="s">
        <v>1378</v>
      </c>
      <c r="F383" s="2"/>
      <c r="G383" s="2" t="s">
        <v>9</v>
      </c>
      <c r="H383" s="7"/>
      <c r="I383" s="2" t="s">
        <v>9</v>
      </c>
    </row>
    <row r="384" spans="1:9" ht="39" x14ac:dyDescent="0.3">
      <c r="A384" s="1" t="str">
        <f>HYPERLINK("https://ipmanager.doe.gov/IPManager//ExternalLink.aspx?6ibkph2k9yi6F%2B0Vz7YoTk2BI6w%2FjZ2fWIEy8eNrSR0%3D","Link")</f>
        <v>Link</v>
      </c>
      <c r="B384" s="2" t="s">
        <v>1379</v>
      </c>
      <c r="C384" s="2" t="s">
        <v>1374</v>
      </c>
      <c r="D384" s="2" t="s">
        <v>1380</v>
      </c>
      <c r="E384" s="2" t="s">
        <v>1381</v>
      </c>
      <c r="F384" s="2"/>
      <c r="G384" s="2" t="s">
        <v>9</v>
      </c>
      <c r="H384" s="7"/>
      <c r="I384" s="2" t="s">
        <v>9</v>
      </c>
    </row>
    <row r="385" spans="1:9" ht="26" x14ac:dyDescent="0.3">
      <c r="A385" s="1" t="str">
        <f>HYPERLINK("https://ipmanager.doe.gov/IPManager//ExternalLink.aspx?6ibkph2k9yi6F%2B0Vz7YoTipZ798QK%2BbPSRRf16JOz9o%3D","Link")</f>
        <v>Link</v>
      </c>
      <c r="B385" s="2" t="s">
        <v>1382</v>
      </c>
      <c r="C385" s="2" t="s">
        <v>1374</v>
      </c>
      <c r="D385" s="2" t="s">
        <v>1380</v>
      </c>
      <c r="E385" s="2" t="s">
        <v>1383</v>
      </c>
      <c r="F385" s="2" t="s">
        <v>1384</v>
      </c>
      <c r="G385" s="2" t="s">
        <v>1385</v>
      </c>
      <c r="H385" s="7"/>
      <c r="I385" s="2" t="s">
        <v>9</v>
      </c>
    </row>
    <row r="386" spans="1:9" ht="65" x14ac:dyDescent="0.3">
      <c r="A386" s="1" t="str">
        <f>HYPERLINK("https://ipmanager.doe.gov/IPManager//ExternalLink.aspx?6ibkph2k9yi6F%2B0Vz7YoTipZ798QK%2BbPzUaS2mj2las%3D","Link")</f>
        <v>Link</v>
      </c>
      <c r="B386" s="2" t="s">
        <v>1386</v>
      </c>
      <c r="C386" s="2" t="s">
        <v>1374</v>
      </c>
      <c r="D386" s="2" t="s">
        <v>1380</v>
      </c>
      <c r="E386" s="2" t="s">
        <v>1387</v>
      </c>
      <c r="F386" s="2"/>
      <c r="G386" s="2" t="s">
        <v>9</v>
      </c>
      <c r="H386" s="7"/>
      <c r="I386" s="2" t="s">
        <v>9</v>
      </c>
    </row>
    <row r="387" spans="1:9" ht="26" x14ac:dyDescent="0.3">
      <c r="A387" s="1" t="str">
        <f>HYPERLINK("https://ipmanager.doe.gov/IPManager//ExternalLink.aspx?6ibkph2k9yi6F%2B0Vz7YoTjnDGhmGHGI7ZOKUdvI%2FpFA%3D","Link")</f>
        <v>Link</v>
      </c>
      <c r="B387" s="2" t="s">
        <v>1382</v>
      </c>
      <c r="C387" s="2" t="s">
        <v>1374</v>
      </c>
      <c r="D387" s="2" t="s">
        <v>1380</v>
      </c>
      <c r="E387" s="2" t="s">
        <v>1383</v>
      </c>
      <c r="F387" s="2" t="s">
        <v>1389</v>
      </c>
      <c r="G387" s="2" t="s">
        <v>1390</v>
      </c>
      <c r="H387" s="7"/>
      <c r="I387" s="2" t="s">
        <v>9</v>
      </c>
    </row>
    <row r="388" spans="1:9" ht="52" x14ac:dyDescent="0.3">
      <c r="A388" s="1" t="str">
        <f>HYPERLINK("https://ipmanager.doe.gov/IPManager//ExternalLink.aspx?6ibkph2k9yi6F%2B0Vz7YoTr7J5I%2BY4foYKEG0hvxR6RA%3D","Link")</f>
        <v>Link</v>
      </c>
      <c r="B388" s="2" t="s">
        <v>2910</v>
      </c>
      <c r="C388" s="2" t="s">
        <v>2907</v>
      </c>
      <c r="D388" s="2" t="s">
        <v>2911</v>
      </c>
      <c r="E388" s="2" t="s">
        <v>2909</v>
      </c>
      <c r="F388" s="2" t="s">
        <v>2912</v>
      </c>
      <c r="G388" s="2" t="s">
        <v>2913</v>
      </c>
      <c r="H388" s="7"/>
      <c r="I388" s="2" t="s">
        <v>9</v>
      </c>
    </row>
    <row r="389" spans="1:9" ht="65" x14ac:dyDescent="0.3">
      <c r="A389" s="1" t="str">
        <f>HYPERLINK("https://ipmanager.doe.gov/IPManager//ExternalLink.aspx?6ibkph2k9yi6F%2B0Vz7YoTjnDGhmGHGI7S2epZwaBwT8%3D","Link")</f>
        <v>Link</v>
      </c>
      <c r="B389" s="2" t="s">
        <v>2914</v>
      </c>
      <c r="C389" s="2" t="s">
        <v>2907</v>
      </c>
      <c r="D389" s="2" t="s">
        <v>2911</v>
      </c>
      <c r="E389" s="2" t="s">
        <v>2915</v>
      </c>
      <c r="F389" s="2" t="s">
        <v>2916</v>
      </c>
      <c r="G389" s="2" t="s">
        <v>2917</v>
      </c>
      <c r="H389" s="7"/>
      <c r="I389" s="2" t="s">
        <v>9</v>
      </c>
    </row>
    <row r="390" spans="1:9" ht="52" x14ac:dyDescent="0.3">
      <c r="A390" s="1" t="str">
        <f>HYPERLINK("https://ipmanager.doe.gov/IPManager//ExternalLink.aspx?6ibkph2k9yi6F%2B0Vz7YoTjnDGhmGHGI7lIG6t4Q%2B3JA%3D","Link")</f>
        <v>Link</v>
      </c>
      <c r="B390" s="2" t="s">
        <v>1405</v>
      </c>
      <c r="C390" s="2" t="s">
        <v>1392</v>
      </c>
      <c r="D390" s="2" t="s">
        <v>1393</v>
      </c>
      <c r="E390" s="2" t="s">
        <v>1398</v>
      </c>
      <c r="F390" s="2" t="s">
        <v>1406</v>
      </c>
      <c r="G390" s="2" t="s">
        <v>1407</v>
      </c>
      <c r="H390" s="7"/>
      <c r="I390" s="2" t="s">
        <v>9</v>
      </c>
    </row>
    <row r="391" spans="1:9" ht="52" x14ac:dyDescent="0.3">
      <c r="A391" s="1" t="str">
        <f>HYPERLINK("https://ipmanager.doe.gov/IPManager//ExternalLink.aspx?6ibkph2k9yi6F%2B0Vz7YoTjnDGhmGHGI7fOpIPFru6%2Bk%3D","Link")</f>
        <v>Link</v>
      </c>
      <c r="B391" s="2" t="s">
        <v>3027</v>
      </c>
      <c r="C391" s="2" t="s">
        <v>3025</v>
      </c>
      <c r="D391" s="2" t="s">
        <v>2908</v>
      </c>
      <c r="E391" s="2" t="s">
        <v>3028</v>
      </c>
      <c r="F391" s="2" t="s">
        <v>2654</v>
      </c>
      <c r="G391" s="2" t="s">
        <v>2326</v>
      </c>
      <c r="H391" s="7"/>
      <c r="I391" s="2" t="s">
        <v>9</v>
      </c>
    </row>
    <row r="392" spans="1:9" ht="52" x14ac:dyDescent="0.3">
      <c r="A392" s="1" t="str">
        <f>HYPERLINK("https://ipmanager.doe.gov/IPManager//ExternalLink.aspx?6ibkph2k9yi6F%2B0Vz7YoTnXVN2REjGcWjK6u4fbvQhg%3D","Link")</f>
        <v>Link</v>
      </c>
      <c r="B392" s="2" t="s">
        <v>1412</v>
      </c>
      <c r="C392" s="2" t="s">
        <v>1392</v>
      </c>
      <c r="D392" s="2" t="s">
        <v>1393</v>
      </c>
      <c r="E392" s="2" t="s">
        <v>1398</v>
      </c>
      <c r="F392" s="2" t="s">
        <v>1408</v>
      </c>
      <c r="G392" s="2" t="s">
        <v>1401</v>
      </c>
      <c r="H392" s="7">
        <v>8349587</v>
      </c>
      <c r="I392" s="2" t="s">
        <v>1413</v>
      </c>
    </row>
    <row r="393" spans="1:9" ht="39" x14ac:dyDescent="0.3">
      <c r="A393" s="1" t="str">
        <f>HYPERLINK("https://ipmanager.doe.gov/IPManager//ExternalLink.aspx?6ibkph2k9yi6F%2B0Vz7YoTipZ798QK%2BbP8LTnG1fIJ0o%3D","Link")</f>
        <v>Link</v>
      </c>
      <c r="B393" s="2" t="s">
        <v>2551</v>
      </c>
      <c r="C393" s="2" t="s">
        <v>2546</v>
      </c>
      <c r="D393" s="2" t="s">
        <v>2547</v>
      </c>
      <c r="E393" s="2" t="s">
        <v>2548</v>
      </c>
      <c r="F393" s="2" t="s">
        <v>2552</v>
      </c>
      <c r="G393" s="2" t="s">
        <v>258</v>
      </c>
      <c r="H393" s="7"/>
      <c r="I393" s="2" t="s">
        <v>9</v>
      </c>
    </row>
    <row r="394" spans="1:9" ht="39" x14ac:dyDescent="0.3">
      <c r="A394" s="1" t="str">
        <f>HYPERLINK("https://ipmanager.doe.gov/IPManager//ExternalLink.aspx?6ibkph2k9yi6F%2B0Vz7YoTipZ798QK%2BbPUWo6uFdOfMg%3D","Link")</f>
        <v>Link</v>
      </c>
      <c r="B394" s="2" t="s">
        <v>1414</v>
      </c>
      <c r="C394" s="2" t="s">
        <v>1392</v>
      </c>
      <c r="D394" s="2" t="s">
        <v>1415</v>
      </c>
      <c r="E394" s="2" t="s">
        <v>1416</v>
      </c>
      <c r="F394" s="2"/>
      <c r="G394" s="2" t="s">
        <v>9</v>
      </c>
      <c r="H394" s="7"/>
      <c r="I394" s="2" t="s">
        <v>9</v>
      </c>
    </row>
    <row r="395" spans="1:9" ht="26" x14ac:dyDescent="0.3">
      <c r="A395" s="1" t="str">
        <f>HYPERLINK("https://ipmanager.doe.gov/IPManager//ExternalLink.aspx?6ibkph2k9yi6F%2B0Vz7YoTipZ798QK%2BbPkAhpjurPScw%3D","Link")</f>
        <v>Link</v>
      </c>
      <c r="B395" s="2" t="s">
        <v>1417</v>
      </c>
      <c r="C395" s="2" t="s">
        <v>1418</v>
      </c>
      <c r="D395" s="2" t="s">
        <v>293</v>
      </c>
      <c r="E395" s="2" t="s">
        <v>1419</v>
      </c>
      <c r="F395" s="2" t="s">
        <v>1420</v>
      </c>
      <c r="G395" s="2" t="s">
        <v>583</v>
      </c>
      <c r="H395" s="7">
        <v>8691171</v>
      </c>
      <c r="I395" s="2" t="s">
        <v>1421</v>
      </c>
    </row>
    <row r="396" spans="1:9" ht="39" x14ac:dyDescent="0.3">
      <c r="A396" s="1" t="str">
        <f>HYPERLINK("https://ipmanager.doe.gov/IPManager//ExternalLink.aspx?6ibkph2k9yi6F%2B0Vz7YoTipZ798QK%2BbPsOmkQ4THdfI%3D","Link")</f>
        <v>Link</v>
      </c>
      <c r="B396" s="2" t="s">
        <v>2553</v>
      </c>
      <c r="C396" s="2" t="s">
        <v>2546</v>
      </c>
      <c r="D396" s="2" t="s">
        <v>2547</v>
      </c>
      <c r="E396" s="2" t="s">
        <v>2548</v>
      </c>
      <c r="F396" s="2" t="s">
        <v>2554</v>
      </c>
      <c r="G396" s="2" t="s">
        <v>2555</v>
      </c>
      <c r="H396" s="7"/>
      <c r="I396" s="2" t="s">
        <v>9</v>
      </c>
    </row>
    <row r="397" spans="1:9" ht="91" x14ac:dyDescent="0.3">
      <c r="A397" s="1" t="str">
        <f>HYPERLINK("https://ipmanager.doe.gov/IPManager//ExternalLink.aspx?6ibkph2k9yi6F%2B0Vz7YoTkqAgjuWMa9QegXhfUfvvxM%3D","Link")</f>
        <v>Link</v>
      </c>
      <c r="B397" s="2" t="s">
        <v>4268</v>
      </c>
      <c r="C397" s="2" t="s">
        <v>4269</v>
      </c>
      <c r="D397" s="2" t="s">
        <v>4270</v>
      </c>
      <c r="E397" s="2" t="s">
        <v>4271</v>
      </c>
      <c r="F397" s="2" t="s">
        <v>4272</v>
      </c>
      <c r="G397" s="2" t="s">
        <v>3686</v>
      </c>
      <c r="H397" s="7"/>
      <c r="I397" s="2" t="s">
        <v>9</v>
      </c>
    </row>
    <row r="398" spans="1:9" ht="65" x14ac:dyDescent="0.3">
      <c r="A398" s="1" t="str">
        <f>HYPERLINK("https://ipmanager.doe.gov/IPManager//ExternalLink.aspx?6ibkph2k9yi6F%2B0Vz7YoTjnDGhmGHGI7xznlhjcvOkY%3D","Link")</f>
        <v>Link</v>
      </c>
      <c r="B398" s="2" t="s">
        <v>1423</v>
      </c>
      <c r="C398" s="2" t="s">
        <v>1418</v>
      </c>
      <c r="D398" s="2" t="s">
        <v>293</v>
      </c>
      <c r="E398" s="2" t="s">
        <v>1430</v>
      </c>
      <c r="F398" s="2" t="s">
        <v>1425</v>
      </c>
      <c r="G398" s="2" t="s">
        <v>1426</v>
      </c>
      <c r="H398" s="7">
        <v>8691171</v>
      </c>
      <c r="I398" s="2" t="s">
        <v>1421</v>
      </c>
    </row>
    <row r="399" spans="1:9" ht="52" x14ac:dyDescent="0.3">
      <c r="A399" s="1" t="str">
        <f>HYPERLINK("https://ipmanager.doe.gov/IPManager//ExternalLink.aspx?6ibkph2k9yi6F%2B0Vz7YoTipZ798QK%2BbPkgMx3gEo7Hg%3D","Link")</f>
        <v>Link</v>
      </c>
      <c r="B399" s="2" t="s">
        <v>2838</v>
      </c>
      <c r="C399" s="2" t="s">
        <v>2832</v>
      </c>
      <c r="D399" s="2" t="s">
        <v>2839</v>
      </c>
      <c r="E399" s="2" t="s">
        <v>2840</v>
      </c>
      <c r="F399" s="2" t="s">
        <v>2841</v>
      </c>
      <c r="G399" s="2" t="s">
        <v>1937</v>
      </c>
      <c r="H399" s="7"/>
      <c r="I399" s="2" t="s">
        <v>9</v>
      </c>
    </row>
    <row r="400" spans="1:9" ht="39" x14ac:dyDescent="0.3">
      <c r="A400" s="1" t="str">
        <f>HYPERLINK("https://ipmanager.doe.gov/IPManager//ExternalLink.aspx?6ibkph2k9yi6F%2B0Vz7YoTnXVN2REjGcWcp9mpGfPI04%3D","Link")</f>
        <v>Link</v>
      </c>
      <c r="B400" s="2" t="s">
        <v>2842</v>
      </c>
      <c r="C400" s="2" t="s">
        <v>2832</v>
      </c>
      <c r="D400" s="2" t="s">
        <v>2839</v>
      </c>
      <c r="E400" s="2" t="s">
        <v>2843</v>
      </c>
      <c r="F400" s="2" t="s">
        <v>2844</v>
      </c>
      <c r="G400" s="2" t="s">
        <v>2845</v>
      </c>
      <c r="H400" s="7"/>
      <c r="I400" s="2" t="s">
        <v>9</v>
      </c>
    </row>
    <row r="401" spans="1:9" ht="52" x14ac:dyDescent="0.3">
      <c r="A401" s="1" t="str">
        <f>HYPERLINK("https://ipmanager.doe.gov/IPManager//ExternalLink.aspx?6ibkph2k9yi6F%2B0Vz7YoTipZ798QK%2BbPw%2FdZpbpLWTY%3D","Link")</f>
        <v>Link</v>
      </c>
      <c r="B401" s="2" t="s">
        <v>1439</v>
      </c>
      <c r="C401" s="2" t="s">
        <v>1440</v>
      </c>
      <c r="D401" s="2" t="s">
        <v>1441</v>
      </c>
      <c r="E401" s="2" t="s">
        <v>1442</v>
      </c>
      <c r="F401" s="2"/>
      <c r="G401" s="2" t="s">
        <v>9</v>
      </c>
      <c r="H401" s="7"/>
      <c r="I401" s="2" t="s">
        <v>9</v>
      </c>
    </row>
    <row r="402" spans="1:9" ht="52" x14ac:dyDescent="0.3">
      <c r="A402" s="1" t="str">
        <f>HYPERLINK("https://ipmanager.doe.gov/IPManager//ExternalLink.aspx?6ibkph2k9yi6F%2B0Vz7YoTo7DPLa3%2F%2FGgcs8MlIx%2FXGI%3D","Link")</f>
        <v>Link</v>
      </c>
      <c r="B402" s="2" t="s">
        <v>1443</v>
      </c>
      <c r="C402" s="2" t="s">
        <v>1440</v>
      </c>
      <c r="D402" s="2" t="s">
        <v>1441</v>
      </c>
      <c r="E402" s="2" t="s">
        <v>1444</v>
      </c>
      <c r="F402" s="2"/>
      <c r="G402" s="2" t="s">
        <v>9</v>
      </c>
      <c r="H402" s="7"/>
      <c r="I402" s="2" t="s">
        <v>9</v>
      </c>
    </row>
    <row r="403" spans="1:9" ht="39" x14ac:dyDescent="0.3">
      <c r="A403" s="1" t="str">
        <f>HYPERLINK("https://ipmanager.doe.gov/IPManager//ExternalLink.aspx?6ibkph2k9yi6F%2B0Vz7YoTipZ798QK%2BbPK%2F9Pcv6mw3Y%3D","Link")</f>
        <v>Link</v>
      </c>
      <c r="B403" s="2" t="s">
        <v>2846</v>
      </c>
      <c r="C403" s="2" t="s">
        <v>2832</v>
      </c>
      <c r="D403" s="2" t="s">
        <v>2839</v>
      </c>
      <c r="E403" s="2" t="s">
        <v>2843</v>
      </c>
      <c r="F403" s="2" t="s">
        <v>2847</v>
      </c>
      <c r="G403" s="2" t="s">
        <v>2848</v>
      </c>
      <c r="H403" s="7"/>
      <c r="I403" s="2" t="s">
        <v>9</v>
      </c>
    </row>
    <row r="404" spans="1:9" ht="39" x14ac:dyDescent="0.3">
      <c r="A404" s="1" t="str">
        <f>HYPERLINK("https://ipmanager.doe.gov/IPManager//ExternalLink.aspx?6ibkph2k9yi6F%2B0Vz7YoTipZ798QK%2BbPgCDd0IOON18%3D","Link")</f>
        <v>Link</v>
      </c>
      <c r="B404" s="2" t="s">
        <v>2849</v>
      </c>
      <c r="C404" s="2" t="s">
        <v>2832</v>
      </c>
      <c r="D404" s="2" t="s">
        <v>2839</v>
      </c>
      <c r="E404" s="2" t="s">
        <v>2850</v>
      </c>
      <c r="F404" s="2" t="s">
        <v>2851</v>
      </c>
      <c r="G404" s="2" t="s">
        <v>2852</v>
      </c>
      <c r="H404" s="7"/>
      <c r="I404" s="2" t="s">
        <v>9</v>
      </c>
    </row>
    <row r="405" spans="1:9" ht="52" x14ac:dyDescent="0.3">
      <c r="A405" s="1" t="str">
        <f>HYPERLINK("https://ipmanager.doe.gov/IPManager//ExternalLink.aspx?6ibkph2k9yi6F%2B0Vz7YoTvPUg%2FVZPl3infyVo%2FEX5xQ%3D","Link")</f>
        <v>Link</v>
      </c>
      <c r="B405" s="2" t="s">
        <v>1729</v>
      </c>
      <c r="C405" s="2" t="s">
        <v>1730</v>
      </c>
      <c r="D405" s="2" t="s">
        <v>1731</v>
      </c>
      <c r="E405" s="2" t="s">
        <v>1732</v>
      </c>
      <c r="F405" s="2" t="s">
        <v>1733</v>
      </c>
      <c r="G405" s="2" t="s">
        <v>1734</v>
      </c>
      <c r="H405" s="7"/>
      <c r="I405" s="2" t="s">
        <v>9</v>
      </c>
    </row>
    <row r="406" spans="1:9" ht="52" x14ac:dyDescent="0.3">
      <c r="A406" s="1" t="str">
        <f>HYPERLINK("https://ipmanager.doe.gov/IPManager//ExternalLink.aspx?6ibkph2k9yi6F%2B0Vz7YoTvPUg%2FVZPl3iAvZZjSzbEYs%3D","Link")</f>
        <v>Link</v>
      </c>
      <c r="B406" s="2" t="s">
        <v>1736</v>
      </c>
      <c r="C406" s="2" t="s">
        <v>1730</v>
      </c>
      <c r="D406" s="2" t="s">
        <v>1731</v>
      </c>
      <c r="E406" s="2" t="s">
        <v>1737</v>
      </c>
      <c r="F406" s="2" t="s">
        <v>1738</v>
      </c>
      <c r="G406" s="2" t="s">
        <v>1739</v>
      </c>
      <c r="H406" s="7"/>
      <c r="I406" s="2" t="s">
        <v>9</v>
      </c>
    </row>
    <row r="407" spans="1:9" ht="52" x14ac:dyDescent="0.3">
      <c r="A407" s="1" t="str">
        <f>HYPERLINK("https://ipmanager.doe.gov/IPManager//ExternalLink.aspx?6ibkph2k9yi6F%2B0Vz7YoTq6RR9BlGHHir6nDBjSnnoI%3D","Link")</f>
        <v>Link</v>
      </c>
      <c r="B407" s="2" t="s">
        <v>1747</v>
      </c>
      <c r="C407" s="2" t="s">
        <v>1730</v>
      </c>
      <c r="D407" s="2" t="s">
        <v>1731</v>
      </c>
      <c r="E407" s="2" t="s">
        <v>1732</v>
      </c>
      <c r="F407" s="2" t="s">
        <v>1735</v>
      </c>
      <c r="G407" s="2" t="s">
        <v>405</v>
      </c>
      <c r="H407" s="7"/>
      <c r="I407" s="2" t="s">
        <v>9</v>
      </c>
    </row>
    <row r="408" spans="1:9" ht="26" x14ac:dyDescent="0.3">
      <c r="A408" s="1" t="str">
        <f>HYPERLINK("https://ipmanager.doe.gov/IPManager//ExternalLink.aspx?6ibkph2k9yi6F%2B0Vz7YoTo7DPLa3%2F%2FGgvKldO39KllI%3D","Link")</f>
        <v>Link</v>
      </c>
      <c r="B408" s="2" t="s">
        <v>1755</v>
      </c>
      <c r="C408" s="2" t="s">
        <v>1730</v>
      </c>
      <c r="D408" s="2" t="s">
        <v>1731</v>
      </c>
      <c r="E408" s="2" t="s">
        <v>1756</v>
      </c>
      <c r="F408" s="2" t="s">
        <v>1740</v>
      </c>
      <c r="G408" s="2" t="s">
        <v>1757</v>
      </c>
      <c r="H408" s="7"/>
      <c r="I408" s="2" t="s">
        <v>9</v>
      </c>
    </row>
    <row r="409" spans="1:9" ht="26" x14ac:dyDescent="0.3">
      <c r="A409" s="1" t="str">
        <f>HYPERLINK("https://ipmanager.doe.gov/IPManager//ExternalLink.aspx?6ibkph2k9yi6F%2B0Vz7YoTvE8yjoHgvp6N4VvMof2B9Q%3D","Link")</f>
        <v>Link</v>
      </c>
      <c r="B409" s="2" t="s">
        <v>6113</v>
      </c>
      <c r="C409" s="2" t="s">
        <v>6109</v>
      </c>
      <c r="D409" s="2" t="s">
        <v>1375</v>
      </c>
      <c r="E409" s="2" t="s">
        <v>6114</v>
      </c>
      <c r="F409" s="2" t="s">
        <v>6115</v>
      </c>
      <c r="G409" s="2" t="s">
        <v>6116</v>
      </c>
      <c r="H409" s="7"/>
      <c r="I409" s="2" t="s">
        <v>9</v>
      </c>
    </row>
    <row r="410" spans="1:9" ht="26" x14ac:dyDescent="0.3">
      <c r="A410" s="1" t="str">
        <f>HYPERLINK("https://ipmanager.doe.gov/IPManager//ExternalLink.aspx?6ibkph2k9yi6F%2B0Vz7YoTipZ798QK%2BbPSkIeryIzq3Q%3D","Link")</f>
        <v>Link</v>
      </c>
      <c r="B410" s="2" t="s">
        <v>1467</v>
      </c>
      <c r="C410" s="2" t="s">
        <v>1440</v>
      </c>
      <c r="D410" s="2" t="s">
        <v>1461</v>
      </c>
      <c r="E410" s="2" t="s">
        <v>1468</v>
      </c>
      <c r="F410" s="2"/>
      <c r="G410" s="2" t="s">
        <v>9</v>
      </c>
      <c r="H410" s="7"/>
      <c r="I410" s="2" t="s">
        <v>9</v>
      </c>
    </row>
    <row r="411" spans="1:9" ht="65" x14ac:dyDescent="0.3">
      <c r="A411" s="1" t="str">
        <f>HYPERLINK("https://ipmanager.doe.gov/IPManager//ExternalLink.aspx?6ibkph2k9yi6F%2B0Vz7YoTipZ798QK%2BbP%2BUvbBQIolsU%3D","Link")</f>
        <v>Link</v>
      </c>
      <c r="B411" s="2" t="s">
        <v>1470</v>
      </c>
      <c r="C411" s="2" t="s">
        <v>1440</v>
      </c>
      <c r="D411" s="2" t="s">
        <v>1461</v>
      </c>
      <c r="E411" s="2" t="s">
        <v>1471</v>
      </c>
      <c r="F411" s="2"/>
      <c r="G411" s="2" t="s">
        <v>9</v>
      </c>
      <c r="H411" s="7"/>
      <c r="I411" s="2" t="s">
        <v>9</v>
      </c>
    </row>
    <row r="412" spans="1:9" ht="26" x14ac:dyDescent="0.3">
      <c r="A412" s="1" t="str">
        <f>HYPERLINK("https://ipmanager.doe.gov/IPManager//ExternalLink.aspx?6ibkph2k9yi6F%2B0Vz7YoTq6RR9BlGHHiG77gjwv0r2k%3D","Link")</f>
        <v>Link</v>
      </c>
      <c r="B412" s="2" t="s">
        <v>4140</v>
      </c>
      <c r="C412" s="2" t="s">
        <v>4135</v>
      </c>
      <c r="D412" s="2" t="s">
        <v>4141</v>
      </c>
      <c r="E412" s="2" t="s">
        <v>4142</v>
      </c>
      <c r="F412" s="2" t="s">
        <v>4143</v>
      </c>
      <c r="G412" s="2" t="s">
        <v>2442</v>
      </c>
      <c r="H412" s="7"/>
      <c r="I412" s="2" t="s">
        <v>9</v>
      </c>
    </row>
    <row r="413" spans="1:9" ht="52" x14ac:dyDescent="0.3">
      <c r="A413" s="1" t="str">
        <f>HYPERLINK("https://ipmanager.doe.gov/IPManager//ExternalLink.aspx?6ibkph2k9yi6F%2B0Vz7YoTgZwfmYxrNyKP8fdii5FkGo%3D","Link")</f>
        <v>Link</v>
      </c>
      <c r="B413" s="2" t="s">
        <v>5540</v>
      </c>
      <c r="C413" s="2" t="s">
        <v>5537</v>
      </c>
      <c r="D413" s="2" t="s">
        <v>4141</v>
      </c>
      <c r="E413" s="2" t="s">
        <v>5541</v>
      </c>
      <c r="F413" s="2" t="s">
        <v>5542</v>
      </c>
      <c r="G413" s="2" t="s">
        <v>5188</v>
      </c>
      <c r="H413" s="7"/>
      <c r="I413" s="2" t="s">
        <v>9</v>
      </c>
    </row>
    <row r="414" spans="1:9" ht="78" x14ac:dyDescent="0.3">
      <c r="A414" s="1" t="str">
        <f>HYPERLINK("https://ipmanager.doe.gov/IPManager//ExternalLink.aspx?6ibkph2k9yi6F%2B0Vz7YoTsTAnuFk5EoAxsMZn5yHOt8%3D","Link")</f>
        <v>Link</v>
      </c>
      <c r="B414" s="2" t="s">
        <v>6917</v>
      </c>
      <c r="C414" s="2" t="s">
        <v>6915</v>
      </c>
      <c r="D414" s="2" t="s">
        <v>4141</v>
      </c>
      <c r="E414" s="2" t="s">
        <v>6918</v>
      </c>
      <c r="F414" s="2" t="s">
        <v>6919</v>
      </c>
      <c r="G414" s="2" t="s">
        <v>4768</v>
      </c>
      <c r="H414" s="7"/>
      <c r="I414" s="2" t="s">
        <v>9</v>
      </c>
    </row>
    <row r="415" spans="1:9" ht="39" x14ac:dyDescent="0.3">
      <c r="A415" s="1" t="str">
        <f>HYPERLINK("https://ipmanager.doe.gov/IPManager//ExternalLink.aspx?6ibkph2k9yi6F%2B0Vz7YoTjnDGhmGHGI79VECHziQuSs%3D","Link")</f>
        <v>Link</v>
      </c>
      <c r="B415" s="2" t="s">
        <v>1486</v>
      </c>
      <c r="C415" s="2" t="s">
        <v>1473</v>
      </c>
      <c r="D415" s="2" t="s">
        <v>1474</v>
      </c>
      <c r="E415" s="2" t="s">
        <v>1487</v>
      </c>
      <c r="F415" s="2"/>
      <c r="G415" s="2" t="s">
        <v>9</v>
      </c>
      <c r="H415" s="7"/>
      <c r="I415" s="2" t="s">
        <v>9</v>
      </c>
    </row>
    <row r="416" spans="1:9" ht="91" x14ac:dyDescent="0.3">
      <c r="A416" s="1" t="str">
        <f>HYPERLINK("https://ipmanager.doe.gov/IPManager//ExternalLink.aspx?6ibkph2k9yi6F%2B0Vz7YoTvPUg%2FVZPl3iTeNEXtzsrQQ%3D","Link")</f>
        <v>Link</v>
      </c>
      <c r="B416" s="2" t="s">
        <v>1488</v>
      </c>
      <c r="C416" s="2" t="s">
        <v>1473</v>
      </c>
      <c r="D416" s="2" t="s">
        <v>1474</v>
      </c>
      <c r="E416" s="2" t="s">
        <v>1489</v>
      </c>
      <c r="F416" s="2"/>
      <c r="G416" s="2" t="s">
        <v>9</v>
      </c>
      <c r="H416" s="7"/>
      <c r="I416" s="2" t="s">
        <v>9</v>
      </c>
    </row>
    <row r="417" spans="1:9" ht="52" x14ac:dyDescent="0.3">
      <c r="A417" s="1" t="str">
        <f>HYPERLINK("https://ipmanager.doe.gov/IPManager//ExternalLink.aspx?6ibkph2k9yi6F%2B0Vz7YoTo7DPLa3%2F%2FGgaG30gkqcGUA%3D","Link")</f>
        <v>Link</v>
      </c>
      <c r="B417" s="2" t="s">
        <v>1490</v>
      </c>
      <c r="C417" s="2" t="s">
        <v>1473</v>
      </c>
      <c r="D417" s="2" t="s">
        <v>1474</v>
      </c>
      <c r="E417" s="2" t="s">
        <v>1491</v>
      </c>
      <c r="F417" s="2"/>
      <c r="G417" s="2" t="s">
        <v>9</v>
      </c>
      <c r="H417" s="7"/>
      <c r="I417" s="2" t="s">
        <v>9</v>
      </c>
    </row>
    <row r="418" spans="1:9" ht="104" x14ac:dyDescent="0.3">
      <c r="A418" s="1" t="str">
        <f>HYPERLINK("https://ipmanager.doe.gov/IPManager//ExternalLink.aspx?6ibkph2k9yi6F%2B0Vz7YoTnXVN2REjGcWX1NWMhE46E8%3D","Link")</f>
        <v>Link</v>
      </c>
      <c r="B418" s="2" t="s">
        <v>6920</v>
      </c>
      <c r="C418" s="2" t="s">
        <v>6915</v>
      </c>
      <c r="D418" s="2" t="s">
        <v>4141</v>
      </c>
      <c r="E418" s="2" t="s">
        <v>6921</v>
      </c>
      <c r="F418" s="2" t="s">
        <v>6922</v>
      </c>
      <c r="G418" s="2" t="s">
        <v>4575</v>
      </c>
      <c r="H418" s="7"/>
      <c r="I418" s="2" t="s">
        <v>9</v>
      </c>
    </row>
    <row r="419" spans="1:9" ht="39" x14ac:dyDescent="0.3">
      <c r="A419" s="1" t="str">
        <f>HYPERLINK("https://ipmanager.doe.gov/IPManager//ExternalLink.aspx?6ibkph2k9yi6F%2B0Vz7YoThEBhkR3uHVrGqghe7ZkpbM%3D","Link")</f>
        <v>Link</v>
      </c>
      <c r="B419" s="2" t="s">
        <v>6203</v>
      </c>
      <c r="C419" s="2" t="s">
        <v>6204</v>
      </c>
      <c r="D419" s="2" t="s">
        <v>6205</v>
      </c>
      <c r="E419" s="2" t="s">
        <v>6206</v>
      </c>
      <c r="F419" s="2" t="s">
        <v>6207</v>
      </c>
      <c r="G419" s="2" t="s">
        <v>5162</v>
      </c>
      <c r="H419" s="7"/>
      <c r="I419" s="2" t="s">
        <v>9</v>
      </c>
    </row>
    <row r="420" spans="1:9" ht="78" x14ac:dyDescent="0.3">
      <c r="A420" s="1" t="str">
        <f>HYPERLINK("https://ipmanager.doe.gov/IPManager//ExternalLink.aspx?6ibkph2k9yi6F%2B0Vz7YoTu0g4zH%2BOsvyp9AKtaVePQo%3D","Link")</f>
        <v>Link</v>
      </c>
      <c r="B420" s="2" t="s">
        <v>7175</v>
      </c>
      <c r="C420" s="2" t="s">
        <v>7170</v>
      </c>
      <c r="D420" s="2" t="s">
        <v>6205</v>
      </c>
      <c r="E420" s="2" t="s">
        <v>7176</v>
      </c>
      <c r="F420" s="2" t="s">
        <v>7177</v>
      </c>
      <c r="G420" s="2" t="s">
        <v>7178</v>
      </c>
      <c r="H420" s="7"/>
      <c r="I420" s="2" t="s">
        <v>9</v>
      </c>
    </row>
    <row r="421" spans="1:9" ht="65" x14ac:dyDescent="0.3">
      <c r="A421" s="1" t="str">
        <f>HYPERLINK("https://ipmanager.doe.gov/IPManager//ExternalLink.aspx?6ibkph2k9yi6F%2B0Vz7YoTvPUg%2FVZPl3iF0CZ5Ypt72c%3D","Link")</f>
        <v>Link</v>
      </c>
      <c r="B421" s="2" t="s">
        <v>876</v>
      </c>
      <c r="C421" s="2" t="s">
        <v>877</v>
      </c>
      <c r="D421" s="2" t="s">
        <v>878</v>
      </c>
      <c r="E421" s="2" t="s">
        <v>879</v>
      </c>
      <c r="F421" s="2" t="s">
        <v>880</v>
      </c>
      <c r="G421" s="2" t="s">
        <v>881</v>
      </c>
      <c r="H421" s="7"/>
      <c r="I421" s="2" t="s">
        <v>9</v>
      </c>
    </row>
    <row r="422" spans="1:9" ht="39" x14ac:dyDescent="0.3">
      <c r="A422" s="1" t="str">
        <f>HYPERLINK("https://ipmanager.doe.gov/IPManager//ExternalLink.aspx?6ibkph2k9yi6F%2B0Vz7YoTjnDGhmGHGI7%2BOPeX6K9Dqs%3D","Link")</f>
        <v>Link</v>
      </c>
      <c r="B422" s="2" t="s">
        <v>884</v>
      </c>
      <c r="C422" s="2" t="s">
        <v>877</v>
      </c>
      <c r="D422" s="2" t="s">
        <v>878</v>
      </c>
      <c r="E422" s="2" t="s">
        <v>885</v>
      </c>
      <c r="F422" s="2" t="s">
        <v>882</v>
      </c>
      <c r="G422" s="2" t="s">
        <v>886</v>
      </c>
      <c r="H422" s="7"/>
      <c r="I422" s="2" t="s">
        <v>9</v>
      </c>
    </row>
    <row r="423" spans="1:9" ht="39" x14ac:dyDescent="0.3">
      <c r="A423" s="1" t="str">
        <f>HYPERLINK("https://ipmanager.doe.gov/IPManager//ExternalLink.aspx?6ibkph2k9yi6F%2B0Vz7YoTr7J5I%2BY4foYfF0Wlb4mQOw%3D","Link")</f>
        <v>Link</v>
      </c>
      <c r="B423" s="2" t="s">
        <v>887</v>
      </c>
      <c r="C423" s="2" t="s">
        <v>877</v>
      </c>
      <c r="D423" s="2" t="s">
        <v>878</v>
      </c>
      <c r="E423" s="2" t="s">
        <v>888</v>
      </c>
      <c r="F423" s="2" t="s">
        <v>889</v>
      </c>
      <c r="G423" s="2" t="s">
        <v>474</v>
      </c>
      <c r="H423" s="7"/>
      <c r="I423" s="2" t="s">
        <v>9</v>
      </c>
    </row>
    <row r="424" spans="1:9" ht="39" x14ac:dyDescent="0.3">
      <c r="A424" s="1" t="str">
        <f>HYPERLINK("https://ipmanager.doe.gov/IPManager//ExternalLink.aspx?6ibkph2k9yi6F%2B0Vz7YoTr7J5I%2BY4foYPi7zNJq5Tfo%3D","Link")</f>
        <v>Link</v>
      </c>
      <c r="B424" s="2" t="s">
        <v>890</v>
      </c>
      <c r="C424" s="2" t="s">
        <v>877</v>
      </c>
      <c r="D424" s="2" t="s">
        <v>878</v>
      </c>
      <c r="E424" s="2" t="s">
        <v>891</v>
      </c>
      <c r="F424" s="2" t="s">
        <v>892</v>
      </c>
      <c r="G424" s="2" t="s">
        <v>693</v>
      </c>
      <c r="H424" s="7"/>
      <c r="I424" s="2" t="s">
        <v>9</v>
      </c>
    </row>
    <row r="425" spans="1:9" ht="39" x14ac:dyDescent="0.3">
      <c r="A425" s="1" t="str">
        <f>HYPERLINK("https://ipmanager.doe.gov/IPManager//ExternalLink.aspx?6ibkph2k9yi6F%2B0Vz7YoTipZ798QK%2BbPEihWJOedazk%3D","Link")</f>
        <v>Link</v>
      </c>
      <c r="B425" s="2" t="s">
        <v>890</v>
      </c>
      <c r="C425" s="2" t="s">
        <v>877</v>
      </c>
      <c r="D425" s="2" t="s">
        <v>878</v>
      </c>
      <c r="E425" s="2" t="s">
        <v>891</v>
      </c>
      <c r="F425" s="2" t="s">
        <v>893</v>
      </c>
      <c r="G425" s="2" t="s">
        <v>894</v>
      </c>
      <c r="H425" s="7"/>
      <c r="I425" s="2" t="s">
        <v>9</v>
      </c>
    </row>
    <row r="426" spans="1:9" ht="39" x14ac:dyDescent="0.3">
      <c r="A426" s="1" t="str">
        <f>HYPERLINK("https://ipmanager.doe.gov/IPManager//ExternalLink.aspx?6ibkph2k9yi6F%2B0Vz7YoTipZ798QK%2BbPNFfHFXykDC4%3D","Link")</f>
        <v>Link</v>
      </c>
      <c r="B426" s="2" t="s">
        <v>887</v>
      </c>
      <c r="C426" s="2" t="s">
        <v>877</v>
      </c>
      <c r="D426" s="2" t="s">
        <v>878</v>
      </c>
      <c r="E426" s="2" t="s">
        <v>888</v>
      </c>
      <c r="F426" s="2" t="s">
        <v>895</v>
      </c>
      <c r="G426" s="2" t="s">
        <v>896</v>
      </c>
      <c r="H426" s="7"/>
      <c r="I426" s="2" t="s">
        <v>9</v>
      </c>
    </row>
    <row r="427" spans="1:9" ht="65" x14ac:dyDescent="0.3">
      <c r="A427" s="1" t="str">
        <f>HYPERLINK("https://ipmanager.doe.gov/IPManager//ExternalLink.aspx?6ibkph2k9yi6F%2B0Vz7YoTipZ798QK%2BbP5sZHmEetLNk%3D","Link")</f>
        <v>Link</v>
      </c>
      <c r="B427" s="2" t="s">
        <v>898</v>
      </c>
      <c r="C427" s="2" t="s">
        <v>877</v>
      </c>
      <c r="D427" s="2" t="s">
        <v>878</v>
      </c>
      <c r="E427" s="2" t="s">
        <v>899</v>
      </c>
      <c r="F427" s="2" t="s">
        <v>900</v>
      </c>
      <c r="G427" s="2" t="s">
        <v>901</v>
      </c>
      <c r="H427" s="7"/>
      <c r="I427" s="2" t="s">
        <v>9</v>
      </c>
    </row>
    <row r="428" spans="1:9" ht="39" x14ac:dyDescent="0.3">
      <c r="A428" s="1" t="str">
        <f>HYPERLINK("https://ipmanager.doe.gov/IPManager//ExternalLink.aspx?6ibkph2k9yi6F%2B0Vz7YoTipZ798QK%2BbPJhNoirBfvAI%3D","Link")</f>
        <v>Link</v>
      </c>
      <c r="B428" s="2" t="s">
        <v>1499</v>
      </c>
      <c r="C428" s="2" t="s">
        <v>1500</v>
      </c>
      <c r="D428" s="2" t="s">
        <v>878</v>
      </c>
      <c r="E428" s="2" t="s">
        <v>1501</v>
      </c>
      <c r="F428" s="2" t="s">
        <v>1502</v>
      </c>
      <c r="G428" s="2" t="s">
        <v>1503</v>
      </c>
      <c r="H428" s="7"/>
      <c r="I428" s="2" t="s">
        <v>9</v>
      </c>
    </row>
    <row r="429" spans="1:9" ht="52" x14ac:dyDescent="0.3">
      <c r="A429" s="1" t="str">
        <f>HYPERLINK("https://ipmanager.doe.gov/IPManager//ExternalLink.aspx?6ibkph2k9yi6F%2B0Vz7YoTjN2oADz%2F5MxtDjEnZjKyrk%3D","Link")</f>
        <v>Link</v>
      </c>
      <c r="B429" s="2" t="s">
        <v>1532</v>
      </c>
      <c r="C429" s="2" t="s">
        <v>1525</v>
      </c>
      <c r="D429" s="2" t="s">
        <v>1533</v>
      </c>
      <c r="E429" s="2" t="s">
        <v>1534</v>
      </c>
      <c r="F429" s="2" t="s">
        <v>1535</v>
      </c>
      <c r="G429" s="2" t="s">
        <v>327</v>
      </c>
      <c r="H429" s="7">
        <v>9410736</v>
      </c>
      <c r="I429" s="2" t="s">
        <v>1194</v>
      </c>
    </row>
    <row r="430" spans="1:9" ht="39" x14ac:dyDescent="0.3">
      <c r="A430" s="1" t="str">
        <f>HYPERLINK("https://ipmanager.doe.gov/IPManager//ExternalLink.aspx?6ibkph2k9yi6F%2B0Vz7YoTr7J5I%2BY4foYLs4T5bSnaoI%3D","Link")</f>
        <v>Link</v>
      </c>
      <c r="B430" s="2" t="s">
        <v>1504</v>
      </c>
      <c r="C430" s="2" t="s">
        <v>1500</v>
      </c>
      <c r="D430" s="2" t="s">
        <v>878</v>
      </c>
      <c r="E430" s="2" t="s">
        <v>1501</v>
      </c>
      <c r="F430" s="2" t="s">
        <v>1505</v>
      </c>
      <c r="G430" s="2" t="s">
        <v>1506</v>
      </c>
      <c r="H430" s="7"/>
      <c r="I430" s="2" t="s">
        <v>9</v>
      </c>
    </row>
    <row r="431" spans="1:9" ht="39" x14ac:dyDescent="0.3">
      <c r="A431" s="1" t="str">
        <f>HYPERLINK("https://ipmanager.doe.gov/IPManager//ExternalLink.aspx?6ibkph2k9yi6F%2B0Vz7YoTjnDGhmGHGI7l35rvjPwh%2Fw%3D","Link")</f>
        <v>Link</v>
      </c>
      <c r="B431" s="2" t="s">
        <v>1539</v>
      </c>
      <c r="C431" s="2" t="s">
        <v>1525</v>
      </c>
      <c r="D431" s="2" t="s">
        <v>1533</v>
      </c>
      <c r="E431" s="2" t="s">
        <v>1540</v>
      </c>
      <c r="F431" s="2"/>
      <c r="G431" s="2" t="s">
        <v>9</v>
      </c>
      <c r="H431" s="7"/>
      <c r="I431" s="2" t="s">
        <v>9</v>
      </c>
    </row>
    <row r="432" spans="1:9" ht="39" x14ac:dyDescent="0.3">
      <c r="A432" s="1" t="str">
        <f>HYPERLINK("https://ipmanager.doe.gov/IPManager//ExternalLink.aspx?6ibkph2k9yi6F%2B0Vz7YoTjnDGhmGHGI7%2Fr%2F%2Bio8s1WQ%3D","Link")</f>
        <v>Link</v>
      </c>
      <c r="B432" s="2" t="s">
        <v>1541</v>
      </c>
      <c r="C432" s="2" t="s">
        <v>1525</v>
      </c>
      <c r="D432" s="2" t="s">
        <v>1533</v>
      </c>
      <c r="E432" s="2" t="s">
        <v>1542</v>
      </c>
      <c r="F432" s="2"/>
      <c r="G432" s="2" t="s">
        <v>9</v>
      </c>
      <c r="H432" s="7"/>
      <c r="I432" s="2" t="s">
        <v>9</v>
      </c>
    </row>
    <row r="433" spans="1:9" ht="39" x14ac:dyDescent="0.3">
      <c r="A433" s="1" t="str">
        <f>HYPERLINK("https://ipmanager.doe.gov/IPManager//ExternalLink.aspx?6ibkph2k9yi6F%2B0Vz7YoTjnDGhmGHGI7sugmaUu1hsI%3D","Link")</f>
        <v>Link</v>
      </c>
      <c r="B433" s="2" t="s">
        <v>1543</v>
      </c>
      <c r="C433" s="2" t="s">
        <v>1525</v>
      </c>
      <c r="D433" s="2" t="s">
        <v>1533</v>
      </c>
      <c r="E433" s="2" t="s">
        <v>1544</v>
      </c>
      <c r="F433" s="2"/>
      <c r="G433" s="2" t="s">
        <v>9</v>
      </c>
      <c r="H433" s="7"/>
      <c r="I433" s="2" t="s">
        <v>9</v>
      </c>
    </row>
    <row r="434" spans="1:9" ht="39" x14ac:dyDescent="0.3">
      <c r="A434" s="1" t="str">
        <f>HYPERLINK("https://ipmanager.doe.gov/IPManager//ExternalLink.aspx?6ibkph2k9yi6F%2B0Vz7YoTjnDGhmGHGI7kLLAfovmjQ4%3D","Link")</f>
        <v>Link</v>
      </c>
      <c r="B434" s="2" t="s">
        <v>1510</v>
      </c>
      <c r="C434" s="2" t="s">
        <v>1500</v>
      </c>
      <c r="D434" s="2" t="s">
        <v>878</v>
      </c>
      <c r="E434" s="2" t="s">
        <v>1507</v>
      </c>
      <c r="F434" s="2" t="s">
        <v>1511</v>
      </c>
      <c r="G434" s="2" t="s">
        <v>1512</v>
      </c>
      <c r="H434" s="7"/>
      <c r="I434" s="2" t="s">
        <v>9</v>
      </c>
    </row>
    <row r="435" spans="1:9" ht="65" x14ac:dyDescent="0.3">
      <c r="A435" s="1" t="str">
        <f>HYPERLINK("https://ipmanager.doe.gov/IPManager//ExternalLink.aspx?6ibkph2k9yi6F%2B0Vz7YoTjnDGhmGHGI7EjzWs618By8%3D","Link")</f>
        <v>Link</v>
      </c>
      <c r="B435" s="2" t="s">
        <v>1549</v>
      </c>
      <c r="C435" s="2" t="s">
        <v>1525</v>
      </c>
      <c r="D435" s="2" t="s">
        <v>1533</v>
      </c>
      <c r="E435" s="2" t="s">
        <v>1550</v>
      </c>
      <c r="F435" s="2" t="s">
        <v>1551</v>
      </c>
      <c r="G435" s="2" t="s">
        <v>1030</v>
      </c>
      <c r="H435" s="8">
        <v>8764885</v>
      </c>
      <c r="I435" s="2" t="s">
        <v>1552</v>
      </c>
    </row>
    <row r="436" spans="1:9" ht="39" x14ac:dyDescent="0.3">
      <c r="A436" s="1" t="str">
        <f>HYPERLINK("https://ipmanager.doe.gov/IPManager//ExternalLink.aspx?6ibkph2k9yi6F%2B0Vz7YoTlNm8snv%2FZpHMDMZzbeAtv8%3D","Link")</f>
        <v>Link</v>
      </c>
      <c r="B436" s="2" t="s">
        <v>1553</v>
      </c>
      <c r="C436" s="2" t="s">
        <v>1525</v>
      </c>
      <c r="D436" s="2" t="s">
        <v>1533</v>
      </c>
      <c r="E436" s="2" t="s">
        <v>1554</v>
      </c>
      <c r="F436" s="2" t="s">
        <v>1555</v>
      </c>
      <c r="G436" s="2" t="s">
        <v>652</v>
      </c>
      <c r="H436" s="7">
        <v>8646538</v>
      </c>
      <c r="I436" s="2" t="s">
        <v>1556</v>
      </c>
    </row>
    <row r="437" spans="1:9" ht="39" x14ac:dyDescent="0.3">
      <c r="A437" s="1" t="str">
        <f>HYPERLINK("https://ipmanager.doe.gov/IPManager//ExternalLink.aspx?6ibkph2k9yi6F%2B0Vz7YoTlNm8snv%2FZpHNQhuRVBmnzo%3D","Link")</f>
        <v>Link</v>
      </c>
      <c r="B437" s="2" t="s">
        <v>1557</v>
      </c>
      <c r="C437" s="2" t="s">
        <v>1558</v>
      </c>
      <c r="D437" s="2" t="s">
        <v>1559</v>
      </c>
      <c r="E437" s="2" t="s">
        <v>1560</v>
      </c>
      <c r="F437" s="2" t="s">
        <v>1561</v>
      </c>
      <c r="G437" s="2" t="s">
        <v>1562</v>
      </c>
      <c r="H437" s="7">
        <v>9362583</v>
      </c>
      <c r="I437" s="2" t="s">
        <v>597</v>
      </c>
    </row>
    <row r="438" spans="1:9" ht="143" x14ac:dyDescent="0.3">
      <c r="A438" s="1" t="str">
        <f>HYPERLINK("https://ipmanager.doe.gov/IPManager//ExternalLink.aspx?6ibkph2k9yi6F%2B0Vz7YoTjnDGhmGHGI7Pe46LrPovwA%3D","Link")</f>
        <v>Link</v>
      </c>
      <c r="B438" s="2" t="s">
        <v>1513</v>
      </c>
      <c r="C438" s="2" t="s">
        <v>1500</v>
      </c>
      <c r="D438" s="2" t="s">
        <v>878</v>
      </c>
      <c r="E438" s="2" t="s">
        <v>1514</v>
      </c>
      <c r="F438" s="2" t="s">
        <v>1515</v>
      </c>
      <c r="G438" s="2" t="s">
        <v>1503</v>
      </c>
      <c r="H438" s="7"/>
      <c r="I438" s="2" t="s">
        <v>9</v>
      </c>
    </row>
    <row r="439" spans="1:9" ht="143" x14ac:dyDescent="0.3">
      <c r="A439" s="1" t="str">
        <f>HYPERLINK("https://ipmanager.doe.gov/IPManager//ExternalLink.aspx?6ibkph2k9yi6F%2B0Vz7YoTvPUg%2FVZPl3iJGwvcZE29%2BE%3D","Link")</f>
        <v>Link</v>
      </c>
      <c r="B439" s="2" t="s">
        <v>1516</v>
      </c>
      <c r="C439" s="2" t="s">
        <v>1500</v>
      </c>
      <c r="D439" s="2" t="s">
        <v>878</v>
      </c>
      <c r="E439" s="2" t="s">
        <v>1514</v>
      </c>
      <c r="F439" s="2" t="s">
        <v>1517</v>
      </c>
      <c r="G439" s="2" t="s">
        <v>92</v>
      </c>
      <c r="H439" s="7"/>
      <c r="I439" s="2" t="s">
        <v>9</v>
      </c>
    </row>
    <row r="440" spans="1:9" ht="143" x14ac:dyDescent="0.3">
      <c r="A440" s="1" t="str">
        <f>HYPERLINK("https://ipmanager.doe.gov/IPManager//ExternalLink.aspx?6ibkph2k9yi6F%2B0Vz7YoTvPUg%2FVZPl3ih3DRIFtviXg%3D","Link")</f>
        <v>Link</v>
      </c>
      <c r="B440" s="2" t="s">
        <v>1518</v>
      </c>
      <c r="C440" s="2" t="s">
        <v>1500</v>
      </c>
      <c r="D440" s="2" t="s">
        <v>878</v>
      </c>
      <c r="E440" s="2" t="s">
        <v>1514</v>
      </c>
      <c r="F440" s="2" t="s">
        <v>1508</v>
      </c>
      <c r="G440" s="2" t="s">
        <v>1519</v>
      </c>
      <c r="H440" s="7"/>
      <c r="I440" s="2" t="s">
        <v>9</v>
      </c>
    </row>
    <row r="441" spans="1:9" ht="52" x14ac:dyDescent="0.3">
      <c r="A441" s="1" t="str">
        <f>HYPERLINK("https://ipmanager.doe.gov/IPManager//ExternalLink.aspx?6ibkph2k9yi6F%2B0Vz7YoTr7J5I%2BY4foYijn5MpLWci4%3D","Link")</f>
        <v>Link</v>
      </c>
      <c r="B441" s="2" t="s">
        <v>902</v>
      </c>
      <c r="C441" s="2" t="s">
        <v>877</v>
      </c>
      <c r="D441" s="2" t="s">
        <v>903</v>
      </c>
      <c r="E441" s="2" t="s">
        <v>904</v>
      </c>
      <c r="F441" s="2" t="s">
        <v>905</v>
      </c>
      <c r="G441" s="2" t="s">
        <v>906</v>
      </c>
      <c r="H441" s="7"/>
      <c r="I441" s="2" t="s">
        <v>9</v>
      </c>
    </row>
    <row r="442" spans="1:9" ht="52" x14ac:dyDescent="0.3">
      <c r="A442" s="1" t="str">
        <f>HYPERLINK("https://ipmanager.doe.gov/IPManager//ExternalLink.aspx?6ibkph2k9yi6F%2B0Vz7YoTvPUg%2FVZPl3iMhJtXnopJ0I%3D","Link")</f>
        <v>Link</v>
      </c>
      <c r="B442" s="2" t="s">
        <v>1520</v>
      </c>
      <c r="C442" s="2" t="s">
        <v>1500</v>
      </c>
      <c r="D442" s="2" t="s">
        <v>903</v>
      </c>
      <c r="E442" s="2" t="s">
        <v>1521</v>
      </c>
      <c r="F442" s="2" t="s">
        <v>1522</v>
      </c>
      <c r="G442" s="2" t="s">
        <v>1523</v>
      </c>
      <c r="H442" s="7"/>
      <c r="I442" s="2" t="s">
        <v>9</v>
      </c>
    </row>
    <row r="443" spans="1:9" ht="39" x14ac:dyDescent="0.3">
      <c r="A443" s="1" t="str">
        <f>HYPERLINK("https://ipmanager.doe.gov/IPManager//ExternalLink.aspx?6ibkph2k9yi6F%2B0Vz7YoTp68px7nSN2gQWHAL%2B8t4pc%3D","Link")</f>
        <v>Link</v>
      </c>
      <c r="B443" s="2" t="s">
        <v>7088</v>
      </c>
      <c r="C443" s="2" t="s">
        <v>7089</v>
      </c>
      <c r="D443" s="2" t="s">
        <v>903</v>
      </c>
      <c r="E443" s="2" t="s">
        <v>7090</v>
      </c>
      <c r="F443" s="2" t="s">
        <v>7091</v>
      </c>
      <c r="G443" s="2" t="s">
        <v>7092</v>
      </c>
      <c r="H443" s="7"/>
      <c r="I443" s="2" t="s">
        <v>9</v>
      </c>
    </row>
    <row r="444" spans="1:9" ht="65" x14ac:dyDescent="0.3">
      <c r="A444" s="1" t="str">
        <f>HYPERLINK("https://ipmanager.doe.gov/IPManager//ExternalLink.aspx?6ibkph2k9yi6F%2B0Vz7YoTo7DPLa3%2F%2FGgeMG5gbs%2FcvA%3D","Link")</f>
        <v>Link</v>
      </c>
      <c r="B444" s="2" t="s">
        <v>4126</v>
      </c>
      <c r="C444" s="2" t="s">
        <v>4127</v>
      </c>
      <c r="D444" s="2" t="s">
        <v>4128</v>
      </c>
      <c r="E444" s="2" t="s">
        <v>4129</v>
      </c>
      <c r="F444" s="2" t="s">
        <v>4130</v>
      </c>
      <c r="G444" s="2" t="s">
        <v>470</v>
      </c>
      <c r="H444" s="7"/>
      <c r="I444" s="2" t="s">
        <v>9</v>
      </c>
    </row>
    <row r="445" spans="1:9" ht="52" x14ac:dyDescent="0.3">
      <c r="A445" s="1" t="str">
        <f>HYPERLINK("https://ipmanager.doe.gov/IPManager//ExternalLink.aspx?6ibkph2k9yi6F%2B0Vz7YoTgZwfmYxrNyKW5shZHbKbCw%3D","Link")</f>
        <v>Link</v>
      </c>
      <c r="B445" s="2" t="s">
        <v>1591</v>
      </c>
      <c r="C445" s="2" t="s">
        <v>1558</v>
      </c>
      <c r="D445" s="2" t="s">
        <v>1559</v>
      </c>
      <c r="E445" s="2" t="s">
        <v>1564</v>
      </c>
      <c r="F445" s="2" t="s">
        <v>1566</v>
      </c>
      <c r="G445" s="2" t="s">
        <v>35</v>
      </c>
      <c r="H445" s="7">
        <v>9437864</v>
      </c>
      <c r="I445" s="2" t="s">
        <v>874</v>
      </c>
    </row>
    <row r="446" spans="1:9" ht="39" x14ac:dyDescent="0.3">
      <c r="A446" s="1" t="str">
        <f>HYPERLINK("https://ipmanager.doe.gov/IPManager//ExternalLink.aspx?6ibkph2k9yi6F%2B0Vz7YoTk2BI6w%2FjZ2fODONT456yKU%3D","Link")</f>
        <v>Link</v>
      </c>
      <c r="B446" s="2" t="s">
        <v>4131</v>
      </c>
      <c r="C446" s="2" t="s">
        <v>4127</v>
      </c>
      <c r="D446" s="2" t="s">
        <v>4128</v>
      </c>
      <c r="E446" s="2" t="s">
        <v>4132</v>
      </c>
      <c r="F446" s="2" t="s">
        <v>4133</v>
      </c>
      <c r="G446" s="2" t="s">
        <v>947</v>
      </c>
      <c r="H446" s="7"/>
      <c r="I446" s="2" t="s">
        <v>9</v>
      </c>
    </row>
    <row r="447" spans="1:9" ht="26" x14ac:dyDescent="0.3">
      <c r="A447" s="1" t="str">
        <f>HYPERLINK("https://ipmanager.doe.gov/IPManager//ExternalLink.aspx?6ibkph2k9yi6F%2B0Vz7YoTsTAnuFk5EoAUmRzK3Ne8us%3D","Link")</f>
        <v>Link</v>
      </c>
      <c r="B447" s="2" t="s">
        <v>5664</v>
      </c>
      <c r="C447" s="2" t="s">
        <v>5662</v>
      </c>
      <c r="D447" s="2" t="s">
        <v>4128</v>
      </c>
      <c r="E447" s="2" t="s">
        <v>5665</v>
      </c>
      <c r="F447" s="2" t="s">
        <v>5666</v>
      </c>
      <c r="G447" s="2" t="s">
        <v>2716</v>
      </c>
      <c r="H447" s="7"/>
      <c r="I447" s="2" t="s">
        <v>9</v>
      </c>
    </row>
    <row r="448" spans="1:9" ht="39" x14ac:dyDescent="0.3">
      <c r="A448" s="1" t="str">
        <f>HYPERLINK("https://ipmanager.doe.gov/IPManager//ExternalLink.aspx?6ibkph2k9yi6F%2B0Vz7YoTk2BI6w%2FjZ2fxcnDouV0pCs%3D","Link")</f>
        <v>Link</v>
      </c>
      <c r="B448" s="2" t="s">
        <v>1598</v>
      </c>
      <c r="C448" s="2" t="s">
        <v>1558</v>
      </c>
      <c r="D448" s="2" t="s">
        <v>1559</v>
      </c>
      <c r="E448" s="2" t="s">
        <v>1560</v>
      </c>
      <c r="F448" s="2" t="s">
        <v>7618</v>
      </c>
      <c r="G448" s="2" t="s">
        <v>113</v>
      </c>
      <c r="H448" s="7">
        <v>9385392</v>
      </c>
      <c r="I448" s="2" t="s">
        <v>1599</v>
      </c>
    </row>
    <row r="449" spans="1:9" ht="52" x14ac:dyDescent="0.3">
      <c r="A449" s="1" t="str">
        <f>HYPERLINK("https://ipmanager.doe.gov/IPManager//ExternalLink.aspx?6ibkph2k9yi6F%2B0Vz7YoTo7DPLa3%2F%2FGgfRuTiOtnEyI%3D","Link")</f>
        <v>Link</v>
      </c>
      <c r="B449" s="2" t="s">
        <v>5667</v>
      </c>
      <c r="C449" s="2" t="s">
        <v>5662</v>
      </c>
      <c r="D449" s="2" t="s">
        <v>4128</v>
      </c>
      <c r="E449" s="2" t="s">
        <v>5668</v>
      </c>
      <c r="F449" s="2" t="s">
        <v>5669</v>
      </c>
      <c r="G449" s="2" t="s">
        <v>5670</v>
      </c>
      <c r="H449" s="7"/>
      <c r="I449" s="2" t="s">
        <v>9</v>
      </c>
    </row>
    <row r="450" spans="1:9" ht="52" x14ac:dyDescent="0.3">
      <c r="A450" s="1" t="str">
        <f>HYPERLINK("https://ipmanager.doe.gov/IPManager//ExternalLink.aspx?6ibkph2k9yi6F%2B0Vz7YoTvE8yjoHgvp6%2B8nKkqJKIa4%3D","Link")</f>
        <v>Link</v>
      </c>
      <c r="B450" s="2" t="s">
        <v>5671</v>
      </c>
      <c r="C450" s="2" t="s">
        <v>5662</v>
      </c>
      <c r="D450" s="2" t="s">
        <v>4128</v>
      </c>
      <c r="E450" s="2" t="s">
        <v>5668</v>
      </c>
      <c r="F450" s="2" t="s">
        <v>5672</v>
      </c>
      <c r="G450" s="2" t="s">
        <v>5268</v>
      </c>
      <c r="H450" s="7"/>
      <c r="I450" s="2" t="s">
        <v>9</v>
      </c>
    </row>
    <row r="451" spans="1:9" ht="65" x14ac:dyDescent="0.3">
      <c r="A451" s="1" t="str">
        <f>HYPERLINK("https://ipmanager.doe.gov/IPManager//ExternalLink.aspx?6ibkph2k9yi6F%2B0Vz7YoTvPUg%2FVZPl3iX81%2Fc5Dtp5E%3D","Link")</f>
        <v>Link</v>
      </c>
      <c r="B451" s="2" t="s">
        <v>6728</v>
      </c>
      <c r="C451" s="2" t="s">
        <v>6726</v>
      </c>
      <c r="D451" s="2" t="s">
        <v>4128</v>
      </c>
      <c r="E451" s="2" t="s">
        <v>6729</v>
      </c>
      <c r="F451" s="2" t="s">
        <v>6730</v>
      </c>
      <c r="G451" s="2" t="s">
        <v>5089</v>
      </c>
      <c r="H451" s="7"/>
      <c r="I451" s="2" t="s">
        <v>9</v>
      </c>
    </row>
    <row r="452" spans="1:9" ht="39" x14ac:dyDescent="0.3">
      <c r="A452" s="1" t="str">
        <f>HYPERLINK("https://ipmanager.doe.gov/IPManager//ExternalLink.aspx?6ibkph2k9yi6F%2B0Vz7YoTk2BI6w%2FjZ2f3zdTfrtcRTE%3D","Link")</f>
        <v>Link</v>
      </c>
      <c r="B452" s="2" t="s">
        <v>1609</v>
      </c>
      <c r="C452" s="2" t="s">
        <v>1558</v>
      </c>
      <c r="D452" s="2" t="s">
        <v>1559</v>
      </c>
      <c r="E452" s="2" t="s">
        <v>1576</v>
      </c>
      <c r="F452" s="2" t="s">
        <v>1610</v>
      </c>
      <c r="G452" s="2" t="s">
        <v>35</v>
      </c>
      <c r="H452" s="7">
        <v>9178200</v>
      </c>
      <c r="I452" s="2" t="s">
        <v>1350</v>
      </c>
    </row>
    <row r="453" spans="1:9" ht="39" x14ac:dyDescent="0.3">
      <c r="A453" s="1" t="str">
        <f>HYPERLINK("https://ipmanager.doe.gov/IPManager//ExternalLink.aspx?6ibkph2k9yi6F%2B0Vz7YoTsTAnuFk5EoACUSzhEL2IPw%3D","Link")</f>
        <v>Link</v>
      </c>
      <c r="B453" s="2" t="s">
        <v>6739</v>
      </c>
      <c r="C453" s="2" t="s">
        <v>6726</v>
      </c>
      <c r="D453" s="2" t="s">
        <v>4128</v>
      </c>
      <c r="E453" s="2" t="s">
        <v>6740</v>
      </c>
      <c r="F453" s="2" t="s">
        <v>6741</v>
      </c>
      <c r="G453" s="2" t="s">
        <v>6742</v>
      </c>
      <c r="H453" s="7"/>
      <c r="I453" s="2" t="s">
        <v>9</v>
      </c>
    </row>
    <row r="454" spans="1:9" ht="65" x14ac:dyDescent="0.3">
      <c r="A454" s="1" t="str">
        <f>HYPERLINK("https://ipmanager.doe.gov/IPManager//ExternalLink.aspx?6ibkph2k9yi6F%2B0Vz7YoTq6RR9BlGHHiVj1yCJz1A2g%3D","Link")</f>
        <v>Link</v>
      </c>
      <c r="B454" s="2" t="s">
        <v>6745</v>
      </c>
      <c r="C454" s="2" t="s">
        <v>6726</v>
      </c>
      <c r="D454" s="2" t="s">
        <v>4128</v>
      </c>
      <c r="E454" s="2" t="s">
        <v>6729</v>
      </c>
      <c r="F454" s="2" t="s">
        <v>6746</v>
      </c>
      <c r="G454" s="2" t="s">
        <v>2595</v>
      </c>
      <c r="H454" s="7"/>
      <c r="I454" s="2" t="s">
        <v>9</v>
      </c>
    </row>
    <row r="455" spans="1:9" ht="52" x14ac:dyDescent="0.3">
      <c r="A455" s="1" t="str">
        <f>HYPERLINK("https://ipmanager.doe.gov/IPManager//ExternalLink.aspx?6ibkph2k9yi6F%2B0Vz7YoTk2BI6w%2FjZ2f90q41tpjDAw%3D","Link")</f>
        <v>Link</v>
      </c>
      <c r="B455" s="2" t="s">
        <v>1616</v>
      </c>
      <c r="C455" s="2" t="s">
        <v>1558</v>
      </c>
      <c r="D455" s="2" t="s">
        <v>1559</v>
      </c>
      <c r="E455" s="2" t="s">
        <v>1579</v>
      </c>
      <c r="F455" s="2" t="s">
        <v>1582</v>
      </c>
      <c r="G455" s="2" t="s">
        <v>35</v>
      </c>
      <c r="H455" s="7">
        <v>9484569</v>
      </c>
      <c r="I455" s="2" t="s">
        <v>1325</v>
      </c>
    </row>
    <row r="456" spans="1:9" ht="26" x14ac:dyDescent="0.3">
      <c r="A456" s="1" t="str">
        <f>HYPERLINK("https://ipmanager.doe.gov/IPManager//ExternalLink.aspx?6ibkph2k9yi6F%2B0Vz7YoTk2BI6w%2FjZ2fsLSmid3BOAw%3D","Link")</f>
        <v>Link</v>
      </c>
      <c r="B456" s="2" t="s">
        <v>1617</v>
      </c>
      <c r="C456" s="2" t="s">
        <v>1558</v>
      </c>
      <c r="D456" s="2" t="s">
        <v>1559</v>
      </c>
      <c r="E456" s="2" t="s">
        <v>1593</v>
      </c>
      <c r="F456" s="2" t="s">
        <v>1618</v>
      </c>
      <c r="G456" s="2" t="s">
        <v>1619</v>
      </c>
      <c r="H456" s="7"/>
      <c r="I456" s="2" t="s">
        <v>9</v>
      </c>
    </row>
    <row r="457" spans="1:9" ht="26" x14ac:dyDescent="0.3">
      <c r="A457" s="1" t="str">
        <f>HYPERLINK("https://ipmanager.doe.gov/IPManager//ExternalLink.aspx?6ibkph2k9yi6F%2B0Vz7YoTk2BI6w%2FjZ2fIPDpjtyoUm8%3D","Link")</f>
        <v>Link</v>
      </c>
      <c r="B457" s="2" t="s">
        <v>1617</v>
      </c>
      <c r="C457" s="2" t="s">
        <v>1558</v>
      </c>
      <c r="D457" s="2" t="s">
        <v>1559</v>
      </c>
      <c r="E457" s="2" t="s">
        <v>1593</v>
      </c>
      <c r="F457" s="2" t="s">
        <v>1620</v>
      </c>
      <c r="G457" s="2" t="s">
        <v>738</v>
      </c>
      <c r="H457" s="7"/>
      <c r="I457" s="2" t="s">
        <v>9</v>
      </c>
    </row>
    <row r="458" spans="1:9" ht="39" x14ac:dyDescent="0.3">
      <c r="A458" s="1" t="str">
        <f>HYPERLINK("https://ipmanager.doe.gov/IPManager//ExternalLink.aspx?6ibkph2k9yi6F%2B0Vz7YoTjnDGhmGHGI7voErh7ICzcI%3D","Link")</f>
        <v>Link</v>
      </c>
      <c r="B458" s="2" t="s">
        <v>1621</v>
      </c>
      <c r="C458" s="2" t="s">
        <v>1558</v>
      </c>
      <c r="D458" s="2" t="s">
        <v>1559</v>
      </c>
      <c r="E458" s="2" t="s">
        <v>1560</v>
      </c>
      <c r="F458" s="2"/>
      <c r="G458" s="2" t="s">
        <v>9</v>
      </c>
      <c r="H458" s="7"/>
      <c r="I458" s="2" t="s">
        <v>9</v>
      </c>
    </row>
    <row r="459" spans="1:9" ht="39" x14ac:dyDescent="0.3">
      <c r="A459" s="1" t="str">
        <f>HYPERLINK("https://ipmanager.doe.gov/IPManager//ExternalLink.aspx?6ibkph2k9yi6F%2B0Vz7YoTjnDGhmGHGI7z4t7fyFTMxQ%3D","Link")</f>
        <v>Link</v>
      </c>
      <c r="B459" s="2" t="s">
        <v>1609</v>
      </c>
      <c r="C459" s="2" t="s">
        <v>1558</v>
      </c>
      <c r="D459" s="2" t="s">
        <v>1559</v>
      </c>
      <c r="E459" s="2" t="s">
        <v>1576</v>
      </c>
      <c r="F459" s="2" t="s">
        <v>1622</v>
      </c>
      <c r="G459" s="2" t="s">
        <v>1623</v>
      </c>
      <c r="H459" s="7"/>
      <c r="I459" s="2" t="s">
        <v>9</v>
      </c>
    </row>
    <row r="460" spans="1:9" ht="39" x14ac:dyDescent="0.3">
      <c r="A460" s="1" t="str">
        <f>HYPERLINK("https://ipmanager.doe.gov/IPManager//ExternalLink.aspx?6ibkph2k9yi6F%2B0Vz7YoTsTAnuFk5EoAo%2B0Tmo4fPtM%3D","Link")</f>
        <v>Link</v>
      </c>
      <c r="B460" s="2" t="s">
        <v>6749</v>
      </c>
      <c r="C460" s="2" t="s">
        <v>6726</v>
      </c>
      <c r="D460" s="2" t="s">
        <v>4128</v>
      </c>
      <c r="E460" s="2" t="s">
        <v>6740</v>
      </c>
      <c r="F460" s="2" t="s">
        <v>6750</v>
      </c>
      <c r="G460" s="2" t="s">
        <v>1105</v>
      </c>
      <c r="H460" s="7"/>
      <c r="I460" s="2" t="s">
        <v>9</v>
      </c>
    </row>
    <row r="461" spans="1:9" ht="39" x14ac:dyDescent="0.3">
      <c r="A461" s="1" t="str">
        <f>HYPERLINK("https://ipmanager.doe.gov/IPManager//ExternalLink.aspx?6ibkph2k9yi6F%2B0Vz7YoTgZwfmYxrNyKDOAOCJXP6%2B4%3D","Link")</f>
        <v>Link</v>
      </c>
      <c r="B461" s="2" t="s">
        <v>1626</v>
      </c>
      <c r="C461" s="2" t="s">
        <v>1558</v>
      </c>
      <c r="D461" s="2" t="s">
        <v>1559</v>
      </c>
      <c r="E461" s="2" t="s">
        <v>1576</v>
      </c>
      <c r="F461" s="2" t="s">
        <v>1627</v>
      </c>
      <c r="G461" s="2" t="s">
        <v>1628</v>
      </c>
      <c r="H461" s="7">
        <v>9401501</v>
      </c>
      <c r="I461" s="2" t="s">
        <v>386</v>
      </c>
    </row>
    <row r="462" spans="1:9" ht="65" x14ac:dyDescent="0.3">
      <c r="A462" s="1" t="str">
        <f>HYPERLINK("https://ipmanager.doe.gov/IPManager//ExternalLink.aspx?6ibkph2k9yi6F%2B0Vz7YoTipZ798QK%2BbPiLeiThTx5Z0%3D","Link")</f>
        <v>Link</v>
      </c>
      <c r="B462" s="2" t="s">
        <v>1701</v>
      </c>
      <c r="C462" s="2" t="s">
        <v>1693</v>
      </c>
      <c r="D462" s="2" t="s">
        <v>1702</v>
      </c>
      <c r="E462" s="2" t="s">
        <v>1703</v>
      </c>
      <c r="F462" s="2" t="s">
        <v>1704</v>
      </c>
      <c r="G462" s="2" t="s">
        <v>1201</v>
      </c>
      <c r="H462" s="7"/>
      <c r="I462" s="2" t="s">
        <v>9</v>
      </c>
    </row>
    <row r="463" spans="1:9" ht="39" x14ac:dyDescent="0.3">
      <c r="A463" s="1" t="str">
        <f>HYPERLINK("https://ipmanager.doe.gov/IPManager//ExternalLink.aspx?6ibkph2k9yi6F%2B0Vz7YoTnXVN2REjGcWt4SQNyYxeqQ%3D","Link")</f>
        <v>Link</v>
      </c>
      <c r="B463" s="2" t="s">
        <v>6303</v>
      </c>
      <c r="C463" s="2" t="s">
        <v>6304</v>
      </c>
      <c r="D463" s="2" t="s">
        <v>6305</v>
      </c>
      <c r="E463" s="2" t="s">
        <v>6306</v>
      </c>
      <c r="F463" s="2" t="s">
        <v>6307</v>
      </c>
      <c r="G463" s="2" t="s">
        <v>3340</v>
      </c>
      <c r="H463" s="7"/>
      <c r="I463" s="2" t="s">
        <v>9</v>
      </c>
    </row>
    <row r="464" spans="1:9" ht="65" x14ac:dyDescent="0.3">
      <c r="A464" s="1" t="str">
        <f>HYPERLINK("https://ipmanager.doe.gov/IPManager//ExternalLink.aspx?6ibkph2k9yi6F%2B0Vz7YoTnXVN2REjGcWuGcZyW0o10A%3D","Link")</f>
        <v>Link</v>
      </c>
      <c r="B464" s="2" t="s">
        <v>7005</v>
      </c>
      <c r="C464" s="2" t="s">
        <v>6994</v>
      </c>
      <c r="D464" s="2" t="s">
        <v>6305</v>
      </c>
      <c r="E464" s="2" t="s">
        <v>7006</v>
      </c>
      <c r="F464" s="2" t="s">
        <v>7007</v>
      </c>
      <c r="G464" s="2" t="s">
        <v>3340</v>
      </c>
      <c r="H464" s="7"/>
      <c r="I464" s="2" t="s">
        <v>9</v>
      </c>
    </row>
    <row r="465" spans="1:9" ht="26" x14ac:dyDescent="0.3">
      <c r="A465" s="1" t="str">
        <f>HYPERLINK("https://ipmanager.doe.gov/IPManager//ExternalLink.aspx?6ibkph2k9yi6F%2B0Vz7YoTp68px7nSN2gIrnDJ4azuPo%3D","Link")</f>
        <v>Link</v>
      </c>
      <c r="B465" s="2" t="s">
        <v>7008</v>
      </c>
      <c r="C465" s="2" t="s">
        <v>6994</v>
      </c>
      <c r="D465" s="2" t="s">
        <v>7009</v>
      </c>
      <c r="E465" s="2" t="s">
        <v>7010</v>
      </c>
      <c r="F465" s="2" t="s">
        <v>7011</v>
      </c>
      <c r="G465" s="2" t="s">
        <v>6816</v>
      </c>
      <c r="H465" s="7"/>
      <c r="I465" s="2" t="s">
        <v>9</v>
      </c>
    </row>
    <row r="466" spans="1:9" ht="52" x14ac:dyDescent="0.3">
      <c r="A466" s="1" t="str">
        <f>HYPERLINK("https://ipmanager.doe.gov/IPManager//ExternalLink.aspx?6ibkph2k9yi6F%2B0Vz7YoTgZwfmYxrNyKHAszSTzrzb0%3D","Link")</f>
        <v>Link</v>
      </c>
      <c r="B466" s="2" t="s">
        <v>1638</v>
      </c>
      <c r="C466" s="2" t="s">
        <v>1558</v>
      </c>
      <c r="D466" s="2" t="s">
        <v>1559</v>
      </c>
      <c r="E466" s="2" t="s">
        <v>1568</v>
      </c>
      <c r="F466" s="2" t="s">
        <v>1571</v>
      </c>
      <c r="G466" s="2" t="s">
        <v>1572</v>
      </c>
      <c r="H466" s="7"/>
      <c r="I466" s="2" t="s">
        <v>9</v>
      </c>
    </row>
    <row r="467" spans="1:9" ht="39" x14ac:dyDescent="0.3">
      <c r="A467" s="1" t="str">
        <f>HYPERLINK("https://ipmanager.doe.gov/IPManager//ExternalLink.aspx?6ibkph2k9yi6F%2B0Vz7YoTgZwfmYxrNyKhtEDp52PVs0%3D","Link")</f>
        <v>Link</v>
      </c>
      <c r="B467" s="2" t="s">
        <v>1639</v>
      </c>
      <c r="C467" s="2" t="s">
        <v>1558</v>
      </c>
      <c r="D467" s="2" t="s">
        <v>1559</v>
      </c>
      <c r="E467" s="2" t="s">
        <v>1560</v>
      </c>
      <c r="F467" s="2" t="s">
        <v>1640</v>
      </c>
      <c r="G467" s="2" t="s">
        <v>1641</v>
      </c>
      <c r="H467" s="7">
        <v>9184464</v>
      </c>
      <c r="I467" s="2" t="s">
        <v>494</v>
      </c>
    </row>
    <row r="468" spans="1:9" ht="39" x14ac:dyDescent="0.3">
      <c r="A468" s="1" t="str">
        <f>HYPERLINK("https://ipmanager.doe.gov/IPManager//ExternalLink.aspx?6ibkph2k9yi6F%2B0Vz7YoTgZwfmYxrNyKUK9t1ecrH9c%3D","Link")</f>
        <v>Link</v>
      </c>
      <c r="B468" s="2" t="s">
        <v>1632</v>
      </c>
      <c r="C468" s="2" t="s">
        <v>1558</v>
      </c>
      <c r="D468" s="2" t="s">
        <v>1559</v>
      </c>
      <c r="E468" s="2" t="s">
        <v>1633</v>
      </c>
      <c r="F468" s="2" t="s">
        <v>1635</v>
      </c>
      <c r="G468" s="2" t="s">
        <v>1572</v>
      </c>
      <c r="H468" s="7">
        <v>9203092</v>
      </c>
      <c r="I468" s="2" t="s">
        <v>1642</v>
      </c>
    </row>
    <row r="469" spans="1:9" ht="26" x14ac:dyDescent="0.3">
      <c r="A469" s="1" t="str">
        <f>HYPERLINK("https://ipmanager.doe.gov/IPManager//ExternalLink.aspx?6ibkph2k9yi6F%2B0Vz7YoTk2BI6w%2FjZ2fz0nBn%2F44jQM%3D","Link")</f>
        <v>Link</v>
      </c>
      <c r="B469" s="2" t="s">
        <v>1643</v>
      </c>
      <c r="C469" s="2" t="s">
        <v>1558</v>
      </c>
      <c r="D469" s="2" t="s">
        <v>1559</v>
      </c>
      <c r="E469" s="2" t="s">
        <v>1644</v>
      </c>
      <c r="F469" s="2" t="s">
        <v>1645</v>
      </c>
      <c r="G469" s="2" t="s">
        <v>1586</v>
      </c>
      <c r="H469" s="7">
        <v>8722226</v>
      </c>
      <c r="I469" s="2" t="s">
        <v>1646</v>
      </c>
    </row>
    <row r="470" spans="1:9" ht="65" x14ac:dyDescent="0.3">
      <c r="A470" s="1" t="str">
        <f>HYPERLINK("https://ipmanager.doe.gov/IPManager//ExternalLink.aspx?6ibkph2k9yi6F%2B0Vz7YoTk2BI6w%2FjZ2f1W171U%2B%2BNR0%3D","Link")</f>
        <v>Link</v>
      </c>
      <c r="B470" s="2" t="s">
        <v>1647</v>
      </c>
      <c r="C470" s="2" t="s">
        <v>1648</v>
      </c>
      <c r="D470" s="2" t="s">
        <v>1649</v>
      </c>
      <c r="E470" s="2" t="s">
        <v>1650</v>
      </c>
      <c r="F470" s="2" t="s">
        <v>1651</v>
      </c>
      <c r="G470" s="2" t="s">
        <v>1652</v>
      </c>
      <c r="H470" s="7">
        <v>8739603</v>
      </c>
      <c r="I470" s="2" t="s">
        <v>502</v>
      </c>
    </row>
    <row r="471" spans="1:9" ht="52" x14ac:dyDescent="0.3">
      <c r="A471" s="1" t="str">
        <f>HYPERLINK("https://ipmanager.doe.gov/IPManager//ExternalLink.aspx?6ibkph2k9yi6F%2B0Vz7YoTk2BI6w%2FjZ2fV3N54Fywnvs%3D","Link")</f>
        <v>Link</v>
      </c>
      <c r="B471" s="2" t="s">
        <v>1653</v>
      </c>
      <c r="C471" s="2" t="s">
        <v>1648</v>
      </c>
      <c r="D471" s="2" t="s">
        <v>1649</v>
      </c>
      <c r="E471" s="2" t="s">
        <v>1654</v>
      </c>
      <c r="F471" s="2"/>
      <c r="G471" s="2" t="s">
        <v>9</v>
      </c>
      <c r="H471" s="7"/>
      <c r="I471" s="2" t="s">
        <v>9</v>
      </c>
    </row>
    <row r="472" spans="1:9" ht="39" x14ac:dyDescent="0.3">
      <c r="A472" s="1" t="str">
        <f>HYPERLINK("https://ipmanager.doe.gov/IPManager//ExternalLink.aspx?6ibkph2k9yi6F%2B0Vz7YoTp68px7nSN2g%2F4DlGNcxX2Q%3D","Link")</f>
        <v>Link</v>
      </c>
      <c r="B472" s="2" t="s">
        <v>7012</v>
      </c>
      <c r="C472" s="2" t="s">
        <v>6994</v>
      </c>
      <c r="D472" s="2" t="s">
        <v>7009</v>
      </c>
      <c r="E472" s="2" t="s">
        <v>7013</v>
      </c>
      <c r="F472" s="2" t="s">
        <v>7014</v>
      </c>
      <c r="G472" s="2" t="s">
        <v>5811</v>
      </c>
      <c r="H472" s="7"/>
      <c r="I472" s="2" t="s">
        <v>9</v>
      </c>
    </row>
    <row r="473" spans="1:9" ht="52" x14ac:dyDescent="0.3">
      <c r="A473" s="1" t="str">
        <f>HYPERLINK("https://ipmanager.doe.gov/IPManager//ExternalLink.aspx?6ibkph2k9yi6F%2B0Vz7YoTlNm8snv%2FZpHRP%2FJpgDlf2I%3D","Link")</f>
        <v>Link</v>
      </c>
      <c r="B473" s="2" t="s">
        <v>1661</v>
      </c>
      <c r="C473" s="2" t="s">
        <v>1662</v>
      </c>
      <c r="D473" s="2" t="s">
        <v>1663</v>
      </c>
      <c r="E473" s="2" t="s">
        <v>1664</v>
      </c>
      <c r="F473" s="2"/>
      <c r="G473" s="2" t="s">
        <v>9</v>
      </c>
      <c r="H473" s="7"/>
      <c r="I473" s="2" t="s">
        <v>9</v>
      </c>
    </row>
    <row r="474" spans="1:9" ht="52" x14ac:dyDescent="0.3">
      <c r="A474" s="1" t="str">
        <f>HYPERLINK("https://ipmanager.doe.gov/IPManager//ExternalLink.aspx?6ibkph2k9yi6F%2B0Vz7YoTipZ798QK%2BbPf8tsnt2xHuQ%3D","Link")</f>
        <v>Link</v>
      </c>
      <c r="B474" s="2" t="s">
        <v>1665</v>
      </c>
      <c r="C474" s="2" t="s">
        <v>1662</v>
      </c>
      <c r="D474" s="2" t="s">
        <v>1666</v>
      </c>
      <c r="E474" s="2" t="s">
        <v>1667</v>
      </c>
      <c r="F474" s="2"/>
      <c r="G474" s="2" t="s">
        <v>9</v>
      </c>
      <c r="H474" s="7"/>
      <c r="I474" s="2" t="s">
        <v>9</v>
      </c>
    </row>
    <row r="475" spans="1:9" ht="78" x14ac:dyDescent="0.3">
      <c r="A475" s="1" t="str">
        <f>HYPERLINK("https://ipmanager.doe.gov/IPManager//ExternalLink.aspx?6ibkph2k9yi6F%2B0Vz7YoTipZ798QK%2BbPODEizRUiLKc%3D","Link")</f>
        <v>Link</v>
      </c>
      <c r="B475" s="2" t="s">
        <v>1669</v>
      </c>
      <c r="C475" s="2" t="s">
        <v>1670</v>
      </c>
      <c r="D475" s="2" t="s">
        <v>308</v>
      </c>
      <c r="E475" s="2" t="s">
        <v>1671</v>
      </c>
      <c r="F475" s="2"/>
      <c r="G475" s="2" t="s">
        <v>9</v>
      </c>
      <c r="H475" s="7"/>
      <c r="I475" s="2" t="s">
        <v>9</v>
      </c>
    </row>
    <row r="476" spans="1:9" ht="26" x14ac:dyDescent="0.3">
      <c r="A476" s="1" t="str">
        <f>HYPERLINK("https://ipmanager.doe.gov/IPManager//ExternalLink.aspx?6ibkph2k9yi6F%2B0Vz7YoTipZ798QK%2BbPktfTtL2i8mw%3D","Link")</f>
        <v>Link</v>
      </c>
      <c r="B476" s="2" t="s">
        <v>1673</v>
      </c>
      <c r="C476" s="2" t="s">
        <v>1670</v>
      </c>
      <c r="D476" s="2" t="s">
        <v>308</v>
      </c>
      <c r="E476" s="2" t="s">
        <v>1674</v>
      </c>
      <c r="F476" s="2"/>
      <c r="G476" s="2" t="s">
        <v>9</v>
      </c>
      <c r="H476" s="7"/>
      <c r="I476" s="2" t="s">
        <v>9</v>
      </c>
    </row>
    <row r="477" spans="1:9" ht="52" x14ac:dyDescent="0.3">
      <c r="A477" s="1" t="str">
        <f>HYPERLINK("https://ipmanager.doe.gov/IPManager//ExternalLink.aspx?6ibkph2k9yi6F%2B0Vz7YoTk2BI6w%2FjZ2fMCumFhiuNVs%3D","Link")</f>
        <v>Link</v>
      </c>
      <c r="B477" s="2" t="s">
        <v>1675</v>
      </c>
      <c r="C477" s="2" t="s">
        <v>1676</v>
      </c>
      <c r="D477" s="2" t="s">
        <v>1677</v>
      </c>
      <c r="E477" s="2" t="s">
        <v>1678</v>
      </c>
      <c r="F477" s="2" t="s">
        <v>7619</v>
      </c>
      <c r="G477" s="2" t="s">
        <v>1679</v>
      </c>
      <c r="H477" s="8">
        <v>9325171</v>
      </c>
      <c r="I477" s="2" t="s">
        <v>1680</v>
      </c>
    </row>
    <row r="478" spans="1:9" ht="39" x14ac:dyDescent="0.3">
      <c r="A478" s="1" t="str">
        <f>HYPERLINK("https://ipmanager.doe.gov/IPManager//ExternalLink.aspx?6ibkph2k9yi6F%2B0Vz7YoTipZ798QK%2BbPdCQ8bzIhr0k%3D","Link")</f>
        <v>Link</v>
      </c>
      <c r="B478" s="2" t="s">
        <v>1681</v>
      </c>
      <c r="C478" s="2" t="s">
        <v>1676</v>
      </c>
      <c r="D478" s="2" t="s">
        <v>1677</v>
      </c>
      <c r="E478" s="2" t="s">
        <v>1682</v>
      </c>
      <c r="F478" s="2" t="s">
        <v>7620</v>
      </c>
      <c r="G478" s="2" t="s">
        <v>1683</v>
      </c>
      <c r="H478" s="8">
        <v>9114281</v>
      </c>
      <c r="I478" s="2" t="s">
        <v>470</v>
      </c>
    </row>
    <row r="479" spans="1:9" ht="52" x14ac:dyDescent="0.3">
      <c r="A479" s="1" t="str">
        <f>HYPERLINK("https://ipmanager.doe.gov/IPManager//ExternalLink.aspx?6ibkph2k9yi6F%2B0Vz7YoTsTAnuFk5EoAfOWue2TvpOw%3D","Link")</f>
        <v>Link</v>
      </c>
      <c r="B479" s="2" t="s">
        <v>7001</v>
      </c>
      <c r="C479" s="2" t="s">
        <v>6994</v>
      </c>
      <c r="D479" s="2" t="s">
        <v>6995</v>
      </c>
      <c r="E479" s="2" t="s">
        <v>7002</v>
      </c>
      <c r="F479" s="2" t="s">
        <v>7003</v>
      </c>
      <c r="G479" s="2" t="s">
        <v>7004</v>
      </c>
      <c r="H479" s="7"/>
      <c r="I479" s="2" t="s">
        <v>9</v>
      </c>
    </row>
    <row r="480" spans="1:9" ht="39" x14ac:dyDescent="0.3">
      <c r="A480" s="1" t="str">
        <f>HYPERLINK("https://ipmanager.doe.gov/IPManager//ExternalLink.aspx?6ibkph2k9yi6F%2B0Vz7YoTipZ798QK%2BbPuuXrc5Bz9Zw%3D","Link")</f>
        <v>Link</v>
      </c>
      <c r="B480" s="2" t="s">
        <v>1688</v>
      </c>
      <c r="C480" s="2" t="s">
        <v>1676</v>
      </c>
      <c r="D480" s="2" t="s">
        <v>1677</v>
      </c>
      <c r="E480" s="2" t="s">
        <v>1689</v>
      </c>
      <c r="F480" s="2" t="s">
        <v>1690</v>
      </c>
      <c r="G480" s="2" t="s">
        <v>392</v>
      </c>
      <c r="H480" s="8">
        <v>9281756</v>
      </c>
      <c r="I480" s="2" t="s">
        <v>1691</v>
      </c>
    </row>
    <row r="481" spans="1:9" ht="52" x14ac:dyDescent="0.3">
      <c r="A481" s="1" t="str">
        <f>HYPERLINK("https://ipmanager.doe.gov/IPManager//ExternalLink.aspx?6ibkph2k9yi6F%2B0Vz7YoTipZ798QK%2BbPygXWNRreWEM%3D","Link")</f>
        <v>Link</v>
      </c>
      <c r="B481" s="2" t="s">
        <v>1692</v>
      </c>
      <c r="C481" s="2" t="s">
        <v>1693</v>
      </c>
      <c r="D481" s="2" t="s">
        <v>154</v>
      </c>
      <c r="E481" s="2" t="s">
        <v>1694</v>
      </c>
      <c r="F481" s="2"/>
      <c r="G481" s="2" t="s">
        <v>9</v>
      </c>
      <c r="H481" s="7"/>
      <c r="I481" s="2" t="s">
        <v>9</v>
      </c>
    </row>
    <row r="482" spans="1:9" ht="65" x14ac:dyDescent="0.3">
      <c r="A482" s="1" t="str">
        <f>HYPERLINK("https://ipmanager.doe.gov/IPManager//ExternalLink.aspx?6ibkph2k9yi6F%2B0Vz7YoTipZ798QK%2BbPulNSFG5vHXI%3D","Link")</f>
        <v>Link</v>
      </c>
      <c r="B482" s="2" t="s">
        <v>1695</v>
      </c>
      <c r="C482" s="2" t="s">
        <v>1693</v>
      </c>
      <c r="D482" s="2" t="s">
        <v>154</v>
      </c>
      <c r="E482" s="2" t="s">
        <v>1696</v>
      </c>
      <c r="F482" s="2"/>
      <c r="G482" s="2" t="s">
        <v>9</v>
      </c>
      <c r="H482" s="7"/>
      <c r="I482" s="2" t="s">
        <v>9</v>
      </c>
    </row>
    <row r="483" spans="1:9" ht="65" x14ac:dyDescent="0.3">
      <c r="A483" s="1" t="str">
        <f>HYPERLINK("https://ipmanager.doe.gov/IPManager//ExternalLink.aspx?6ibkph2k9yi6F%2B0Vz7YoTipZ798QK%2BbPqLFrHbvVP%2Bo%3D","Link")</f>
        <v>Link</v>
      </c>
      <c r="B483" s="2" t="s">
        <v>1697</v>
      </c>
      <c r="C483" s="2" t="s">
        <v>1693</v>
      </c>
      <c r="D483" s="2" t="s">
        <v>154</v>
      </c>
      <c r="E483" s="2" t="s">
        <v>1698</v>
      </c>
      <c r="F483" s="2"/>
      <c r="G483" s="2" t="s">
        <v>9</v>
      </c>
      <c r="H483" s="7"/>
      <c r="I483" s="2" t="s">
        <v>9</v>
      </c>
    </row>
    <row r="484" spans="1:9" ht="78" x14ac:dyDescent="0.3">
      <c r="A484" s="1" t="str">
        <f>HYPERLINK("https://ipmanager.doe.gov/IPManager//ExternalLink.aspx?6ibkph2k9yi6F%2B0Vz7YoTipZ798QK%2BbPnPBjrVZsOTs%3D","Link")</f>
        <v>Link</v>
      </c>
      <c r="B484" s="2" t="s">
        <v>1699</v>
      </c>
      <c r="C484" s="2" t="s">
        <v>1693</v>
      </c>
      <c r="D484" s="2" t="s">
        <v>154</v>
      </c>
      <c r="E484" s="2" t="s">
        <v>1700</v>
      </c>
      <c r="F484" s="2"/>
      <c r="G484" s="2" t="s">
        <v>9</v>
      </c>
      <c r="H484" s="7"/>
      <c r="I484" s="2" t="s">
        <v>9</v>
      </c>
    </row>
    <row r="485" spans="1:9" ht="39" x14ac:dyDescent="0.3">
      <c r="A485" s="1" t="str">
        <f>HYPERLINK("https://ipmanager.doe.gov/IPManager//ExternalLink.aspx?6ibkph2k9yi6F%2B0Vz7YoTjnDGhmGHGI7NYpsKYVlCtk%3D","Link")</f>
        <v>Link</v>
      </c>
      <c r="B485" s="2" t="s">
        <v>1837</v>
      </c>
      <c r="C485" s="2" t="s">
        <v>1818</v>
      </c>
      <c r="D485" s="2" t="s">
        <v>1838</v>
      </c>
      <c r="E485" s="2" t="s">
        <v>1839</v>
      </c>
      <c r="F485" s="2" t="s">
        <v>7621</v>
      </c>
      <c r="G485" s="2" t="s">
        <v>1840</v>
      </c>
      <c r="H485" s="7"/>
      <c r="I485" s="2" t="s">
        <v>9</v>
      </c>
    </row>
    <row r="486" spans="1:9" ht="52" x14ac:dyDescent="0.3">
      <c r="A486" s="1" t="str">
        <f>HYPERLINK("https://ipmanager.doe.gov/IPManager//ExternalLink.aspx?6ibkph2k9yi6F%2B0Vz7YoTipZ798QK%2BbPxOet97sqask%3D","Link")</f>
        <v>Link</v>
      </c>
      <c r="B486" s="2" t="s">
        <v>1705</v>
      </c>
      <c r="C486" s="2" t="s">
        <v>1706</v>
      </c>
      <c r="D486" s="2" t="s">
        <v>1707</v>
      </c>
      <c r="E486" s="2" t="s">
        <v>1708</v>
      </c>
      <c r="F486" s="2"/>
      <c r="G486" s="2" t="s">
        <v>9</v>
      </c>
      <c r="H486" s="7"/>
      <c r="I486" s="2" t="s">
        <v>9</v>
      </c>
    </row>
    <row r="487" spans="1:9" ht="52" x14ac:dyDescent="0.3">
      <c r="A487" s="1" t="str">
        <f>HYPERLINK("https://ipmanager.doe.gov/IPManager//ExternalLink.aspx?6ibkph2k9yi6F%2B0Vz7YoTq6RR9BlGHHiY4DPRmVF47Q%3D","Link")</f>
        <v>Link</v>
      </c>
      <c r="B487" s="2" t="s">
        <v>1709</v>
      </c>
      <c r="C487" s="2" t="s">
        <v>1706</v>
      </c>
      <c r="D487" s="2" t="s">
        <v>1707</v>
      </c>
      <c r="E487" s="2" t="s">
        <v>1710</v>
      </c>
      <c r="F487" s="2"/>
      <c r="G487" s="2" t="s">
        <v>9</v>
      </c>
      <c r="H487" s="7"/>
      <c r="I487" s="2" t="s">
        <v>9</v>
      </c>
    </row>
    <row r="488" spans="1:9" ht="26" x14ac:dyDescent="0.3">
      <c r="A488" s="1" t="str">
        <f>HYPERLINK("https://ipmanager.doe.gov/IPManager//ExternalLink.aspx?6ibkph2k9yi6F%2B0Vz7YoTk2BI6w%2FjZ2fm%2BKmcO8h3ms%3D","Link")</f>
        <v>Link</v>
      </c>
      <c r="B488" s="2" t="s">
        <v>1711</v>
      </c>
      <c r="C488" s="2" t="s">
        <v>1706</v>
      </c>
      <c r="D488" s="2" t="s">
        <v>1712</v>
      </c>
      <c r="E488" s="2" t="s">
        <v>1713</v>
      </c>
      <c r="F488" s="2" t="s">
        <v>1714</v>
      </c>
      <c r="G488" s="2" t="s">
        <v>1715</v>
      </c>
      <c r="H488" s="8">
        <v>9184237</v>
      </c>
      <c r="I488" s="2" t="s">
        <v>494</v>
      </c>
    </row>
    <row r="489" spans="1:9" ht="52" x14ac:dyDescent="0.3">
      <c r="A489" s="1" t="str">
        <f>HYPERLINK("https://ipmanager.doe.gov/IPManager//ExternalLink.aspx?6ibkph2k9yi6F%2B0Vz7YoTk2BI6w%2FjZ2fUR9LTzgKFbw%3D","Link")</f>
        <v>Link</v>
      </c>
      <c r="B489" s="2" t="s">
        <v>1716</v>
      </c>
      <c r="C489" s="2" t="s">
        <v>1706</v>
      </c>
      <c r="D489" s="2" t="s">
        <v>1712</v>
      </c>
      <c r="E489" s="2" t="s">
        <v>1717</v>
      </c>
      <c r="F489" s="2"/>
      <c r="G489" s="2" t="s">
        <v>9</v>
      </c>
      <c r="H489" s="7"/>
      <c r="I489" s="2" t="s">
        <v>9</v>
      </c>
    </row>
    <row r="490" spans="1:9" ht="65" x14ac:dyDescent="0.3">
      <c r="A490" s="1" t="str">
        <f>HYPERLINK("https://ipmanager.doe.gov/IPManager//ExternalLink.aspx?6ibkph2k9yi6F%2B0Vz7YoTk2BI6w%2FjZ2fNJ3ZR6lo6kc%3D","Link")</f>
        <v>Link</v>
      </c>
      <c r="B490" s="2" t="s">
        <v>1718</v>
      </c>
      <c r="C490" s="2" t="s">
        <v>1719</v>
      </c>
      <c r="D490" s="2" t="s">
        <v>1720</v>
      </c>
      <c r="E490" s="2" t="s">
        <v>1721</v>
      </c>
      <c r="F490" s="2" t="s">
        <v>1722</v>
      </c>
      <c r="G490" s="2" t="s">
        <v>1723</v>
      </c>
      <c r="H490" s="7">
        <v>9607748</v>
      </c>
      <c r="I490" s="2" t="s">
        <v>1724</v>
      </c>
    </row>
    <row r="491" spans="1:9" ht="52" x14ac:dyDescent="0.3">
      <c r="A491" s="1" t="str">
        <f>HYPERLINK("https://ipmanager.doe.gov/IPManager//ExternalLink.aspx?6ibkph2k9yi6F%2B0Vz7YoTk2BI6w%2FjZ2f9BBdHnqCrZs%3D","Link")</f>
        <v>Link</v>
      </c>
      <c r="B491" s="2" t="s">
        <v>2474</v>
      </c>
      <c r="C491" s="2" t="s">
        <v>2475</v>
      </c>
      <c r="D491" s="2" t="s">
        <v>1838</v>
      </c>
      <c r="E491" s="2" t="s">
        <v>2476</v>
      </c>
      <c r="F491" s="2" t="s">
        <v>2477</v>
      </c>
      <c r="G491" s="2" t="s">
        <v>2478</v>
      </c>
      <c r="H491" s="7"/>
      <c r="I491" s="2" t="s">
        <v>9</v>
      </c>
    </row>
    <row r="492" spans="1:9" ht="52" x14ac:dyDescent="0.3">
      <c r="A492" s="1" t="str">
        <f>HYPERLINK("https://ipmanager.doe.gov/IPManager//ExternalLink.aspx?6ibkph2k9yi6F%2B0Vz7YoTipZ798QK%2BbPsv4bZAthDWQ%3D","Link")</f>
        <v>Link</v>
      </c>
      <c r="B492" s="2" t="s">
        <v>2479</v>
      </c>
      <c r="C492" s="2" t="s">
        <v>2475</v>
      </c>
      <c r="D492" s="2" t="s">
        <v>1838</v>
      </c>
      <c r="E492" s="2" t="s">
        <v>2476</v>
      </c>
      <c r="F492" s="2" t="s">
        <v>2480</v>
      </c>
      <c r="G492" s="2" t="s">
        <v>1590</v>
      </c>
      <c r="H492" s="7"/>
      <c r="I492" s="2" t="s">
        <v>9</v>
      </c>
    </row>
    <row r="493" spans="1:9" ht="52" x14ac:dyDescent="0.3">
      <c r="A493" s="1" t="str">
        <f>HYPERLINK("https://ipmanager.doe.gov/IPManager//ExternalLink.aspx?6ibkph2k9yi6F%2B0Vz7YoTq6RR9BlGHHiN88c0OsRQCI%3D","Link")</f>
        <v>Link</v>
      </c>
      <c r="B493" s="2" t="s">
        <v>4088</v>
      </c>
      <c r="C493" s="2" t="s">
        <v>4073</v>
      </c>
      <c r="D493" s="2" t="s">
        <v>4089</v>
      </c>
      <c r="E493" s="2" t="s">
        <v>3148</v>
      </c>
      <c r="F493" s="2" t="s">
        <v>4090</v>
      </c>
      <c r="G493" s="2" t="s">
        <v>4091</v>
      </c>
      <c r="H493" s="7"/>
      <c r="I493" s="2" t="s">
        <v>9</v>
      </c>
    </row>
    <row r="494" spans="1:9" ht="26" x14ac:dyDescent="0.3">
      <c r="A494" s="1" t="str">
        <f>HYPERLINK("https://ipmanager.doe.gov/IPManager//ExternalLink.aspx?6ibkph2k9yi6F%2B0Vz7YoTvPUg%2FVZPl3iZkimOeMUD80%3D","Link")</f>
        <v>Link</v>
      </c>
      <c r="B494" s="2" t="s">
        <v>1741</v>
      </c>
      <c r="C494" s="2" t="s">
        <v>1730</v>
      </c>
      <c r="D494" s="2" t="s">
        <v>1731</v>
      </c>
      <c r="E494" s="2" t="s">
        <v>1742</v>
      </c>
      <c r="F494" s="2" t="s">
        <v>1743</v>
      </c>
      <c r="G494" s="2" t="s">
        <v>381</v>
      </c>
      <c r="H494" s="7"/>
      <c r="I494" s="2" t="s">
        <v>9</v>
      </c>
    </row>
    <row r="495" spans="1:9" ht="39" x14ac:dyDescent="0.3">
      <c r="A495" s="1" t="str">
        <f>HYPERLINK("https://ipmanager.doe.gov/IPManager//ExternalLink.aspx?6ibkph2k9yi6F%2B0Vz7YoTvPUg%2FVZPl3i%2BmVob8DuYYw%3D","Link")</f>
        <v>Link</v>
      </c>
      <c r="B495" s="2" t="s">
        <v>1745</v>
      </c>
      <c r="C495" s="2" t="s">
        <v>1730</v>
      </c>
      <c r="D495" s="2" t="s">
        <v>1731</v>
      </c>
      <c r="E495" s="2" t="s">
        <v>1746</v>
      </c>
      <c r="F495" s="2"/>
      <c r="G495" s="2" t="s">
        <v>9</v>
      </c>
      <c r="H495" s="7"/>
      <c r="I495" s="2" t="s">
        <v>9</v>
      </c>
    </row>
    <row r="496" spans="1:9" ht="26" x14ac:dyDescent="0.3">
      <c r="A496" s="1" t="str">
        <f>HYPERLINK("https://ipmanager.doe.gov/IPManager//ExternalLink.aspx?6ibkph2k9yi6F%2B0Vz7YoTq6RR9BlGHHidc2sqez6em4%3D","Link")</f>
        <v>Link</v>
      </c>
      <c r="B496" s="2" t="s">
        <v>4427</v>
      </c>
      <c r="C496" s="2" t="s">
        <v>4418</v>
      </c>
      <c r="D496" s="2" t="s">
        <v>4419</v>
      </c>
      <c r="E496" s="2" t="s">
        <v>4428</v>
      </c>
      <c r="F496" s="2" t="s">
        <v>4429</v>
      </c>
      <c r="G496" s="2" t="s">
        <v>2525</v>
      </c>
      <c r="H496" s="7"/>
      <c r="I496" s="2" t="s">
        <v>9</v>
      </c>
    </row>
    <row r="497" spans="1:9" ht="26" x14ac:dyDescent="0.3">
      <c r="A497" s="1" t="str">
        <f>HYPERLINK("https://ipmanager.doe.gov/IPManager//ExternalLink.aspx?6ibkph2k9yi6F%2B0Vz7YoTq6RR9BlGHHiQGER0929W3I%3D","Link")</f>
        <v>Link</v>
      </c>
      <c r="B497" s="2" t="s">
        <v>1748</v>
      </c>
      <c r="C497" s="2" t="s">
        <v>1730</v>
      </c>
      <c r="D497" s="2" t="s">
        <v>1731</v>
      </c>
      <c r="E497" s="2" t="s">
        <v>1742</v>
      </c>
      <c r="F497" s="2"/>
      <c r="G497" s="2" t="s">
        <v>9</v>
      </c>
      <c r="H497" s="7"/>
      <c r="I497" s="2" t="s">
        <v>9</v>
      </c>
    </row>
    <row r="498" spans="1:9" ht="39" x14ac:dyDescent="0.3">
      <c r="A498" s="1" t="str">
        <f>HYPERLINK("https://ipmanager.doe.gov/IPManager//ExternalLink.aspx?6ibkph2k9yi6F%2B0Vz7YoTq6RR9BlGHHixXf8qVJtOCM%3D","Link")</f>
        <v>Link</v>
      </c>
      <c r="B498" s="2" t="s">
        <v>1750</v>
      </c>
      <c r="C498" s="2" t="s">
        <v>1730</v>
      </c>
      <c r="D498" s="2" t="s">
        <v>1751</v>
      </c>
      <c r="E498" s="2" t="s">
        <v>1752</v>
      </c>
      <c r="F498" s="2" t="s">
        <v>1753</v>
      </c>
      <c r="G498" s="2" t="s">
        <v>1754</v>
      </c>
      <c r="H498" s="7">
        <v>9295116</v>
      </c>
      <c r="I498" s="2" t="s">
        <v>968</v>
      </c>
    </row>
    <row r="499" spans="1:9" ht="52" x14ac:dyDescent="0.3">
      <c r="A499" s="1" t="str">
        <f>HYPERLINK("https://ipmanager.doe.gov/IPManager//ExternalLink.aspx?6ibkph2k9yi6F%2B0Vz7YoTo7DPLa3%2F%2FGg7djAPTSGIY4%3D","Link")</f>
        <v>Link</v>
      </c>
      <c r="B499" s="2" t="s">
        <v>4433</v>
      </c>
      <c r="C499" s="2" t="s">
        <v>4418</v>
      </c>
      <c r="D499" s="2" t="s">
        <v>4419</v>
      </c>
      <c r="E499" s="2" t="s">
        <v>4434</v>
      </c>
      <c r="F499" s="2" t="s">
        <v>4435</v>
      </c>
      <c r="G499" s="2" t="s">
        <v>4436</v>
      </c>
      <c r="H499" s="7"/>
      <c r="I499" s="2" t="s">
        <v>9</v>
      </c>
    </row>
    <row r="500" spans="1:9" ht="26" x14ac:dyDescent="0.3">
      <c r="A500" s="1" t="str">
        <f>HYPERLINK("https://ipmanager.doe.gov/IPManager//ExternalLink.aspx?6ibkph2k9yi6F%2B0Vz7YoTo7DPLa3%2F%2FGgS8h1rHwtnAg%3D","Link")</f>
        <v>Link</v>
      </c>
      <c r="B500" s="2" t="s">
        <v>1758</v>
      </c>
      <c r="C500" s="2" t="s">
        <v>1730</v>
      </c>
      <c r="D500" s="2" t="s">
        <v>1731</v>
      </c>
      <c r="E500" s="2" t="s">
        <v>1742</v>
      </c>
      <c r="F500" s="2" t="s">
        <v>1744</v>
      </c>
      <c r="G500" s="2" t="s">
        <v>1749</v>
      </c>
      <c r="H500" s="7">
        <v>9359259</v>
      </c>
      <c r="I500" s="2" t="s">
        <v>1759</v>
      </c>
    </row>
    <row r="501" spans="1:9" ht="26" x14ac:dyDescent="0.3">
      <c r="A501" s="1" t="str">
        <f>HYPERLINK("https://ipmanager.doe.gov/IPManager//ExternalLink.aspx?6ibkph2k9yi6F%2B0Vz7YoTjnDGhmGHGI7uffR7KIkN78%3D","Link")</f>
        <v>Link</v>
      </c>
      <c r="B501" s="2" t="s">
        <v>1760</v>
      </c>
      <c r="C501" s="2" t="s">
        <v>1730</v>
      </c>
      <c r="D501" s="2" t="s">
        <v>1415</v>
      </c>
      <c r="E501" s="2" t="s">
        <v>1761</v>
      </c>
      <c r="F501" s="2"/>
      <c r="G501" s="2" t="s">
        <v>9</v>
      </c>
      <c r="H501" s="7"/>
      <c r="I501" s="2" t="s">
        <v>9</v>
      </c>
    </row>
    <row r="502" spans="1:9" ht="26" x14ac:dyDescent="0.3">
      <c r="A502" s="1" t="str">
        <f>HYPERLINK("https://ipmanager.doe.gov/IPManager//ExternalLink.aspx?6ibkph2k9yi6F%2B0Vz7YoTjnDGhmGHGI7HQ%2F6FQtxr8w%3D","Link")</f>
        <v>Link</v>
      </c>
      <c r="B502" s="2" t="s">
        <v>1766</v>
      </c>
      <c r="C502" s="2" t="s">
        <v>1762</v>
      </c>
      <c r="D502" s="2" t="s">
        <v>1763</v>
      </c>
      <c r="E502" s="2" t="s">
        <v>1767</v>
      </c>
      <c r="F502" s="2" t="s">
        <v>1764</v>
      </c>
      <c r="G502" s="2" t="s">
        <v>588</v>
      </c>
      <c r="H502" s="7">
        <v>8786327</v>
      </c>
      <c r="I502" s="2" t="s">
        <v>1765</v>
      </c>
    </row>
    <row r="503" spans="1:9" ht="39" x14ac:dyDescent="0.3">
      <c r="A503" s="1" t="str">
        <f>HYPERLINK("https://ipmanager.doe.gov/IPManager//ExternalLink.aspx?6ibkph2k9yi6F%2B0Vz7YoTipZ798QK%2BbPicCJ%2BlC9Eec%3D","Link")</f>
        <v>Link</v>
      </c>
      <c r="B503" s="2" t="s">
        <v>1768</v>
      </c>
      <c r="C503" s="2" t="s">
        <v>1762</v>
      </c>
      <c r="D503" s="2" t="s">
        <v>1763</v>
      </c>
      <c r="E503" s="2" t="s">
        <v>1769</v>
      </c>
      <c r="F503" s="2" t="s">
        <v>1770</v>
      </c>
      <c r="G503" s="2" t="s">
        <v>1771</v>
      </c>
      <c r="H503" s="7">
        <v>9041435</v>
      </c>
      <c r="I503" s="2" t="s">
        <v>1772</v>
      </c>
    </row>
    <row r="504" spans="1:9" ht="26" x14ac:dyDescent="0.3">
      <c r="A504" s="1" t="str">
        <f>HYPERLINK("https://ipmanager.doe.gov/IPManager//ExternalLink.aspx?6ibkph2k9yi6F%2B0Vz7YoTo7DPLa3%2F%2FGgxk1s%2BN8Lpgc%3D","Link")</f>
        <v>Link</v>
      </c>
      <c r="B504" s="2" t="s">
        <v>1773</v>
      </c>
      <c r="C504" s="2" t="s">
        <v>1774</v>
      </c>
      <c r="D504" s="2" t="s">
        <v>1775</v>
      </c>
      <c r="E504" s="2" t="s">
        <v>1776</v>
      </c>
      <c r="F504" s="2" t="s">
        <v>1777</v>
      </c>
      <c r="G504" s="2" t="s">
        <v>1778</v>
      </c>
      <c r="H504" s="7">
        <v>9905367</v>
      </c>
      <c r="I504" s="2" t="s">
        <v>1779</v>
      </c>
    </row>
    <row r="505" spans="1:9" x14ac:dyDescent="0.3">
      <c r="A505" s="1" t="str">
        <f>HYPERLINK("https://ipmanager.doe.gov/IPManager//ExternalLink.aspx?6ibkph2k9yi6F%2B0Vz7YoTo7DPLa3%2F%2FGgDcKK7AvQUX4%3D","Link")</f>
        <v>Link</v>
      </c>
      <c r="B505" s="2" t="s">
        <v>1780</v>
      </c>
      <c r="C505" s="2" t="s">
        <v>1781</v>
      </c>
      <c r="D505" s="2" t="s">
        <v>1782</v>
      </c>
      <c r="E505" s="2" t="s">
        <v>1783</v>
      </c>
      <c r="F505" s="2" t="s">
        <v>1784</v>
      </c>
      <c r="G505" s="2" t="s">
        <v>1785</v>
      </c>
      <c r="H505" s="7">
        <v>9538875</v>
      </c>
      <c r="I505" s="2" t="s">
        <v>275</v>
      </c>
    </row>
    <row r="506" spans="1:9" ht="39" x14ac:dyDescent="0.3">
      <c r="A506" s="1" t="str">
        <f>HYPERLINK("https://ipmanager.doe.gov/IPManager//ExternalLink.aspx?6ibkph2k9yi6F%2B0Vz7YoTr7J5I%2BY4foY2RYJO8slBAE%3D","Link")</f>
        <v>Link</v>
      </c>
      <c r="B506" s="2" t="s">
        <v>1786</v>
      </c>
      <c r="C506" s="2" t="s">
        <v>1781</v>
      </c>
      <c r="D506" s="2" t="s">
        <v>1787</v>
      </c>
      <c r="E506" s="2" t="s">
        <v>1788</v>
      </c>
      <c r="F506" s="2"/>
      <c r="G506" s="2" t="s">
        <v>9</v>
      </c>
      <c r="H506" s="7"/>
      <c r="I506" s="2" t="s">
        <v>9</v>
      </c>
    </row>
    <row r="507" spans="1:9" ht="39" x14ac:dyDescent="0.3">
      <c r="A507" s="1" t="str">
        <f>HYPERLINK("https://ipmanager.doe.gov/IPManager//ExternalLink.aspx?6ibkph2k9yi6F%2B0Vz7YoTo7DPLa3%2F%2FGg6SmZZ%2BlG0nU%3D","Link")</f>
        <v>Link</v>
      </c>
      <c r="B507" s="2" t="s">
        <v>1789</v>
      </c>
      <c r="C507" s="2" t="s">
        <v>1781</v>
      </c>
      <c r="D507" s="2" t="s">
        <v>1787</v>
      </c>
      <c r="E507" s="2" t="s">
        <v>1790</v>
      </c>
      <c r="F507" s="2"/>
      <c r="G507" s="2" t="s">
        <v>9</v>
      </c>
      <c r="H507" s="7"/>
      <c r="I507" s="2" t="s">
        <v>9</v>
      </c>
    </row>
    <row r="508" spans="1:9" ht="65" x14ac:dyDescent="0.3">
      <c r="A508" s="1" t="str">
        <f>HYPERLINK("https://ipmanager.doe.gov/IPManager//ExternalLink.aspx?6ibkph2k9yi6F%2B0Vz7YoTk2BI6w%2FjZ2f7lp27vVeXCI%3D","Link")</f>
        <v>Link</v>
      </c>
      <c r="B508" s="2" t="s">
        <v>1791</v>
      </c>
      <c r="C508" s="2" t="s">
        <v>1792</v>
      </c>
      <c r="D508" s="2" t="s">
        <v>1793</v>
      </c>
      <c r="E508" s="2" t="s">
        <v>1794</v>
      </c>
      <c r="F508" s="2"/>
      <c r="G508" s="2" t="s">
        <v>9</v>
      </c>
      <c r="H508" s="7"/>
      <c r="I508" s="2" t="s">
        <v>9</v>
      </c>
    </row>
    <row r="509" spans="1:9" ht="26" x14ac:dyDescent="0.3">
      <c r="A509" s="1" t="str">
        <f>HYPERLINK("https://ipmanager.doe.gov/IPManager//ExternalLink.aspx?6ibkph2k9yi6F%2B0Vz7YoTr7J5I%2BY4foYOabksf96Lrw%3D","Link")</f>
        <v>Link</v>
      </c>
      <c r="B509" s="2" t="s">
        <v>1796</v>
      </c>
      <c r="C509" s="2" t="s">
        <v>1792</v>
      </c>
      <c r="D509" s="2" t="s">
        <v>1793</v>
      </c>
      <c r="E509" s="2" t="s">
        <v>1797</v>
      </c>
      <c r="F509" s="2"/>
      <c r="G509" s="2" t="s">
        <v>9</v>
      </c>
      <c r="H509" s="7"/>
      <c r="I509" s="2" t="s">
        <v>9</v>
      </c>
    </row>
    <row r="510" spans="1:9" ht="39" x14ac:dyDescent="0.3">
      <c r="A510" s="1" t="str">
        <f>HYPERLINK("https://ipmanager.doe.gov/IPManager//ExternalLink.aspx?6ibkph2k9yi6F%2B0Vz7YoTo7DPLa3%2F%2FGg%2FoYhEpZz9iI%3D","Link")</f>
        <v>Link</v>
      </c>
      <c r="B510" s="2" t="s">
        <v>6533</v>
      </c>
      <c r="C510" s="2" t="s">
        <v>6530</v>
      </c>
      <c r="D510" s="2" t="s">
        <v>4419</v>
      </c>
      <c r="E510" s="2" t="s">
        <v>6534</v>
      </c>
      <c r="F510" s="2" t="s">
        <v>6535</v>
      </c>
      <c r="G510" s="2" t="s">
        <v>4989</v>
      </c>
      <c r="H510" s="7"/>
      <c r="I510" s="2" t="s">
        <v>9</v>
      </c>
    </row>
    <row r="511" spans="1:9" ht="26" x14ac:dyDescent="0.3">
      <c r="A511" s="1" t="str">
        <f>HYPERLINK("https://ipmanager.doe.gov/IPManager//ExternalLink.aspx?6ibkph2k9yi6F%2B0Vz7YoTo7DPLa3%2F%2FGgrxvFicVThh8%3D","Link")</f>
        <v>Link</v>
      </c>
      <c r="B511" s="2" t="s">
        <v>6536</v>
      </c>
      <c r="C511" s="2" t="s">
        <v>6530</v>
      </c>
      <c r="D511" s="2" t="s">
        <v>4419</v>
      </c>
      <c r="E511" s="2" t="s">
        <v>6537</v>
      </c>
      <c r="F511" s="2" t="s">
        <v>6538</v>
      </c>
      <c r="G511" s="2" t="s">
        <v>4975</v>
      </c>
      <c r="H511" s="7"/>
      <c r="I511" s="2" t="s">
        <v>9</v>
      </c>
    </row>
    <row r="512" spans="1:9" ht="52" x14ac:dyDescent="0.3">
      <c r="A512" s="1" t="str">
        <f>HYPERLINK("https://ipmanager.doe.gov/IPManager//ExternalLink.aspx?6ibkph2k9yi6F%2B0Vz7YoTipZ798QK%2BbPENRmGCpR2Fs%3D","Link")</f>
        <v>Link</v>
      </c>
      <c r="B512" s="2" t="s">
        <v>1805</v>
      </c>
      <c r="C512" s="2" t="s">
        <v>1806</v>
      </c>
      <c r="D512" s="2" t="s">
        <v>1807</v>
      </c>
      <c r="E512" s="2" t="s">
        <v>1808</v>
      </c>
      <c r="F512" s="2" t="s">
        <v>1809</v>
      </c>
      <c r="G512" s="2" t="s">
        <v>1810</v>
      </c>
      <c r="H512" s="7">
        <v>8955795</v>
      </c>
      <c r="I512" s="2" t="s">
        <v>206</v>
      </c>
    </row>
    <row r="513" spans="1:9" ht="52" x14ac:dyDescent="0.3">
      <c r="A513" s="1" t="str">
        <f>HYPERLINK("https://ipmanager.doe.gov/IPManager//ExternalLink.aspx?6ibkph2k9yi6F%2B0Vz7YoTnXVN2REjGcWuPRUE3eL4yc%3D","Link")</f>
        <v>Link</v>
      </c>
      <c r="B513" s="2" t="s">
        <v>1811</v>
      </c>
      <c r="C513" s="2" t="s">
        <v>1806</v>
      </c>
      <c r="D513" s="2" t="s">
        <v>1807</v>
      </c>
      <c r="E513" s="2" t="s">
        <v>1812</v>
      </c>
      <c r="F513" s="2" t="s">
        <v>1813</v>
      </c>
      <c r="G513" s="2" t="s">
        <v>985</v>
      </c>
      <c r="H513" s="7">
        <v>9555895</v>
      </c>
      <c r="I513" s="2" t="s">
        <v>406</v>
      </c>
    </row>
    <row r="514" spans="1:9" ht="26" x14ac:dyDescent="0.3">
      <c r="A514" s="1" t="str">
        <f>HYPERLINK("https://ipmanager.doe.gov/IPManager//ExternalLink.aspx?6ibkph2k9yi6F%2B0Vz7YoTq6RR9BlGHHipj4msHb4duo%3D","Link")</f>
        <v>Link</v>
      </c>
      <c r="B514" s="2" t="s">
        <v>1814</v>
      </c>
      <c r="C514" s="2" t="s">
        <v>1806</v>
      </c>
      <c r="D514" s="2" t="s">
        <v>1807</v>
      </c>
      <c r="E514" s="2" t="s">
        <v>1815</v>
      </c>
      <c r="F514" s="2" t="s">
        <v>1816</v>
      </c>
      <c r="G514" s="2" t="s">
        <v>1628</v>
      </c>
      <c r="H514" s="7">
        <v>9598170</v>
      </c>
      <c r="I514" s="2" t="s">
        <v>377</v>
      </c>
    </row>
    <row r="515" spans="1:9" ht="39" x14ac:dyDescent="0.3">
      <c r="A515" s="1" t="str">
        <f>HYPERLINK("https://ipmanager.doe.gov/IPManager//ExternalLink.aspx?6ibkph2k9yi6F%2B0Vz7YoTvPUg%2FVZPl3ioG80foefq3Q%3D","Link")</f>
        <v>Link</v>
      </c>
      <c r="B515" s="2" t="s">
        <v>1817</v>
      </c>
      <c r="C515" s="2" t="s">
        <v>1818</v>
      </c>
      <c r="D515" s="2" t="s">
        <v>770</v>
      </c>
      <c r="E515" s="2" t="s">
        <v>1819</v>
      </c>
      <c r="F515" s="2" t="s">
        <v>1820</v>
      </c>
      <c r="G515" s="2" t="s">
        <v>1821</v>
      </c>
      <c r="H515" s="7">
        <v>9041003</v>
      </c>
      <c r="I515" s="2" t="s">
        <v>1772</v>
      </c>
    </row>
    <row r="516" spans="1:9" ht="39" x14ac:dyDescent="0.3">
      <c r="A516" s="1" t="str">
        <f>HYPERLINK("https://ipmanager.doe.gov/IPManager//ExternalLink.aspx?6ibkph2k9yi6F%2B0Vz7YoTvPUg%2FVZPl3ikv6mWDVlS1E%3D","Link")</f>
        <v>Link</v>
      </c>
      <c r="B516" s="2" t="s">
        <v>1822</v>
      </c>
      <c r="C516" s="2" t="s">
        <v>1818</v>
      </c>
      <c r="D516" s="2" t="s">
        <v>770</v>
      </c>
      <c r="E516" s="2" t="s">
        <v>1823</v>
      </c>
      <c r="F516" s="2" t="s">
        <v>7622</v>
      </c>
      <c r="G516" s="2" t="s">
        <v>1824</v>
      </c>
      <c r="H516" s="8">
        <v>9911813</v>
      </c>
      <c r="I516" s="2" t="s">
        <v>1825</v>
      </c>
    </row>
    <row r="517" spans="1:9" ht="39" x14ac:dyDescent="0.3">
      <c r="A517" s="1" t="str">
        <f>HYPERLINK("https://ipmanager.doe.gov/IPManager//ExternalLink.aspx?6ibkph2k9yi6F%2B0Vz7YoTipZ798QK%2BbPGgMVXEC0%2BXU%3D","Link")</f>
        <v>Link</v>
      </c>
      <c r="B517" s="2" t="s">
        <v>1826</v>
      </c>
      <c r="C517" s="2" t="s">
        <v>1818</v>
      </c>
      <c r="D517" s="2" t="s">
        <v>770</v>
      </c>
      <c r="E517" s="2" t="s">
        <v>1827</v>
      </c>
      <c r="F517" s="2" t="s">
        <v>1828</v>
      </c>
      <c r="G517" s="2" t="s">
        <v>1829</v>
      </c>
      <c r="H517" s="8">
        <v>9570600</v>
      </c>
      <c r="I517" s="2" t="s">
        <v>1830</v>
      </c>
    </row>
    <row r="518" spans="1:9" ht="39" x14ac:dyDescent="0.3">
      <c r="A518" s="1" t="str">
        <f>HYPERLINK("https://ipmanager.doe.gov/IPManager//ExternalLink.aspx?6ibkph2k9yi6F%2B0Vz7YoTipZ798QK%2BbPbpxVpX23xoc%3D","Link")</f>
        <v>Link</v>
      </c>
      <c r="B518" s="2" t="s">
        <v>1831</v>
      </c>
      <c r="C518" s="2" t="s">
        <v>1818</v>
      </c>
      <c r="D518" s="2" t="s">
        <v>770</v>
      </c>
      <c r="E518" s="2" t="s">
        <v>1832</v>
      </c>
      <c r="F518" s="2" t="s">
        <v>1833</v>
      </c>
      <c r="G518" s="2" t="s">
        <v>1834</v>
      </c>
      <c r="H518" s="8">
        <v>9293538</v>
      </c>
      <c r="I518" s="2" t="s">
        <v>968</v>
      </c>
    </row>
    <row r="519" spans="1:9" ht="39" x14ac:dyDescent="0.3">
      <c r="A519" s="1" t="str">
        <f>HYPERLINK("https://ipmanager.doe.gov/IPManager//ExternalLink.aspx?6ibkph2k9yi6F%2B0Vz7YoTipZ798QK%2BbPG57xgEVOMxU%3D","Link")</f>
        <v>Link</v>
      </c>
      <c r="B519" s="2" t="s">
        <v>1835</v>
      </c>
      <c r="C519" s="2" t="s">
        <v>1818</v>
      </c>
      <c r="D519" s="2" t="s">
        <v>770</v>
      </c>
      <c r="E519" s="2" t="s">
        <v>1836</v>
      </c>
      <c r="F519" s="2"/>
      <c r="G519" s="2" t="s">
        <v>9</v>
      </c>
      <c r="H519" s="7"/>
      <c r="I519" s="2" t="s">
        <v>9</v>
      </c>
    </row>
    <row r="520" spans="1:9" ht="39" x14ac:dyDescent="0.3">
      <c r="A520" s="1" t="str">
        <f>HYPERLINK("https://ipmanager.doe.gov/IPManager//ExternalLink.aspx?6ibkph2k9yi6F%2B0Vz7YoTp68px7nSN2g0VZD%2BfSFMig%3D","Link")</f>
        <v>Link</v>
      </c>
      <c r="B520" s="2" t="s">
        <v>6539</v>
      </c>
      <c r="C520" s="2" t="s">
        <v>6530</v>
      </c>
      <c r="D520" s="2" t="s">
        <v>4419</v>
      </c>
      <c r="E520" s="2" t="s">
        <v>6540</v>
      </c>
      <c r="F520" s="2" t="s">
        <v>6541</v>
      </c>
      <c r="G520" s="2" t="s">
        <v>3348</v>
      </c>
      <c r="H520" s="7"/>
      <c r="I520" s="2" t="s">
        <v>9</v>
      </c>
    </row>
    <row r="521" spans="1:9" ht="39" x14ac:dyDescent="0.3">
      <c r="A521" s="1" t="str">
        <f>HYPERLINK("https://ipmanager.doe.gov/IPManager//ExternalLink.aspx?6ibkph2k9yi6F%2B0Vz7YoTk2BI6w%2FjZ2f%2BqQQen9bzqs%3D","Link")</f>
        <v>Link</v>
      </c>
      <c r="B521" s="2" t="s">
        <v>1841</v>
      </c>
      <c r="C521" s="2" t="s">
        <v>1818</v>
      </c>
      <c r="D521" s="2" t="s">
        <v>770</v>
      </c>
      <c r="E521" s="2" t="s">
        <v>1842</v>
      </c>
      <c r="F521" s="2"/>
      <c r="G521" s="2" t="s">
        <v>9</v>
      </c>
      <c r="H521" s="7"/>
      <c r="I521" s="2" t="s">
        <v>9</v>
      </c>
    </row>
    <row r="522" spans="1:9" ht="65" x14ac:dyDescent="0.3">
      <c r="A522" s="1" t="str">
        <f>HYPERLINK("https://ipmanager.doe.gov/IPManager//ExternalLink.aspx?6ibkph2k9yi6F%2B0Vz7YoTgZwfmYxrNyKJeRkZpa4D6A%3D","Link")</f>
        <v>Link</v>
      </c>
      <c r="B522" s="2" t="s">
        <v>4398</v>
      </c>
      <c r="C522" s="2" t="s">
        <v>4391</v>
      </c>
      <c r="D522" s="2" t="s">
        <v>4396</v>
      </c>
      <c r="E522" s="2" t="s">
        <v>4399</v>
      </c>
      <c r="F522" s="2" t="s">
        <v>4400</v>
      </c>
      <c r="G522" s="2" t="s">
        <v>4401</v>
      </c>
      <c r="H522" s="7"/>
      <c r="I522" s="2" t="s">
        <v>9</v>
      </c>
    </row>
    <row r="523" spans="1:9" ht="52" x14ac:dyDescent="0.3">
      <c r="A523" s="1" t="str">
        <f>HYPERLINK("https://ipmanager.doe.gov/IPManager//ExternalLink.aspx?6ibkph2k9yi6F%2B0Vz7YoTlNm8snv%2FZpHrx8bhErgQEQ%3D","Link")</f>
        <v>Link</v>
      </c>
      <c r="B523" s="2" t="s">
        <v>56</v>
      </c>
      <c r="C523" s="2" t="s">
        <v>26</v>
      </c>
      <c r="D523" s="2" t="s">
        <v>57</v>
      </c>
      <c r="E523" s="2" t="s">
        <v>58</v>
      </c>
      <c r="F523" s="2" t="s">
        <v>59</v>
      </c>
      <c r="G523" s="2" t="s">
        <v>60</v>
      </c>
      <c r="H523" s="7"/>
      <c r="I523" s="2" t="s">
        <v>9</v>
      </c>
    </row>
    <row r="524" spans="1:9" ht="39" x14ac:dyDescent="0.3">
      <c r="A524" s="1" t="str">
        <f>HYPERLINK("https://ipmanager.doe.gov/IPManager//ExternalLink.aspx?6ibkph2k9yi6F%2B0Vz7YoTo7DPLa3%2F%2FGg6uDw4jvi6kc%3D","Link")</f>
        <v>Link</v>
      </c>
      <c r="B524" s="2" t="s">
        <v>1817</v>
      </c>
      <c r="C524" s="2" t="s">
        <v>1818</v>
      </c>
      <c r="D524" s="2" t="s">
        <v>770</v>
      </c>
      <c r="E524" s="2" t="s">
        <v>1850</v>
      </c>
      <c r="F524" s="2" t="s">
        <v>1851</v>
      </c>
      <c r="G524" s="2" t="s">
        <v>1821</v>
      </c>
      <c r="H524" s="7"/>
      <c r="I524" s="2" t="s">
        <v>9</v>
      </c>
    </row>
    <row r="525" spans="1:9" ht="26" x14ac:dyDescent="0.3">
      <c r="A525" s="1" t="str">
        <f>HYPERLINK("https://ipmanager.doe.gov/IPManager//ExternalLink.aspx?6ibkph2k9yi6F%2B0Vz7YoTipZ798QK%2BbP0imGVF%2Bo9fo%3D","Link")</f>
        <v>Link</v>
      </c>
      <c r="B525" s="2" t="s">
        <v>1852</v>
      </c>
      <c r="C525" s="2" t="s">
        <v>1853</v>
      </c>
      <c r="D525" s="2" t="s">
        <v>1854</v>
      </c>
      <c r="E525" s="2" t="s">
        <v>1855</v>
      </c>
      <c r="F525" s="2" t="s">
        <v>1856</v>
      </c>
      <c r="G525" s="2" t="s">
        <v>35</v>
      </c>
      <c r="H525" s="7">
        <v>9722236</v>
      </c>
      <c r="I525" s="2" t="s">
        <v>1857</v>
      </c>
    </row>
    <row r="526" spans="1:9" ht="26" x14ac:dyDescent="0.3">
      <c r="A526" s="1" t="str">
        <f>HYPERLINK("https://ipmanager.doe.gov/IPManager//ExternalLink.aspx?6ibkph2k9yi6F%2B0Vz7YoTlNm8snv%2FZpHMRMprwEdeyM%3D","Link")</f>
        <v>Link</v>
      </c>
      <c r="B526" s="2" t="s">
        <v>61</v>
      </c>
      <c r="C526" s="2" t="s">
        <v>26</v>
      </c>
      <c r="D526" s="2" t="s">
        <v>57</v>
      </c>
      <c r="E526" s="2" t="s">
        <v>62</v>
      </c>
      <c r="F526" s="2" t="s">
        <v>63</v>
      </c>
      <c r="G526" s="2" t="s">
        <v>64</v>
      </c>
      <c r="H526" s="7"/>
      <c r="I526" s="2" t="s">
        <v>9</v>
      </c>
    </row>
    <row r="527" spans="1:9" ht="39" x14ac:dyDescent="0.3">
      <c r="A527" s="1" t="str">
        <f>HYPERLINK("https://ipmanager.doe.gov/IPManager//ExternalLink.aspx?6ibkph2k9yi6F%2B0Vz7YoTlNm8snv%2FZpH00KnqYCueD0%3D","Link")</f>
        <v>Link</v>
      </c>
      <c r="B527" s="2" t="s">
        <v>65</v>
      </c>
      <c r="C527" s="2" t="s">
        <v>26</v>
      </c>
      <c r="D527" s="2" t="s">
        <v>57</v>
      </c>
      <c r="E527" s="2" t="s">
        <v>66</v>
      </c>
      <c r="F527" s="2" t="s">
        <v>67</v>
      </c>
      <c r="G527" s="2" t="s">
        <v>68</v>
      </c>
      <c r="H527" s="7"/>
      <c r="I527" s="2" t="s">
        <v>9</v>
      </c>
    </row>
    <row r="528" spans="1:9" ht="39" x14ac:dyDescent="0.3">
      <c r="A528" s="1" t="str">
        <f>HYPERLINK("https://ipmanager.doe.gov/IPManager//ExternalLink.aspx?6ibkph2k9yi6F%2B0Vz7YoTlNm8snv%2FZpHjpGCSIJUo0c%3D","Link")</f>
        <v>Link</v>
      </c>
      <c r="B528" s="2" t="s">
        <v>72</v>
      </c>
      <c r="C528" s="2" t="s">
        <v>26</v>
      </c>
      <c r="D528" s="2" t="s">
        <v>57</v>
      </c>
      <c r="E528" s="2" t="s">
        <v>73</v>
      </c>
      <c r="F528" s="2" t="s">
        <v>74</v>
      </c>
      <c r="G528" s="2" t="s">
        <v>75</v>
      </c>
      <c r="H528" s="7"/>
      <c r="I528" s="2" t="s">
        <v>9</v>
      </c>
    </row>
    <row r="529" spans="1:9" ht="39" x14ac:dyDescent="0.3">
      <c r="A529" s="1" t="str">
        <f>HYPERLINK("https://ipmanager.doe.gov/IPManager//ExternalLink.aspx?6ibkph2k9yi6F%2B0Vz7YoTq6RR9BlGHHi14TDZDCgv2I%3D","Link")</f>
        <v>Link</v>
      </c>
      <c r="B529" s="2" t="s">
        <v>1872</v>
      </c>
      <c r="C529" s="2" t="s">
        <v>1859</v>
      </c>
      <c r="D529" s="2" t="s">
        <v>1860</v>
      </c>
      <c r="E529" s="2" t="s">
        <v>1873</v>
      </c>
      <c r="F529" s="2"/>
      <c r="G529" s="2" t="s">
        <v>9</v>
      </c>
      <c r="H529" s="7"/>
      <c r="I529" s="2" t="s">
        <v>9</v>
      </c>
    </row>
    <row r="530" spans="1:9" ht="65" x14ac:dyDescent="0.3">
      <c r="A530" s="1" t="str">
        <f>HYPERLINK("https://ipmanager.doe.gov/IPManager//ExternalLink.aspx?6ibkph2k9yi6F%2B0Vz7YoTlNm8snv%2FZpH4k6lbOfJx4U%3D","Link")</f>
        <v>Link</v>
      </c>
      <c r="B530" s="2" t="s">
        <v>76</v>
      </c>
      <c r="C530" s="2" t="s">
        <v>26</v>
      </c>
      <c r="D530" s="2" t="s">
        <v>57</v>
      </c>
      <c r="E530" s="2" t="s">
        <v>77</v>
      </c>
      <c r="F530" s="2" t="s">
        <v>78</v>
      </c>
      <c r="G530" s="2" t="s">
        <v>60</v>
      </c>
      <c r="H530" s="7"/>
      <c r="I530" s="2" t="s">
        <v>9</v>
      </c>
    </row>
    <row r="531" spans="1:9" ht="52" x14ac:dyDescent="0.3">
      <c r="A531" s="1" t="str">
        <f>HYPERLINK("https://ipmanager.doe.gov/IPManager//ExternalLink.aspx?6ibkph2k9yi6F%2B0Vz7YoTq6RR9BlGHHiPyvcIJk6GEs%3D","Link")</f>
        <v>Link</v>
      </c>
      <c r="B531" s="2" t="s">
        <v>5973</v>
      </c>
      <c r="C531" s="2" t="s">
        <v>5962</v>
      </c>
      <c r="D531" s="2" t="s">
        <v>5963</v>
      </c>
      <c r="E531" s="2" t="s">
        <v>5974</v>
      </c>
      <c r="F531" s="2" t="s">
        <v>5975</v>
      </c>
      <c r="G531" s="2" t="s">
        <v>4588</v>
      </c>
      <c r="H531" s="7"/>
      <c r="I531" s="2" t="s">
        <v>9</v>
      </c>
    </row>
    <row r="532" spans="1:9" ht="39" x14ac:dyDescent="0.3">
      <c r="A532" s="1" t="str">
        <f>HYPERLINK("https://ipmanager.doe.gov/IPManager//ExternalLink.aspx?6ibkph2k9yi6F%2B0Vz7YoTjnDGhmGHGI7eHnxu%2Beli6Y%3D","Link")</f>
        <v>Link</v>
      </c>
      <c r="B532" s="2" t="s">
        <v>1884</v>
      </c>
      <c r="C532" s="2" t="s">
        <v>1879</v>
      </c>
      <c r="D532" s="2" t="s">
        <v>1880</v>
      </c>
      <c r="E532" s="2" t="s">
        <v>1885</v>
      </c>
      <c r="F532" s="2"/>
      <c r="G532" s="2" t="s">
        <v>9</v>
      </c>
      <c r="H532" s="7"/>
      <c r="I532" s="2" t="s">
        <v>9</v>
      </c>
    </row>
    <row r="533" spans="1:9" ht="52" x14ac:dyDescent="0.3">
      <c r="A533" s="1" t="str">
        <f>HYPERLINK("https://ipmanager.doe.gov/IPManager//ExternalLink.aspx?6ibkph2k9yi6F%2B0Vz7YoTq6RR9BlGHHi9sQuLC1B83M%3D","Link")</f>
        <v>Link</v>
      </c>
      <c r="B533" s="2" t="s">
        <v>5977</v>
      </c>
      <c r="C533" s="2" t="s">
        <v>5962</v>
      </c>
      <c r="D533" s="2" t="s">
        <v>5963</v>
      </c>
      <c r="E533" s="2" t="s">
        <v>5974</v>
      </c>
      <c r="F533" s="2" t="s">
        <v>5976</v>
      </c>
      <c r="G533" s="2" t="s">
        <v>5978</v>
      </c>
      <c r="H533" s="7"/>
      <c r="I533" s="2" t="s">
        <v>9</v>
      </c>
    </row>
    <row r="534" spans="1:9" ht="26" x14ac:dyDescent="0.3">
      <c r="A534" s="1" t="str">
        <f>HYPERLINK("https://ipmanager.doe.gov/IPManager//ExternalLink.aspx?6ibkph2k9yi6F%2B0Vz7YoTr7J5I%2BY4foY%2FZCHVjf4wVo%3D","Link")</f>
        <v>Link</v>
      </c>
      <c r="B534" s="2" t="s">
        <v>1889</v>
      </c>
      <c r="C534" s="2" t="s">
        <v>1890</v>
      </c>
      <c r="D534" s="2" t="s">
        <v>1891</v>
      </c>
      <c r="E534" s="2" t="s">
        <v>1892</v>
      </c>
      <c r="F534" s="2"/>
      <c r="G534" s="2" t="s">
        <v>9</v>
      </c>
      <c r="H534" s="7"/>
      <c r="I534" s="2" t="s">
        <v>9</v>
      </c>
    </row>
    <row r="535" spans="1:9" ht="26" x14ac:dyDescent="0.3">
      <c r="A535" s="1" t="str">
        <f>HYPERLINK("https://ipmanager.doe.gov/IPManager//ExternalLink.aspx?6ibkph2k9yi6F%2B0Vz7YoTipZ798QK%2BbP1g63srw1Bxo%3D","Link")</f>
        <v>Link</v>
      </c>
      <c r="B535" s="2" t="s">
        <v>1893</v>
      </c>
      <c r="C535" s="2" t="s">
        <v>1890</v>
      </c>
      <c r="D535" s="2" t="s">
        <v>1891</v>
      </c>
      <c r="E535" s="2" t="s">
        <v>1894</v>
      </c>
      <c r="F535" s="2"/>
      <c r="G535" s="2" t="s">
        <v>9</v>
      </c>
      <c r="H535" s="7"/>
      <c r="I535" s="2" t="s">
        <v>9</v>
      </c>
    </row>
    <row r="536" spans="1:9" ht="65" x14ac:dyDescent="0.3">
      <c r="A536" s="1" t="str">
        <f>HYPERLINK("https://ipmanager.doe.gov/IPManager//ExternalLink.aspx?6ibkph2k9yi6F%2B0Vz7YoTp68px7nSN2gn1PQK5gMFAk%3D","Link")</f>
        <v>Link</v>
      </c>
      <c r="B536" s="2" t="s">
        <v>1895</v>
      </c>
      <c r="C536" s="2" t="s">
        <v>1896</v>
      </c>
      <c r="D536" s="2" t="s">
        <v>1897</v>
      </c>
      <c r="E536" s="2" t="s">
        <v>1898</v>
      </c>
      <c r="F536" s="2"/>
      <c r="G536" s="2" t="s">
        <v>9</v>
      </c>
      <c r="H536" s="7"/>
      <c r="I536" s="2" t="s">
        <v>9</v>
      </c>
    </row>
    <row r="537" spans="1:9" ht="52" x14ac:dyDescent="0.3">
      <c r="A537" s="1" t="str">
        <f>HYPERLINK("https://ipmanager.doe.gov/IPManager//ExternalLink.aspx?6ibkph2k9yi6F%2B0Vz7YoTvPUg%2FVZPl3ii%2FtLZ1n5d34%3D","Link")</f>
        <v>Link</v>
      </c>
      <c r="B537" s="2" t="s">
        <v>51</v>
      </c>
      <c r="C537" s="2" t="s">
        <v>26</v>
      </c>
      <c r="D537" s="2" t="s">
        <v>27</v>
      </c>
      <c r="E537" s="2" t="s">
        <v>52</v>
      </c>
      <c r="F537" s="2" t="s">
        <v>53</v>
      </c>
      <c r="G537" s="2" t="s">
        <v>54</v>
      </c>
      <c r="H537" s="7"/>
      <c r="I537" s="2" t="s">
        <v>9</v>
      </c>
    </row>
    <row r="538" spans="1:9" ht="52" x14ac:dyDescent="0.3">
      <c r="A538" s="1" t="str">
        <f>HYPERLINK("https://ipmanager.doe.gov/IPManager//ExternalLink.aspx?6ibkph2k9yi6F%2B0Vz7YoTr7J5I%2BY4foYoft4LVgfirQ%3D","Link")</f>
        <v>Link</v>
      </c>
      <c r="B538" s="2" t="s">
        <v>1905</v>
      </c>
      <c r="C538" s="2" t="s">
        <v>1906</v>
      </c>
      <c r="D538" s="2" t="s">
        <v>1461</v>
      </c>
      <c r="E538" s="2" t="s">
        <v>1907</v>
      </c>
      <c r="F538" s="2"/>
      <c r="G538" s="2" t="s">
        <v>9</v>
      </c>
      <c r="H538" s="7"/>
      <c r="I538" s="2" t="s">
        <v>9</v>
      </c>
    </row>
    <row r="539" spans="1:9" ht="65" x14ac:dyDescent="0.3">
      <c r="A539" s="1" t="str">
        <f>HYPERLINK("https://ipmanager.doe.gov/IPManager//ExternalLink.aspx?6ibkph2k9yi6F%2B0Vz7YoTipZ798QK%2BbPffIJiRpHCUQ%3D","Link")</f>
        <v>Link</v>
      </c>
      <c r="B539" s="2" t="s">
        <v>1908</v>
      </c>
      <c r="C539" s="2" t="s">
        <v>1906</v>
      </c>
      <c r="D539" s="2" t="s">
        <v>1461</v>
      </c>
      <c r="E539" s="2" t="s">
        <v>1909</v>
      </c>
      <c r="F539" s="2"/>
      <c r="G539" s="2" t="s">
        <v>9</v>
      </c>
      <c r="H539" s="7"/>
      <c r="I539" s="2" t="s">
        <v>9</v>
      </c>
    </row>
    <row r="540" spans="1:9" ht="52" x14ac:dyDescent="0.3">
      <c r="A540" s="1" t="str">
        <f>HYPERLINK("https://ipmanager.doe.gov/IPManager//ExternalLink.aspx?6ibkph2k9yi6F%2B0Vz7YoTipZ798QK%2BbPafZ28NmINsA%3D","Link")</f>
        <v>Link</v>
      </c>
      <c r="B540" s="2" t="s">
        <v>1910</v>
      </c>
      <c r="C540" s="2" t="s">
        <v>1906</v>
      </c>
      <c r="D540" s="2" t="s">
        <v>1461</v>
      </c>
      <c r="E540" s="2" t="s">
        <v>1911</v>
      </c>
      <c r="F540" s="2"/>
      <c r="G540" s="2" t="s">
        <v>9</v>
      </c>
      <c r="H540" s="7"/>
      <c r="I540" s="2" t="s">
        <v>9</v>
      </c>
    </row>
    <row r="541" spans="1:9" ht="52" x14ac:dyDescent="0.3">
      <c r="A541" s="1" t="str">
        <f>HYPERLINK("https://ipmanager.doe.gov/IPManager//ExternalLink.aspx?6ibkph2k9yi6F%2B0Vz7YoTipZ798QK%2BbPdaghmemCx3U%3D","Link")</f>
        <v>Link</v>
      </c>
      <c r="B541" s="2" t="s">
        <v>1912</v>
      </c>
      <c r="C541" s="2" t="s">
        <v>1906</v>
      </c>
      <c r="D541" s="2" t="s">
        <v>1461</v>
      </c>
      <c r="E541" s="2" t="s">
        <v>1913</v>
      </c>
      <c r="F541" s="2"/>
      <c r="G541" s="2" t="s">
        <v>9</v>
      </c>
      <c r="H541" s="7"/>
      <c r="I541" s="2" t="s">
        <v>9</v>
      </c>
    </row>
    <row r="542" spans="1:9" ht="65" x14ac:dyDescent="0.3">
      <c r="A542" s="1" t="str">
        <f>HYPERLINK("https://ipmanager.doe.gov/IPManager//ExternalLink.aspx?6ibkph2k9yi6F%2B0Vz7YoTipZ798QK%2BbPU1X7SVClcoQ%3D","Link")</f>
        <v>Link</v>
      </c>
      <c r="B542" s="2" t="s">
        <v>1914</v>
      </c>
      <c r="C542" s="2" t="s">
        <v>1915</v>
      </c>
      <c r="D542" s="2" t="s">
        <v>1663</v>
      </c>
      <c r="E542" s="2" t="s">
        <v>1916</v>
      </c>
      <c r="F542" s="2"/>
      <c r="G542" s="2" t="s">
        <v>9</v>
      </c>
      <c r="H542" s="7"/>
      <c r="I542" s="2" t="s">
        <v>9</v>
      </c>
    </row>
    <row r="543" spans="1:9" ht="39" x14ac:dyDescent="0.3">
      <c r="A543" s="1" t="str">
        <f>HYPERLINK("https://ipmanager.doe.gov/IPManager//ExternalLink.aspx?6ibkph2k9yi6F%2B0Vz7YoTipZ798QK%2BbP3m0inC%2B%2Fdi8%3D","Link")</f>
        <v>Link</v>
      </c>
      <c r="B543" s="2" t="s">
        <v>1917</v>
      </c>
      <c r="C543" s="2" t="s">
        <v>1915</v>
      </c>
      <c r="D543" s="2" t="s">
        <v>1663</v>
      </c>
      <c r="E543" s="2" t="s">
        <v>1918</v>
      </c>
      <c r="F543" s="2" t="s">
        <v>1919</v>
      </c>
      <c r="G543" s="2" t="s">
        <v>747</v>
      </c>
      <c r="H543" s="8">
        <v>9488392</v>
      </c>
      <c r="I543" s="2" t="s">
        <v>1920</v>
      </c>
    </row>
    <row r="544" spans="1:9" ht="39" x14ac:dyDescent="0.3">
      <c r="A544" s="1" t="str">
        <f>HYPERLINK("https://ipmanager.doe.gov/IPManager//ExternalLink.aspx?6ibkph2k9yi6F%2B0Vz7YoTq6RR9BlGHHie4N4khzQtOQ%3D","Link")</f>
        <v>Link</v>
      </c>
      <c r="B544" s="2" t="s">
        <v>5010</v>
      </c>
      <c r="C544" s="2" t="s">
        <v>5011</v>
      </c>
      <c r="D544" s="2" t="s">
        <v>5012</v>
      </c>
      <c r="E544" s="2" t="s">
        <v>5013</v>
      </c>
      <c r="F544" s="2" t="s">
        <v>5014</v>
      </c>
      <c r="G544" s="2" t="s">
        <v>759</v>
      </c>
      <c r="H544" s="7"/>
      <c r="I544" s="2" t="s">
        <v>9</v>
      </c>
    </row>
    <row r="545" spans="1:9" ht="26" x14ac:dyDescent="0.3">
      <c r="A545" s="1" t="str">
        <f>HYPERLINK("https://ipmanager.doe.gov/IPManager//ExternalLink.aspx?6ibkph2k9yi6F%2B0Vz7YoTipZ798QK%2BbPJTruaJxAYww%3D","Link")</f>
        <v>Link</v>
      </c>
      <c r="B545" s="2" t="s">
        <v>1925</v>
      </c>
      <c r="C545" s="2" t="s">
        <v>1926</v>
      </c>
      <c r="D545" s="2" t="s">
        <v>100</v>
      </c>
      <c r="E545" s="2" t="s">
        <v>1927</v>
      </c>
      <c r="F545" s="2"/>
      <c r="G545" s="2" t="s">
        <v>9</v>
      </c>
      <c r="H545" s="7"/>
      <c r="I545" s="2" t="s">
        <v>9</v>
      </c>
    </row>
    <row r="546" spans="1:9" ht="39" x14ac:dyDescent="0.3">
      <c r="A546" s="1" t="str">
        <f>HYPERLINK("https://ipmanager.doe.gov/IPManager//ExternalLink.aspx?6ibkph2k9yi6F%2B0Vz7YoTjnDGhmGHGI7uTTssEIPxW8%3D","Link")</f>
        <v>Link</v>
      </c>
      <c r="B546" s="2" t="s">
        <v>1928</v>
      </c>
      <c r="C546" s="2" t="s">
        <v>1926</v>
      </c>
      <c r="D546" s="2" t="s">
        <v>100</v>
      </c>
      <c r="E546" s="2" t="s">
        <v>1929</v>
      </c>
      <c r="F546" s="2" t="s">
        <v>1930</v>
      </c>
      <c r="G546" s="2" t="s">
        <v>9</v>
      </c>
      <c r="H546" s="7">
        <v>9577298</v>
      </c>
      <c r="I546" s="2" t="s">
        <v>9</v>
      </c>
    </row>
    <row r="547" spans="1:9" ht="52" x14ac:dyDescent="0.3">
      <c r="A547" s="1" t="str">
        <f>HYPERLINK("https://ipmanager.doe.gov/IPManager//ExternalLink.aspx?6ibkph2k9yi6F%2B0Vz7YoTgZwfmYxrNyKydSqA2%2B7q0I%3D","Link")</f>
        <v>Link</v>
      </c>
      <c r="B547" s="2" t="s">
        <v>3329</v>
      </c>
      <c r="C547" s="2" t="s">
        <v>3330</v>
      </c>
      <c r="D547" s="2" t="s">
        <v>3331</v>
      </c>
      <c r="E547" s="2" t="s">
        <v>3332</v>
      </c>
      <c r="F547" s="2" t="s">
        <v>3333</v>
      </c>
      <c r="G547" s="2" t="s">
        <v>3334</v>
      </c>
      <c r="H547" s="7"/>
      <c r="I547" s="2" t="s">
        <v>9</v>
      </c>
    </row>
    <row r="548" spans="1:9" ht="39" x14ac:dyDescent="0.3">
      <c r="A548" s="1" t="str">
        <f>HYPERLINK("https://ipmanager.doe.gov/IPManager//ExternalLink.aspx?6ibkph2k9yi6F%2B0Vz7YoTgZwfmYxrNyKb39MaSRmKNg%3D","Link")</f>
        <v>Link</v>
      </c>
      <c r="B548" s="2" t="s">
        <v>3335</v>
      </c>
      <c r="C548" s="2" t="s">
        <v>3330</v>
      </c>
      <c r="D548" s="2" t="s">
        <v>3331</v>
      </c>
      <c r="E548" s="2" t="s">
        <v>3336</v>
      </c>
      <c r="F548" s="2" t="s">
        <v>7624</v>
      </c>
      <c r="G548" s="2" t="s">
        <v>2837</v>
      </c>
      <c r="H548" s="7"/>
      <c r="I548" s="2" t="s">
        <v>9</v>
      </c>
    </row>
    <row r="549" spans="1:9" ht="52" x14ac:dyDescent="0.3">
      <c r="A549" s="1" t="str">
        <f>HYPERLINK("https://ipmanager.doe.gov/IPManager//ExternalLink.aspx?6ibkph2k9yi6F%2B0Vz7YoTgZwfmYxrNyKxyKUVb5HAeo%3D","Link")</f>
        <v>Link</v>
      </c>
      <c r="B549" s="2" t="s">
        <v>3341</v>
      </c>
      <c r="C549" s="2" t="s">
        <v>3330</v>
      </c>
      <c r="D549" s="2" t="s">
        <v>3331</v>
      </c>
      <c r="E549" s="2" t="s">
        <v>3342</v>
      </c>
      <c r="F549" s="2" t="s">
        <v>3343</v>
      </c>
      <c r="G549" s="2" t="s">
        <v>3344</v>
      </c>
      <c r="H549" s="7"/>
      <c r="I549" s="2" t="s">
        <v>9</v>
      </c>
    </row>
    <row r="550" spans="1:9" ht="52" x14ac:dyDescent="0.3">
      <c r="A550" s="1" t="str">
        <f>HYPERLINK("https://ipmanager.doe.gov/IPManager//ExternalLink.aspx?6ibkph2k9yi6F%2B0Vz7YoTgZwfmYxrNyKZikNpDlDmEM%3D","Link")</f>
        <v>Link</v>
      </c>
      <c r="B550" s="2" t="s">
        <v>3397</v>
      </c>
      <c r="C550" s="2" t="s">
        <v>3330</v>
      </c>
      <c r="D550" s="2" t="s">
        <v>3331</v>
      </c>
      <c r="E550" s="2" t="s">
        <v>3398</v>
      </c>
      <c r="F550" s="2" t="s">
        <v>3399</v>
      </c>
      <c r="G550" s="2" t="s">
        <v>3400</v>
      </c>
      <c r="H550" s="7"/>
      <c r="I550" s="2" t="s">
        <v>9</v>
      </c>
    </row>
    <row r="551" spans="1:9" ht="39" x14ac:dyDescent="0.3">
      <c r="A551" s="1" t="str">
        <f>HYPERLINK("https://ipmanager.doe.gov/IPManager//ExternalLink.aspx?6ibkph2k9yi6F%2B0Vz7YoTq6RR9BlGHHi1iwxtIDzEL8%3D","Link")</f>
        <v>Link</v>
      </c>
      <c r="B551" s="2" t="s">
        <v>1950</v>
      </c>
      <c r="C551" s="2" t="s">
        <v>1951</v>
      </c>
      <c r="D551" s="2" t="s">
        <v>1952</v>
      </c>
      <c r="E551" s="2" t="s">
        <v>1953</v>
      </c>
      <c r="F551" s="2"/>
      <c r="G551" s="2" t="s">
        <v>9</v>
      </c>
      <c r="H551" s="7"/>
      <c r="I551" s="2" t="s">
        <v>9</v>
      </c>
    </row>
    <row r="552" spans="1:9" ht="52" x14ac:dyDescent="0.3">
      <c r="A552" s="1" t="str">
        <f>HYPERLINK("https://ipmanager.doe.gov/IPManager//ExternalLink.aspx?6ibkph2k9yi6F%2B0Vz7YoTgZwfmYxrNyKYRtOBRd1O4M%3D","Link")</f>
        <v>Link</v>
      </c>
      <c r="B552" s="2" t="s">
        <v>3401</v>
      </c>
      <c r="C552" s="2" t="s">
        <v>3330</v>
      </c>
      <c r="D552" s="2" t="s">
        <v>3331</v>
      </c>
      <c r="E552" s="2" t="s">
        <v>3398</v>
      </c>
      <c r="F552" s="2" t="s">
        <v>3402</v>
      </c>
      <c r="G552" s="2" t="s">
        <v>823</v>
      </c>
      <c r="H552" s="7"/>
      <c r="I552" s="2" t="s">
        <v>9</v>
      </c>
    </row>
    <row r="553" spans="1:9" ht="52" x14ac:dyDescent="0.3">
      <c r="A553" s="1" t="str">
        <f>HYPERLINK("https://ipmanager.doe.gov/IPManager//ExternalLink.aspx?6ibkph2k9yi6F%2B0Vz7YoTgZwfmYxrNyK%2B4UDm7Srd0I%3D","Link")</f>
        <v>Link</v>
      </c>
      <c r="B553" s="2" t="s">
        <v>3345</v>
      </c>
      <c r="C553" s="2" t="s">
        <v>3330</v>
      </c>
      <c r="D553" s="2" t="s">
        <v>3346</v>
      </c>
      <c r="E553" s="2" t="s">
        <v>3347</v>
      </c>
      <c r="F553" s="2" t="s">
        <v>7623</v>
      </c>
      <c r="G553" s="2" t="s">
        <v>3348</v>
      </c>
      <c r="H553" s="7"/>
      <c r="I553" s="2" t="s">
        <v>9</v>
      </c>
    </row>
    <row r="554" spans="1:9" ht="26" x14ac:dyDescent="0.3">
      <c r="A554" s="1" t="str">
        <f>HYPERLINK("https://ipmanager.doe.gov/IPManager//ExternalLink.aspx?6ibkph2k9yi6F%2B0Vz7YoTu0g4zH%2BOsvyHkide4ZhGeU%3D","Link")</f>
        <v>Link</v>
      </c>
      <c r="B554" s="2" t="s">
        <v>1961</v>
      </c>
      <c r="C554" s="2" t="s">
        <v>1951</v>
      </c>
      <c r="D554" s="2" t="s">
        <v>1952</v>
      </c>
      <c r="E554" s="2" t="s">
        <v>1962</v>
      </c>
      <c r="F554" s="2"/>
      <c r="G554" s="2" t="s">
        <v>9</v>
      </c>
      <c r="H554" s="7"/>
      <c r="I554" s="2" t="s">
        <v>9</v>
      </c>
    </row>
    <row r="555" spans="1:9" ht="52" x14ac:dyDescent="0.3">
      <c r="A555" s="1" t="str">
        <f>HYPERLINK("https://ipmanager.doe.gov/IPManager//ExternalLink.aspx?6ibkph2k9yi6F%2B0Vz7YoTgZwfmYxrNyKQCBF%2By90n7c%3D","Link")</f>
        <v>Link</v>
      </c>
      <c r="B555" s="2" t="s">
        <v>3349</v>
      </c>
      <c r="C555" s="2" t="s">
        <v>3330</v>
      </c>
      <c r="D555" s="2" t="s">
        <v>3346</v>
      </c>
      <c r="E555" s="2" t="s">
        <v>3350</v>
      </c>
      <c r="F555" s="2" t="s">
        <v>3351</v>
      </c>
      <c r="G555" s="2" t="s">
        <v>3348</v>
      </c>
      <c r="H555" s="7"/>
      <c r="I555" s="2" t="s">
        <v>9</v>
      </c>
    </row>
    <row r="556" spans="1:9" ht="52" x14ac:dyDescent="0.3">
      <c r="A556" s="1" t="str">
        <f>HYPERLINK("https://ipmanager.doe.gov/IPManager//ExternalLink.aspx?6ibkph2k9yi6F%2B0Vz7YoTnXVN2REjGcWK3ylJ21so6g%3D","Link")</f>
        <v>Link</v>
      </c>
      <c r="B556" s="2" t="s">
        <v>3353</v>
      </c>
      <c r="C556" s="2" t="s">
        <v>3330</v>
      </c>
      <c r="D556" s="2" t="s">
        <v>3346</v>
      </c>
      <c r="E556" s="2" t="s">
        <v>3354</v>
      </c>
      <c r="F556" s="2" t="s">
        <v>3355</v>
      </c>
      <c r="G556" s="2" t="s">
        <v>3348</v>
      </c>
      <c r="H556" s="7"/>
      <c r="I556" s="2" t="s">
        <v>9</v>
      </c>
    </row>
    <row r="557" spans="1:9" ht="26" x14ac:dyDescent="0.3">
      <c r="A557" s="1" t="str">
        <f>HYPERLINK("https://ipmanager.doe.gov/IPManager//ExternalLink.aspx?6ibkph2k9yi6F%2B0Vz7YoTnXVN2REjGcWAk4slKUuel4%3D","Link")</f>
        <v>Link</v>
      </c>
      <c r="B557" s="2" t="s">
        <v>3356</v>
      </c>
      <c r="C557" s="2" t="s">
        <v>3330</v>
      </c>
      <c r="D557" s="2" t="s">
        <v>3346</v>
      </c>
      <c r="E557" s="2" t="s">
        <v>3357</v>
      </c>
      <c r="F557" s="2" t="s">
        <v>7625</v>
      </c>
      <c r="G557" s="2" t="s">
        <v>3348</v>
      </c>
      <c r="H557" s="7"/>
      <c r="I557" s="2" t="s">
        <v>9</v>
      </c>
    </row>
    <row r="558" spans="1:9" ht="26" x14ac:dyDescent="0.3">
      <c r="A558" s="1" t="str">
        <f>HYPERLINK("https://ipmanager.doe.gov/IPManager//ExternalLink.aspx?6ibkph2k9yi6F%2B0Vz7YoTipZ798QK%2BbPImnpbLiXd5g%3D","Link")</f>
        <v>Link</v>
      </c>
      <c r="B558" s="2" t="s">
        <v>1976</v>
      </c>
      <c r="C558" s="2" t="s">
        <v>1951</v>
      </c>
      <c r="D558" s="2" t="s">
        <v>1968</v>
      </c>
      <c r="E558" s="2" t="s">
        <v>1977</v>
      </c>
      <c r="F558" s="2"/>
      <c r="G558" s="2" t="s">
        <v>9</v>
      </c>
      <c r="H558" s="7"/>
      <c r="I558" s="2" t="s">
        <v>9</v>
      </c>
    </row>
    <row r="559" spans="1:9" ht="65" x14ac:dyDescent="0.3">
      <c r="A559" s="1" t="str">
        <f>HYPERLINK("https://ipmanager.doe.gov/IPManager//ExternalLink.aspx?6ibkph2k9yi6F%2B0Vz7YoTnXVN2REjGcW%2F%2B%2FhLfQg490%3D","Link")</f>
        <v>Link</v>
      </c>
      <c r="B559" s="2" t="s">
        <v>3358</v>
      </c>
      <c r="C559" s="2" t="s">
        <v>3330</v>
      </c>
      <c r="D559" s="2" t="s">
        <v>3346</v>
      </c>
      <c r="E559" s="2" t="s">
        <v>3359</v>
      </c>
      <c r="F559" s="2" t="s">
        <v>3360</v>
      </c>
      <c r="G559" s="2" t="s">
        <v>3361</v>
      </c>
      <c r="H559" s="7"/>
      <c r="I559" s="2" t="s">
        <v>9</v>
      </c>
    </row>
    <row r="560" spans="1:9" ht="39" x14ac:dyDescent="0.3">
      <c r="A560" s="1" t="str">
        <f>HYPERLINK("https://ipmanager.doe.gov/IPManager//ExternalLink.aspx?6ibkph2k9yi6F%2B0Vz7YoTnXVN2REjGcWEw3D9tmiWKM%3D","Link")</f>
        <v>Link</v>
      </c>
      <c r="B560" s="2" t="s">
        <v>3362</v>
      </c>
      <c r="C560" s="2" t="s">
        <v>3330</v>
      </c>
      <c r="D560" s="2" t="s">
        <v>3346</v>
      </c>
      <c r="E560" s="2" t="s">
        <v>3363</v>
      </c>
      <c r="F560" s="2" t="s">
        <v>3364</v>
      </c>
      <c r="G560" s="2" t="s">
        <v>1256</v>
      </c>
      <c r="H560" s="7"/>
      <c r="I560" s="2" t="s">
        <v>9</v>
      </c>
    </row>
    <row r="561" spans="1:9" ht="39" x14ac:dyDescent="0.3">
      <c r="A561" s="1" t="str">
        <f>HYPERLINK("https://ipmanager.doe.gov/IPManager//ExternalLink.aspx?6ibkph2k9yi6F%2B0Vz7YoTnXVN2REjGcWunw0vgZ%2BNMo%3D","Link")</f>
        <v>Link</v>
      </c>
      <c r="B561" s="2" t="s">
        <v>3365</v>
      </c>
      <c r="C561" s="2" t="s">
        <v>3330</v>
      </c>
      <c r="D561" s="2" t="s">
        <v>3346</v>
      </c>
      <c r="E561" s="2" t="s">
        <v>3366</v>
      </c>
      <c r="F561" s="2" t="s">
        <v>3367</v>
      </c>
      <c r="G561" s="2" t="s">
        <v>1282</v>
      </c>
      <c r="H561" s="7"/>
      <c r="I561" s="2" t="s">
        <v>9</v>
      </c>
    </row>
    <row r="562" spans="1:9" ht="39" x14ac:dyDescent="0.3">
      <c r="A562" s="1" t="str">
        <f>HYPERLINK("https://ipmanager.doe.gov/IPManager//ExternalLink.aspx?6ibkph2k9yi6F%2B0Vz7YoTo7DPLa3%2F%2FGgVfnHau1wqR4%3D","Link")</f>
        <v>Link</v>
      </c>
      <c r="B562" s="2" t="s">
        <v>1985</v>
      </c>
      <c r="C562" s="2" t="s">
        <v>1986</v>
      </c>
      <c r="D562" s="2" t="s">
        <v>1987</v>
      </c>
      <c r="E562" s="2" t="s">
        <v>1988</v>
      </c>
      <c r="F562" s="2" t="s">
        <v>1989</v>
      </c>
      <c r="G562" s="2" t="s">
        <v>1509</v>
      </c>
      <c r="H562" s="7"/>
      <c r="I562" s="2" t="s">
        <v>9</v>
      </c>
    </row>
    <row r="563" spans="1:9" ht="52" x14ac:dyDescent="0.3">
      <c r="A563" s="1" t="str">
        <f>HYPERLINK("https://ipmanager.doe.gov/IPManager//ExternalLink.aspx?6ibkph2k9yi6F%2B0Vz7YoTnXVN2REjGcWtFa4FQ0%2Fz%2Bw%3D","Link")</f>
        <v>Link</v>
      </c>
      <c r="B563" s="2" t="s">
        <v>3370</v>
      </c>
      <c r="C563" s="2" t="s">
        <v>3330</v>
      </c>
      <c r="D563" s="2" t="s">
        <v>3346</v>
      </c>
      <c r="E563" s="2" t="s">
        <v>3338</v>
      </c>
      <c r="F563" s="2" t="s">
        <v>7626</v>
      </c>
      <c r="G563" s="2" t="s">
        <v>3371</v>
      </c>
      <c r="H563" s="7"/>
      <c r="I563" s="2" t="s">
        <v>9</v>
      </c>
    </row>
    <row r="564" spans="1:9" ht="52" x14ac:dyDescent="0.3">
      <c r="A564" s="1" t="str">
        <f>HYPERLINK("https://ipmanager.doe.gov/IPManager//ExternalLink.aspx?6ibkph2k9yi6F%2B0Vz7YoTnXVN2REjGcW48N4xQiSRPs%3D","Link")</f>
        <v>Link</v>
      </c>
      <c r="B564" s="2" t="s">
        <v>3372</v>
      </c>
      <c r="C564" s="2" t="s">
        <v>3330</v>
      </c>
      <c r="D564" s="2" t="s">
        <v>3346</v>
      </c>
      <c r="E564" s="2" t="s">
        <v>3338</v>
      </c>
      <c r="F564" s="2" t="s">
        <v>7627</v>
      </c>
      <c r="G564" s="2" t="s">
        <v>3373</v>
      </c>
      <c r="H564" s="7"/>
      <c r="I564" s="2" t="s">
        <v>9</v>
      </c>
    </row>
    <row r="565" spans="1:9" ht="39" x14ac:dyDescent="0.3">
      <c r="A565" s="1" t="str">
        <f>HYPERLINK("https://ipmanager.doe.gov/IPManager//ExternalLink.aspx?6ibkph2k9yi6F%2B0Vz7YoTnXVN2REjGcWHJ39TSjehAQ%3D","Link")</f>
        <v>Link</v>
      </c>
      <c r="B565" s="2" t="s">
        <v>3376</v>
      </c>
      <c r="C565" s="2" t="s">
        <v>3330</v>
      </c>
      <c r="D565" s="2" t="s">
        <v>3346</v>
      </c>
      <c r="E565" s="2" t="s">
        <v>3336</v>
      </c>
      <c r="F565" s="2" t="s">
        <v>7628</v>
      </c>
      <c r="G565" s="2" t="s">
        <v>3377</v>
      </c>
      <c r="H565" s="7"/>
      <c r="I565" s="2" t="s">
        <v>9</v>
      </c>
    </row>
    <row r="566" spans="1:9" ht="39" x14ac:dyDescent="0.3">
      <c r="A566" s="1" t="str">
        <f>HYPERLINK("https://ipmanager.doe.gov/IPManager//ExternalLink.aspx?6ibkph2k9yi6F%2B0Vz7YoTnXVN2REjGcWcnH1AOUCmZc%3D","Link")</f>
        <v>Link</v>
      </c>
      <c r="B566" s="2" t="s">
        <v>3378</v>
      </c>
      <c r="C566" s="2" t="s">
        <v>3330</v>
      </c>
      <c r="D566" s="2" t="s">
        <v>3346</v>
      </c>
      <c r="E566" s="2" t="s">
        <v>3379</v>
      </c>
      <c r="F566" s="2" t="s">
        <v>7629</v>
      </c>
      <c r="G566" s="2" t="s">
        <v>3380</v>
      </c>
      <c r="H566" s="7"/>
      <c r="I566" s="2" t="s">
        <v>9</v>
      </c>
    </row>
    <row r="567" spans="1:9" ht="52" x14ac:dyDescent="0.3">
      <c r="A567" s="1" t="str">
        <f>HYPERLINK("https://ipmanager.doe.gov/IPManager//ExternalLink.aspx?6ibkph2k9yi6F%2B0Vz7YoTlNm8snv%2FZpHZzGSDDbBEzM%3D","Link")</f>
        <v>Link</v>
      </c>
      <c r="B567" s="2" t="s">
        <v>2007</v>
      </c>
      <c r="C567" s="2" t="s">
        <v>2008</v>
      </c>
      <c r="D567" s="2" t="s">
        <v>2009</v>
      </c>
      <c r="E567" s="2" t="s">
        <v>2010</v>
      </c>
      <c r="F567" s="2"/>
      <c r="G567" s="2" t="s">
        <v>9</v>
      </c>
      <c r="H567" s="7">
        <v>8137831</v>
      </c>
      <c r="I567" s="2" t="s">
        <v>803</v>
      </c>
    </row>
    <row r="568" spans="1:9" ht="26" x14ac:dyDescent="0.3">
      <c r="A568" s="1" t="str">
        <f>HYPERLINK("https://ipmanager.doe.gov/IPManager//ExternalLink.aspx?6ibkph2k9yi6F%2B0Vz7YoTgZwfmYxrNyK3f62PKGfOb8%3D","Link")</f>
        <v>Link</v>
      </c>
      <c r="B568" s="2" t="s">
        <v>382</v>
      </c>
      <c r="C568" s="2" t="s">
        <v>378</v>
      </c>
      <c r="D568" s="2" t="s">
        <v>379</v>
      </c>
      <c r="E568" s="2" t="s">
        <v>383</v>
      </c>
      <c r="F568" s="2" t="s">
        <v>384</v>
      </c>
      <c r="G568" s="2" t="s">
        <v>385</v>
      </c>
      <c r="H568" s="7"/>
      <c r="I568" s="2" t="s">
        <v>9</v>
      </c>
    </row>
    <row r="569" spans="1:9" ht="26" x14ac:dyDescent="0.3">
      <c r="A569" s="1" t="str">
        <f>HYPERLINK("https://ipmanager.doe.gov/IPManager//ExternalLink.aspx?6ibkph2k9yi6F%2B0Vz7YoTgZwfmYxrNyKrn8ZCtM1HZQ%3D","Link")</f>
        <v>Link</v>
      </c>
      <c r="B569" s="2" t="s">
        <v>387</v>
      </c>
      <c r="C569" s="2" t="s">
        <v>378</v>
      </c>
      <c r="D569" s="2" t="s">
        <v>379</v>
      </c>
      <c r="E569" s="2" t="s">
        <v>388</v>
      </c>
      <c r="F569" s="2" t="s">
        <v>389</v>
      </c>
      <c r="G569" s="2" t="s">
        <v>390</v>
      </c>
      <c r="H569" s="7"/>
      <c r="I569" s="2" t="s">
        <v>9</v>
      </c>
    </row>
    <row r="570" spans="1:9" ht="39" x14ac:dyDescent="0.3">
      <c r="A570" s="1" t="str">
        <f>HYPERLINK("https://ipmanager.doe.gov/IPManager//ExternalLink.aspx?6ibkph2k9yi6F%2B0Vz7YoTgZwfmYxrNyKaAOciZ9Ibw8%3D","Link")</f>
        <v>Link</v>
      </c>
      <c r="B570" s="2" t="s">
        <v>2017</v>
      </c>
      <c r="C570" s="2" t="s">
        <v>2018</v>
      </c>
      <c r="D570" s="2" t="s">
        <v>2019</v>
      </c>
      <c r="E570" s="2" t="s">
        <v>2020</v>
      </c>
      <c r="F570" s="2"/>
      <c r="G570" s="2" t="s">
        <v>9</v>
      </c>
      <c r="H570" s="7"/>
      <c r="I570" s="2" t="s">
        <v>9</v>
      </c>
    </row>
    <row r="571" spans="1:9" ht="26" x14ac:dyDescent="0.3">
      <c r="A571" s="1" t="str">
        <f>HYPERLINK("https://ipmanager.doe.gov/IPManager//ExternalLink.aspx?6ibkph2k9yi6F%2B0Vz7YoTgZwfmYxrNyKluG4WoNtPT8%3D","Link")</f>
        <v>Link</v>
      </c>
      <c r="B571" s="2" t="s">
        <v>393</v>
      </c>
      <c r="C571" s="2" t="s">
        <v>378</v>
      </c>
      <c r="D571" s="2" t="s">
        <v>379</v>
      </c>
      <c r="E571" s="2" t="s">
        <v>388</v>
      </c>
      <c r="F571" s="2" t="s">
        <v>394</v>
      </c>
      <c r="G571" s="2" t="s">
        <v>392</v>
      </c>
      <c r="H571" s="7"/>
      <c r="I571" s="2" t="s">
        <v>9</v>
      </c>
    </row>
    <row r="572" spans="1:9" ht="39" x14ac:dyDescent="0.3">
      <c r="A572" s="1" t="str">
        <f>HYPERLINK("https://ipmanager.doe.gov/IPManager//ExternalLink.aspx?6ibkph2k9yi6F%2B0Vz7YoTgZwfmYxrNyKndCL7MNSnBM%3D","Link")</f>
        <v>Link</v>
      </c>
      <c r="B572" s="2" t="s">
        <v>395</v>
      </c>
      <c r="C572" s="2" t="s">
        <v>378</v>
      </c>
      <c r="D572" s="2" t="s">
        <v>379</v>
      </c>
      <c r="E572" s="2" t="s">
        <v>396</v>
      </c>
      <c r="F572" s="2" t="s">
        <v>397</v>
      </c>
      <c r="G572" s="2" t="s">
        <v>380</v>
      </c>
      <c r="H572" s="7"/>
      <c r="I572" s="2" t="s">
        <v>9</v>
      </c>
    </row>
    <row r="573" spans="1:9" ht="26" x14ac:dyDescent="0.3">
      <c r="A573" s="1" t="str">
        <f>HYPERLINK("https://ipmanager.doe.gov/IPManager//ExternalLink.aspx?6ibkph2k9yi6F%2B0Vz7YoTgZwfmYxrNyKGHlGXMioU%2Bs%3D","Link")</f>
        <v>Link</v>
      </c>
      <c r="B573" s="2" t="s">
        <v>407</v>
      </c>
      <c r="C573" s="2" t="s">
        <v>378</v>
      </c>
      <c r="D573" s="2" t="s">
        <v>379</v>
      </c>
      <c r="E573" s="2" t="s">
        <v>404</v>
      </c>
      <c r="F573" s="2" t="s">
        <v>408</v>
      </c>
      <c r="G573" s="2" t="s">
        <v>392</v>
      </c>
      <c r="H573" s="7"/>
      <c r="I573" s="2" t="s">
        <v>9</v>
      </c>
    </row>
    <row r="574" spans="1:9" ht="52" x14ac:dyDescent="0.3">
      <c r="A574" s="1" t="str">
        <f>HYPERLINK("https://ipmanager.doe.gov/IPManager//ExternalLink.aspx?6ibkph2k9yi6F%2B0Vz7YoTo7DPLa3%2F%2FGgm5XLxf2bnL0%3D","Link")</f>
        <v>Link</v>
      </c>
      <c r="B574" s="2" t="s">
        <v>2033</v>
      </c>
      <c r="C574" s="2" t="s">
        <v>2030</v>
      </c>
      <c r="D574" s="2" t="s">
        <v>2019</v>
      </c>
      <c r="E574" s="2" t="s">
        <v>2034</v>
      </c>
      <c r="F574" s="2"/>
      <c r="G574" s="2" t="s">
        <v>9</v>
      </c>
      <c r="H574" s="7"/>
      <c r="I574" s="2" t="s">
        <v>9</v>
      </c>
    </row>
    <row r="575" spans="1:9" ht="39" x14ac:dyDescent="0.3">
      <c r="A575" s="1" t="str">
        <f>HYPERLINK("https://ipmanager.doe.gov/IPManager//ExternalLink.aspx?6ibkph2k9yi6F%2B0Vz7YoTjN2oADz%2F5MxelBgfCMSAqg%3D","Link")</f>
        <v>Link</v>
      </c>
      <c r="B575" s="2" t="s">
        <v>2036</v>
      </c>
      <c r="C575" s="2" t="s">
        <v>2030</v>
      </c>
      <c r="D575" s="2" t="s">
        <v>2019</v>
      </c>
      <c r="E575" s="2" t="s">
        <v>2037</v>
      </c>
      <c r="F575" s="2" t="s">
        <v>2035</v>
      </c>
      <c r="G575" s="2" t="s">
        <v>1993</v>
      </c>
      <c r="H575" s="7">
        <v>9308491</v>
      </c>
      <c r="I575" s="2" t="s">
        <v>1137</v>
      </c>
    </row>
    <row r="576" spans="1:9" ht="39" x14ac:dyDescent="0.3">
      <c r="A576" s="1" t="str">
        <f>HYPERLINK("https://ipmanager.doe.gov/IPManager//ExternalLink.aspx?6ibkph2k9yi6F%2B0Vz7YoTlNm8snv%2FZpH4NiNXUc%2B8Hs%3D","Link")</f>
        <v>Link</v>
      </c>
      <c r="B576" s="2" t="s">
        <v>2038</v>
      </c>
      <c r="C576" s="2" t="s">
        <v>2030</v>
      </c>
      <c r="D576" s="2" t="s">
        <v>2019</v>
      </c>
      <c r="E576" s="2" t="s">
        <v>2037</v>
      </c>
      <c r="F576" s="2" t="s">
        <v>2031</v>
      </c>
      <c r="G576" s="2" t="s">
        <v>2032</v>
      </c>
      <c r="H576" s="7">
        <v>9273876</v>
      </c>
      <c r="I576" s="2" t="s">
        <v>31</v>
      </c>
    </row>
    <row r="577" spans="1:9" ht="39" x14ac:dyDescent="0.3">
      <c r="A577" s="1" t="str">
        <f>HYPERLINK("https://ipmanager.doe.gov/IPManager//ExternalLink.aspx?6ibkph2k9yi6F%2B0Vz7YoTo7DPLa3%2F%2FGg61tm5BkQsMQ%3D","Link")</f>
        <v>Link</v>
      </c>
      <c r="B577" s="2" t="s">
        <v>2039</v>
      </c>
      <c r="C577" s="2" t="s">
        <v>2030</v>
      </c>
      <c r="D577" s="2" t="s">
        <v>2019</v>
      </c>
      <c r="E577" s="2" t="s">
        <v>2040</v>
      </c>
      <c r="F577" s="2"/>
      <c r="G577" s="2" t="s">
        <v>9</v>
      </c>
      <c r="H577" s="7"/>
      <c r="I577" s="2" t="s">
        <v>9</v>
      </c>
    </row>
    <row r="578" spans="1:9" ht="39" x14ac:dyDescent="0.3">
      <c r="A578" s="1" t="str">
        <f>HYPERLINK("https://ipmanager.doe.gov/IPManager//ExternalLink.aspx?6ibkph2k9yi6F%2B0Vz7YoTq6RR9BlGHHitZmXuEBDmPs%3D","Link")</f>
        <v>Link</v>
      </c>
      <c r="B578" s="2" t="s">
        <v>2041</v>
      </c>
      <c r="C578" s="2" t="s">
        <v>2030</v>
      </c>
      <c r="D578" s="2" t="s">
        <v>2019</v>
      </c>
      <c r="E578" s="2" t="s">
        <v>2042</v>
      </c>
      <c r="F578" s="2"/>
      <c r="G578" s="2" t="s">
        <v>9</v>
      </c>
      <c r="H578" s="7"/>
      <c r="I578" s="2" t="s">
        <v>9</v>
      </c>
    </row>
    <row r="579" spans="1:9" ht="52" x14ac:dyDescent="0.3">
      <c r="A579" s="1" t="str">
        <f>HYPERLINK("https://ipmanager.doe.gov/IPManager//ExternalLink.aspx?6ibkph2k9yi6F%2B0Vz7YoTq6RR9BlGHHiuF8RUR%2BlnmQ%3D","Link")</f>
        <v>Link</v>
      </c>
      <c r="B579" s="2" t="s">
        <v>2043</v>
      </c>
      <c r="C579" s="2" t="s">
        <v>2030</v>
      </c>
      <c r="D579" s="2" t="s">
        <v>2019</v>
      </c>
      <c r="E579" s="2" t="s">
        <v>2044</v>
      </c>
      <c r="F579" s="2"/>
      <c r="G579" s="2" t="s">
        <v>9</v>
      </c>
      <c r="H579" s="7"/>
      <c r="I579" s="2" t="s">
        <v>9</v>
      </c>
    </row>
    <row r="580" spans="1:9" ht="26" x14ac:dyDescent="0.3">
      <c r="A580" s="1" t="str">
        <f>HYPERLINK("https://ipmanager.doe.gov/IPManager//ExternalLink.aspx?6ibkph2k9yi6F%2B0Vz7YoTgZwfmYxrNyKWlN20cgXAz0%3D","Link")</f>
        <v>Link</v>
      </c>
      <c r="B580" s="2" t="s">
        <v>409</v>
      </c>
      <c r="C580" s="2" t="s">
        <v>378</v>
      </c>
      <c r="D580" s="2" t="s">
        <v>379</v>
      </c>
      <c r="E580" s="2" t="s">
        <v>404</v>
      </c>
      <c r="F580" s="2" t="s">
        <v>391</v>
      </c>
      <c r="G580" s="2" t="s">
        <v>392</v>
      </c>
      <c r="H580" s="7"/>
      <c r="I580" s="2" t="s">
        <v>9</v>
      </c>
    </row>
    <row r="581" spans="1:9" ht="26" x14ac:dyDescent="0.3">
      <c r="A581" s="1" t="str">
        <f>HYPERLINK("https://ipmanager.doe.gov/IPManager//ExternalLink.aspx?6ibkph2k9yi6F%2B0Vz7YoTgZwfmYxrNyK40t6HgYAUc0%3D","Link")</f>
        <v>Link</v>
      </c>
      <c r="B581" s="2" t="s">
        <v>410</v>
      </c>
      <c r="C581" s="2" t="s">
        <v>378</v>
      </c>
      <c r="D581" s="2" t="s">
        <v>379</v>
      </c>
      <c r="E581" s="2" t="s">
        <v>388</v>
      </c>
      <c r="F581" s="2" t="s">
        <v>411</v>
      </c>
      <c r="G581" s="2" t="s">
        <v>392</v>
      </c>
      <c r="H581" s="7"/>
      <c r="I581" s="2" t="s">
        <v>9</v>
      </c>
    </row>
    <row r="582" spans="1:9" ht="26" x14ac:dyDescent="0.3">
      <c r="A582" s="1" t="str">
        <f>HYPERLINK("https://ipmanager.doe.gov/IPManager//ExternalLink.aspx?6ibkph2k9yi6F%2B0Vz7YoTgZwfmYxrNyKs0teVr0ap2Y%3D","Link")</f>
        <v>Link</v>
      </c>
      <c r="B582" s="2" t="s">
        <v>412</v>
      </c>
      <c r="C582" s="2" t="s">
        <v>378</v>
      </c>
      <c r="D582" s="2" t="s">
        <v>379</v>
      </c>
      <c r="E582" s="2" t="s">
        <v>413</v>
      </c>
      <c r="F582" s="2" t="s">
        <v>414</v>
      </c>
      <c r="G582" s="2" t="s">
        <v>392</v>
      </c>
      <c r="H582" s="7"/>
      <c r="I582" s="2" t="s">
        <v>9</v>
      </c>
    </row>
    <row r="583" spans="1:9" ht="39" x14ac:dyDescent="0.3">
      <c r="A583" s="1" t="str">
        <f>HYPERLINK("https://ipmanager.doe.gov/IPManager//ExternalLink.aspx?6ibkph2k9yi6F%2B0Vz7YoTo7DPLa3%2F%2FGgSkDYyMwGFI8%3D","Link")</f>
        <v>Link</v>
      </c>
      <c r="B583" s="2" t="s">
        <v>2059</v>
      </c>
      <c r="C583" s="2" t="s">
        <v>2046</v>
      </c>
      <c r="D583" s="2" t="s">
        <v>2019</v>
      </c>
      <c r="E583" s="2" t="s">
        <v>2060</v>
      </c>
      <c r="F583" s="2" t="s">
        <v>2061</v>
      </c>
      <c r="G583" s="2" t="s">
        <v>1590</v>
      </c>
      <c r="H583" s="7">
        <v>8668997</v>
      </c>
      <c r="I583" s="2" t="s">
        <v>1083</v>
      </c>
    </row>
    <row r="584" spans="1:9" ht="26" x14ac:dyDescent="0.3">
      <c r="A584" s="1" t="str">
        <f>HYPERLINK("https://ipmanager.doe.gov/IPManager//ExternalLink.aspx?6ibkph2k9yi6F%2B0Vz7YoTgZwfmYxrNyKidGv07fNYxI%3D","Link")</f>
        <v>Link</v>
      </c>
      <c r="B584" s="2" t="s">
        <v>420</v>
      </c>
      <c r="C584" s="2" t="s">
        <v>378</v>
      </c>
      <c r="D584" s="2" t="s">
        <v>379</v>
      </c>
      <c r="E584" s="2" t="s">
        <v>421</v>
      </c>
      <c r="F584" s="2" t="s">
        <v>422</v>
      </c>
      <c r="G584" s="2" t="s">
        <v>392</v>
      </c>
      <c r="H584" s="7"/>
      <c r="I584" s="2" t="s">
        <v>9</v>
      </c>
    </row>
    <row r="585" spans="1:9" ht="65" x14ac:dyDescent="0.3">
      <c r="A585" s="1" t="str">
        <f>HYPERLINK("https://ipmanager.doe.gov/IPManager//ExternalLink.aspx?6ibkph2k9yi6F%2B0Vz7YoTgZwfmYxrNyKeyMfUoB3ll0%3D","Link")</f>
        <v>Link</v>
      </c>
      <c r="B585" s="2" t="s">
        <v>2063</v>
      </c>
      <c r="C585" s="2" t="s">
        <v>2046</v>
      </c>
      <c r="D585" s="2" t="s">
        <v>2019</v>
      </c>
      <c r="E585" s="2" t="s">
        <v>2056</v>
      </c>
      <c r="F585" s="2" t="s">
        <v>2058</v>
      </c>
      <c r="G585" s="2" t="s">
        <v>35</v>
      </c>
      <c r="H585" s="7"/>
      <c r="I585" s="2" t="s">
        <v>9</v>
      </c>
    </row>
    <row r="586" spans="1:9" ht="26" x14ac:dyDescent="0.3">
      <c r="A586" s="1" t="str">
        <f>HYPERLINK("https://ipmanager.doe.gov/IPManager//ExternalLink.aspx?6ibkph2k9yi6F%2B0Vz7YoTgZwfmYxrNyKp5F3w74NrGU%3D","Link")</f>
        <v>Link</v>
      </c>
      <c r="B586" s="2" t="s">
        <v>427</v>
      </c>
      <c r="C586" s="2" t="s">
        <v>378</v>
      </c>
      <c r="D586" s="2" t="s">
        <v>379</v>
      </c>
      <c r="E586" s="2" t="s">
        <v>428</v>
      </c>
      <c r="F586" s="2" t="s">
        <v>429</v>
      </c>
      <c r="G586" s="2" t="s">
        <v>299</v>
      </c>
      <c r="H586" s="7"/>
      <c r="I586" s="2" t="s">
        <v>9</v>
      </c>
    </row>
    <row r="587" spans="1:9" ht="39" x14ac:dyDescent="0.3">
      <c r="A587" s="1" t="str">
        <f>HYPERLINK("https://ipmanager.doe.gov/IPManager//ExternalLink.aspx?6ibkph2k9yi6F%2B0Vz7YoTgZwfmYxrNyKGcuUMhKX5yE%3D","Link")</f>
        <v>Link</v>
      </c>
      <c r="B587" s="2" t="s">
        <v>2068</v>
      </c>
      <c r="C587" s="2" t="s">
        <v>2046</v>
      </c>
      <c r="D587" s="2" t="s">
        <v>2019</v>
      </c>
      <c r="E587" s="2" t="s">
        <v>2069</v>
      </c>
      <c r="F587" s="2"/>
      <c r="G587" s="2" t="s">
        <v>9</v>
      </c>
      <c r="H587" s="7"/>
      <c r="I587" s="2" t="s">
        <v>9</v>
      </c>
    </row>
    <row r="588" spans="1:9" ht="39" x14ac:dyDescent="0.3">
      <c r="A588" s="1" t="str">
        <f>HYPERLINK("https://ipmanager.doe.gov/IPManager//ExternalLink.aspx?6ibkph2k9yi6F%2B0Vz7YoTgZwfmYxrNyK0dW7OJqJXTs%3D","Link")</f>
        <v>Link</v>
      </c>
      <c r="B588" s="2" t="s">
        <v>2070</v>
      </c>
      <c r="C588" s="2" t="s">
        <v>2046</v>
      </c>
      <c r="D588" s="2" t="s">
        <v>2019</v>
      </c>
      <c r="E588" s="2" t="s">
        <v>2071</v>
      </c>
      <c r="F588" s="2"/>
      <c r="G588" s="2" t="s">
        <v>9</v>
      </c>
      <c r="H588" s="7"/>
      <c r="I588" s="2" t="s">
        <v>9</v>
      </c>
    </row>
    <row r="589" spans="1:9" ht="39" x14ac:dyDescent="0.3">
      <c r="A589" s="1" t="str">
        <f>HYPERLINK("https://ipmanager.doe.gov/IPManager//ExternalLink.aspx?6ibkph2k9yi6F%2B0Vz7YoTgZwfmYxrNyKRrnldf%2FU2d4%3D","Link")</f>
        <v>Link</v>
      </c>
      <c r="B589" s="2" t="s">
        <v>2072</v>
      </c>
      <c r="C589" s="2" t="s">
        <v>2046</v>
      </c>
      <c r="D589" s="2" t="s">
        <v>2019</v>
      </c>
      <c r="E589" s="2" t="s">
        <v>2073</v>
      </c>
      <c r="F589" s="2"/>
      <c r="G589" s="2" t="s">
        <v>9</v>
      </c>
      <c r="H589" s="7"/>
      <c r="I589" s="2" t="s">
        <v>9</v>
      </c>
    </row>
    <row r="590" spans="1:9" ht="39" x14ac:dyDescent="0.3">
      <c r="A590" s="1" t="str">
        <f>HYPERLINK("https://ipmanager.doe.gov/IPManager//ExternalLink.aspx?6ibkph2k9yi6F%2B0Vz7YoTgZwfmYxrNyKBsnZCwxk40w%3D","Link")</f>
        <v>Link</v>
      </c>
      <c r="B590" s="2" t="s">
        <v>2074</v>
      </c>
      <c r="C590" s="2" t="s">
        <v>2046</v>
      </c>
      <c r="D590" s="2" t="s">
        <v>2019</v>
      </c>
      <c r="E590" s="2" t="s">
        <v>2075</v>
      </c>
      <c r="F590" s="2"/>
      <c r="G590" s="2" t="s">
        <v>9</v>
      </c>
      <c r="H590" s="7"/>
      <c r="I590" s="2" t="s">
        <v>9</v>
      </c>
    </row>
    <row r="591" spans="1:9" ht="26" x14ac:dyDescent="0.3">
      <c r="A591" s="1" t="str">
        <f>HYPERLINK("https://ipmanager.doe.gov/IPManager//ExternalLink.aspx?6ibkph2k9yi6F%2B0Vz7YoTgZwfmYxrNyKb%2Bl7xKpG4Bk%3D","Link")</f>
        <v>Link</v>
      </c>
      <c r="B591" s="2" t="s">
        <v>2076</v>
      </c>
      <c r="C591" s="2" t="s">
        <v>2046</v>
      </c>
      <c r="D591" s="2" t="s">
        <v>2077</v>
      </c>
      <c r="E591" s="2" t="s">
        <v>2078</v>
      </c>
      <c r="F591" s="2"/>
      <c r="G591" s="2" t="s">
        <v>9</v>
      </c>
      <c r="H591" s="7"/>
      <c r="I591" s="2" t="s">
        <v>9</v>
      </c>
    </row>
    <row r="592" spans="1:9" ht="52" x14ac:dyDescent="0.3">
      <c r="A592" s="1" t="str">
        <f>HYPERLINK("https://ipmanager.doe.gov/IPManager//ExternalLink.aspx?6ibkph2k9yi6F%2B0Vz7YoTgZwfmYxrNyKbLk4qRFoM14%3D","Link")</f>
        <v>Link</v>
      </c>
      <c r="B592" s="2" t="s">
        <v>2079</v>
      </c>
      <c r="C592" s="2" t="s">
        <v>2046</v>
      </c>
      <c r="D592" s="2" t="s">
        <v>2019</v>
      </c>
      <c r="E592" s="2" t="s">
        <v>2080</v>
      </c>
      <c r="F592" s="2" t="s">
        <v>2081</v>
      </c>
      <c r="G592" s="2" t="s">
        <v>2082</v>
      </c>
      <c r="H592" s="7">
        <v>9083019</v>
      </c>
      <c r="I592" s="2" t="s">
        <v>24</v>
      </c>
    </row>
    <row r="593" spans="1:9" ht="39" x14ac:dyDescent="0.3">
      <c r="A593" s="1" t="str">
        <f>HYPERLINK("https://ipmanager.doe.gov/IPManager//ExternalLink.aspx?6ibkph2k9yi6F%2B0Vz7YoTgZwfmYxrNyKtGqxTPVACYU%3D","Link")</f>
        <v>Link</v>
      </c>
      <c r="B593" s="2" t="s">
        <v>438</v>
      </c>
      <c r="C593" s="2" t="s">
        <v>378</v>
      </c>
      <c r="D593" s="2" t="s">
        <v>379</v>
      </c>
      <c r="E593" s="2" t="s">
        <v>434</v>
      </c>
      <c r="F593" s="2" t="s">
        <v>439</v>
      </c>
      <c r="G593" s="2" t="s">
        <v>440</v>
      </c>
      <c r="H593" s="7"/>
      <c r="I593" s="2"/>
    </row>
    <row r="594" spans="1:9" ht="65" x14ac:dyDescent="0.3">
      <c r="A594" s="1" t="str">
        <f>HYPERLINK("https://ipmanager.doe.gov/IPManager//ExternalLink.aspx?6ibkph2k9yi6F%2B0Vz7YoTo7DPLa3%2F%2FGgppUFtzv%2BYTo%3D","Link")</f>
        <v>Link</v>
      </c>
      <c r="B594" s="2" t="s">
        <v>2085</v>
      </c>
      <c r="C594" s="2" t="s">
        <v>2046</v>
      </c>
      <c r="D594" s="2" t="s">
        <v>2019</v>
      </c>
      <c r="E594" s="2" t="s">
        <v>2086</v>
      </c>
      <c r="F594" s="2" t="s">
        <v>2061</v>
      </c>
      <c r="G594" s="2" t="s">
        <v>1590</v>
      </c>
      <c r="H594" s="7">
        <v>8668997</v>
      </c>
      <c r="I594" s="2" t="s">
        <v>1083</v>
      </c>
    </row>
    <row r="595" spans="1:9" ht="26" x14ac:dyDescent="0.3">
      <c r="A595" s="1" t="str">
        <f>HYPERLINK("https://ipmanager.doe.gov/IPManager//ExternalLink.aspx?6ibkph2k9yi6F%2B0Vz7YoTk2BI6w%2FjZ2fO0GLpc7bZhE%3D","Link")</f>
        <v>Link</v>
      </c>
      <c r="B595" s="2" t="s">
        <v>4560</v>
      </c>
      <c r="C595" s="2" t="s">
        <v>4561</v>
      </c>
      <c r="D595" s="2" t="s">
        <v>1775</v>
      </c>
      <c r="E595" s="2" t="s">
        <v>4562</v>
      </c>
      <c r="F595" s="2" t="s">
        <v>4563</v>
      </c>
      <c r="G595" s="2" t="s">
        <v>4412</v>
      </c>
      <c r="H595" s="7"/>
      <c r="I595" s="2" t="s">
        <v>9</v>
      </c>
    </row>
    <row r="596" spans="1:9" ht="26" x14ac:dyDescent="0.3">
      <c r="A596" s="1" t="str">
        <f>HYPERLINK("https://ipmanager.doe.gov/IPManager//ExternalLink.aspx?6ibkph2k9yi6F%2B0Vz7YoTvPUg%2FVZPl3ir7zhCNn1lgU%3D","Link")</f>
        <v>Link</v>
      </c>
      <c r="B596" s="2" t="s">
        <v>4572</v>
      </c>
      <c r="C596" s="2" t="s">
        <v>4561</v>
      </c>
      <c r="D596" s="2" t="s">
        <v>1775</v>
      </c>
      <c r="E596" s="2" t="s">
        <v>4573</v>
      </c>
      <c r="F596" s="2" t="s">
        <v>4574</v>
      </c>
      <c r="G596" s="2" t="s">
        <v>4575</v>
      </c>
      <c r="H596" s="7"/>
      <c r="I596" s="2" t="s">
        <v>9</v>
      </c>
    </row>
    <row r="597" spans="1:9" ht="26" x14ac:dyDescent="0.3">
      <c r="A597" s="1" t="str">
        <f>HYPERLINK("https://ipmanager.doe.gov/IPManager//ExternalLink.aspx?6ibkph2k9yi6F%2B0Vz7YoTvE8yjoHgvp69uy4ld%2B2P2g%3D","Link")</f>
        <v>Link</v>
      </c>
      <c r="B597" s="2" t="s">
        <v>4579</v>
      </c>
      <c r="C597" s="2" t="s">
        <v>4561</v>
      </c>
      <c r="D597" s="2" t="s">
        <v>1775</v>
      </c>
      <c r="E597" s="2" t="s">
        <v>4570</v>
      </c>
      <c r="F597" s="2" t="s">
        <v>4580</v>
      </c>
      <c r="G597" s="2" t="s">
        <v>596</v>
      </c>
      <c r="H597" s="7"/>
      <c r="I597" s="2" t="s">
        <v>9</v>
      </c>
    </row>
    <row r="598" spans="1:9" ht="26" x14ac:dyDescent="0.3">
      <c r="A598" s="1" t="str">
        <f>HYPERLINK("https://ipmanager.doe.gov/IPManager//ExternalLink.aspx?6ibkph2k9yi6F%2B0Vz7YoTnXVN2REjGcWzmjG7xaKt0Y%3D","Link")</f>
        <v>Link</v>
      </c>
      <c r="B598" s="2" t="s">
        <v>4581</v>
      </c>
      <c r="C598" s="2" t="s">
        <v>4561</v>
      </c>
      <c r="D598" s="2" t="s">
        <v>1775</v>
      </c>
      <c r="E598" s="2" t="s">
        <v>4573</v>
      </c>
      <c r="F598" s="2" t="s">
        <v>4582</v>
      </c>
      <c r="G598" s="2" t="s">
        <v>4583</v>
      </c>
      <c r="H598" s="7"/>
      <c r="I598" s="2" t="s">
        <v>9</v>
      </c>
    </row>
    <row r="599" spans="1:9" ht="52" x14ac:dyDescent="0.3">
      <c r="A599" s="1" t="str">
        <f>HYPERLINK("https://ipmanager.doe.gov/IPManager//ExternalLink.aspx?6ibkph2k9yi6F%2B0Vz7YoTo7DPLa3%2F%2FGgmO1GSgE%2FZWs%3D","Link")</f>
        <v>Link</v>
      </c>
      <c r="B599" s="2" t="s">
        <v>6419</v>
      </c>
      <c r="C599" s="2" t="s">
        <v>6420</v>
      </c>
      <c r="D599" s="2" t="s">
        <v>1775</v>
      </c>
      <c r="E599" s="2" t="s">
        <v>6421</v>
      </c>
      <c r="F599" s="2" t="s">
        <v>6422</v>
      </c>
      <c r="G599" s="2" t="s">
        <v>6423</v>
      </c>
      <c r="H599" s="7"/>
      <c r="I599" s="2" t="s">
        <v>9</v>
      </c>
    </row>
    <row r="600" spans="1:9" ht="39" x14ac:dyDescent="0.3">
      <c r="A600" s="1" t="str">
        <f>HYPERLINK("https://ipmanager.doe.gov/IPManager//ExternalLink.aspx?6ibkph2k9yi6F%2B0Vz7YoTkqAgjuWMa9QM6iKNye2W7Q%3D","Link")</f>
        <v>Link</v>
      </c>
      <c r="B600" s="2" t="s">
        <v>7138</v>
      </c>
      <c r="C600" s="2" t="s">
        <v>7139</v>
      </c>
      <c r="D600" s="2" t="s">
        <v>1775</v>
      </c>
      <c r="E600" s="2" t="s">
        <v>7140</v>
      </c>
      <c r="F600" s="2" t="s">
        <v>7141</v>
      </c>
      <c r="G600" s="2" t="s">
        <v>6320</v>
      </c>
      <c r="H600" s="7"/>
      <c r="I600" s="2" t="s">
        <v>9</v>
      </c>
    </row>
    <row r="601" spans="1:9" ht="26" x14ac:dyDescent="0.3">
      <c r="A601" s="1" t="str">
        <f>HYPERLINK("https://ipmanager.doe.gov/IPManager//ExternalLink.aspx?6ibkph2k9yi6F%2B0Vz7YoTlNm8snv%2FZpHfPC6MZxgKQo%3D","Link")</f>
        <v>Link</v>
      </c>
      <c r="B601" s="2" t="s">
        <v>174</v>
      </c>
      <c r="C601" s="2" t="s">
        <v>171</v>
      </c>
      <c r="D601" s="2" t="s">
        <v>172</v>
      </c>
      <c r="E601" s="2" t="s">
        <v>175</v>
      </c>
      <c r="F601" s="2" t="s">
        <v>176</v>
      </c>
      <c r="G601" s="2" t="s">
        <v>177</v>
      </c>
      <c r="H601" s="7"/>
      <c r="I601" s="2" t="s">
        <v>9</v>
      </c>
    </row>
    <row r="602" spans="1:9" ht="52" x14ac:dyDescent="0.3">
      <c r="A602" s="1" t="str">
        <f>HYPERLINK("https://ipmanager.doe.gov/IPManager//ExternalLink.aspx?6ibkph2k9yi6F%2B0Vz7YoTo7DPLa3%2F%2FGg%2FjAjyw5%2FC58%3D","Link")</f>
        <v>Link</v>
      </c>
      <c r="B602" s="2" t="s">
        <v>2109</v>
      </c>
      <c r="C602" s="2" t="s">
        <v>2046</v>
      </c>
      <c r="D602" s="2" t="s">
        <v>2019</v>
      </c>
      <c r="E602" s="2" t="s">
        <v>2101</v>
      </c>
      <c r="F602" s="2" t="s">
        <v>2110</v>
      </c>
      <c r="G602" s="2" t="s">
        <v>35</v>
      </c>
      <c r="H602" s="7"/>
      <c r="I602" s="2" t="s">
        <v>9</v>
      </c>
    </row>
    <row r="603" spans="1:9" ht="26" x14ac:dyDescent="0.3">
      <c r="A603" s="1" t="str">
        <f>HYPERLINK("https://ipmanager.doe.gov/IPManager//ExternalLink.aspx?6ibkph2k9yi6F%2B0Vz7YoTlNm8snv%2FZpH4Lx%2BlfFnWP0%3D","Link")</f>
        <v>Link</v>
      </c>
      <c r="B603" s="2" t="s">
        <v>178</v>
      </c>
      <c r="C603" s="2" t="s">
        <v>171</v>
      </c>
      <c r="D603" s="2" t="s">
        <v>172</v>
      </c>
      <c r="E603" s="2" t="s">
        <v>175</v>
      </c>
      <c r="F603" s="2" t="s">
        <v>179</v>
      </c>
      <c r="G603" s="2" t="s">
        <v>180</v>
      </c>
      <c r="H603" s="7"/>
      <c r="I603" s="2" t="s">
        <v>9</v>
      </c>
    </row>
    <row r="604" spans="1:9" ht="39" x14ac:dyDescent="0.3">
      <c r="A604" s="1" t="str">
        <f>HYPERLINK("https://ipmanager.doe.gov/IPManager//ExternalLink.aspx?6ibkph2k9yi6F%2B0Vz7YoTlNm8snv%2FZpHixXTEaBjadI%3D","Link")</f>
        <v>Link</v>
      </c>
      <c r="B604" s="2" t="s">
        <v>181</v>
      </c>
      <c r="C604" s="2" t="s">
        <v>171</v>
      </c>
      <c r="D604" s="2" t="s">
        <v>172</v>
      </c>
      <c r="E604" s="2" t="s">
        <v>182</v>
      </c>
      <c r="F604" s="2" t="s">
        <v>183</v>
      </c>
      <c r="G604" s="2" t="s">
        <v>184</v>
      </c>
      <c r="H604" s="7"/>
      <c r="I604" s="2" t="s">
        <v>9</v>
      </c>
    </row>
    <row r="605" spans="1:9" ht="52" x14ac:dyDescent="0.3">
      <c r="A605" s="1" t="str">
        <f>HYPERLINK("https://ipmanager.doe.gov/IPManager//ExternalLink.aspx?6ibkph2k9yi6F%2B0Vz7YoTjN2oADz%2F5MxDFnIcEB5Agk%3D","Link")</f>
        <v>Link</v>
      </c>
      <c r="B605" s="2" t="s">
        <v>476</v>
      </c>
      <c r="C605" s="2" t="s">
        <v>463</v>
      </c>
      <c r="D605" s="2" t="s">
        <v>464</v>
      </c>
      <c r="E605" s="2" t="s">
        <v>477</v>
      </c>
      <c r="F605" s="2" t="s">
        <v>478</v>
      </c>
      <c r="G605" s="2" t="s">
        <v>479</v>
      </c>
      <c r="H605" s="7"/>
      <c r="I605" s="2" t="s">
        <v>9</v>
      </c>
    </row>
    <row r="606" spans="1:9" ht="52" x14ac:dyDescent="0.3">
      <c r="A606" s="1" t="str">
        <f>HYPERLINK("https://ipmanager.doe.gov/IPManager//ExternalLink.aspx?6ibkph2k9yi6F%2B0Vz7YoTlNm8snv%2FZpHu8WoTeFWyEc%3D","Link")</f>
        <v>Link</v>
      </c>
      <c r="B606" s="2" t="s">
        <v>495</v>
      </c>
      <c r="C606" s="2" t="s">
        <v>463</v>
      </c>
      <c r="D606" s="2" t="s">
        <v>464</v>
      </c>
      <c r="E606" s="2" t="s">
        <v>496</v>
      </c>
      <c r="F606" s="2" t="s">
        <v>497</v>
      </c>
      <c r="G606" s="2" t="s">
        <v>469</v>
      </c>
      <c r="H606" s="7"/>
      <c r="I606" s="2" t="s">
        <v>9</v>
      </c>
    </row>
    <row r="607" spans="1:9" ht="52" x14ac:dyDescent="0.3">
      <c r="A607" s="1" t="str">
        <f>HYPERLINK("https://ipmanager.doe.gov/IPManager//ExternalLink.aspx?6ibkph2k9yi6F%2B0Vz7YoTipZ798QK%2BbPwMQnaw1ZDd4%3D","Link")</f>
        <v>Link</v>
      </c>
      <c r="B607" s="2" t="s">
        <v>3107</v>
      </c>
      <c r="C607" s="2" t="s">
        <v>3099</v>
      </c>
      <c r="D607" s="2" t="s">
        <v>3108</v>
      </c>
      <c r="E607" s="2" t="s">
        <v>3109</v>
      </c>
      <c r="F607" s="2" t="s">
        <v>3110</v>
      </c>
      <c r="G607" s="2" t="s">
        <v>3056</v>
      </c>
      <c r="H607" s="7"/>
      <c r="I607" s="2" t="s">
        <v>9</v>
      </c>
    </row>
    <row r="608" spans="1:9" ht="39" x14ac:dyDescent="0.3">
      <c r="A608" s="1" t="str">
        <f>HYPERLINK("https://ipmanager.doe.gov/IPManager//ExternalLink.aspx?6ibkph2k9yi6F%2B0Vz7YoTgZwfmYxrNyKMgign8UmGnM%3D","Link")</f>
        <v>Link</v>
      </c>
      <c r="B608" s="2" t="s">
        <v>2127</v>
      </c>
      <c r="C608" s="2" t="s">
        <v>2118</v>
      </c>
      <c r="D608" s="2" t="s">
        <v>2119</v>
      </c>
      <c r="E608" s="2" t="s">
        <v>2128</v>
      </c>
      <c r="F608" s="2" t="s">
        <v>2129</v>
      </c>
      <c r="G608" s="2" t="s">
        <v>921</v>
      </c>
      <c r="H608" s="7">
        <v>9419289</v>
      </c>
      <c r="I608" s="2" t="s">
        <v>2130</v>
      </c>
    </row>
    <row r="609" spans="1:9" ht="26" x14ac:dyDescent="0.3">
      <c r="A609" s="1" t="str">
        <f>HYPERLINK("https://ipmanager.doe.gov/IPManager//ExternalLink.aspx?6ibkph2k9yi6F%2B0Vz7YoTk2BI6w%2FjZ2fvW1tniPNiOs%3D","Link")</f>
        <v>Link</v>
      </c>
      <c r="B609" s="2" t="s">
        <v>3433</v>
      </c>
      <c r="C609" s="2" t="s">
        <v>3434</v>
      </c>
      <c r="D609" s="2" t="s">
        <v>3108</v>
      </c>
      <c r="E609" s="2" t="s">
        <v>3435</v>
      </c>
      <c r="F609" s="2" t="s">
        <v>3436</v>
      </c>
      <c r="G609" s="2" t="s">
        <v>1863</v>
      </c>
      <c r="H609" s="7"/>
      <c r="I609" s="2" t="s">
        <v>9</v>
      </c>
    </row>
    <row r="610" spans="1:9" ht="39" x14ac:dyDescent="0.3">
      <c r="A610" s="1" t="str">
        <f>HYPERLINK("https://ipmanager.doe.gov/IPManager//ExternalLink.aspx?6ibkph2k9yi6F%2B0Vz7YoTlNm8snv%2FZpHJvpXFGqIKg8%3D","Link")</f>
        <v>Link</v>
      </c>
      <c r="B610" s="2" t="s">
        <v>589</v>
      </c>
      <c r="C610" s="2" t="s">
        <v>579</v>
      </c>
      <c r="D610" s="2" t="s">
        <v>580</v>
      </c>
      <c r="E610" s="2" t="s">
        <v>590</v>
      </c>
      <c r="F610" s="2" t="s">
        <v>591</v>
      </c>
      <c r="G610" s="2" t="s">
        <v>592</v>
      </c>
      <c r="H610" s="7"/>
      <c r="I610" s="2" t="s">
        <v>9</v>
      </c>
    </row>
    <row r="611" spans="1:9" ht="52" x14ac:dyDescent="0.3">
      <c r="A611" s="1" t="str">
        <f>HYPERLINK("https://ipmanager.doe.gov/IPManager//ExternalLink.aspx?6ibkph2k9yi6F%2B0Vz7YoTlNm8snv%2FZpHt7MDwZ5hgn0%3D","Link")</f>
        <v>Link</v>
      </c>
      <c r="B611" s="2" t="s">
        <v>598</v>
      </c>
      <c r="C611" s="2" t="s">
        <v>579</v>
      </c>
      <c r="D611" s="2" t="s">
        <v>580</v>
      </c>
      <c r="E611" s="2" t="s">
        <v>599</v>
      </c>
      <c r="F611" s="2" t="s">
        <v>600</v>
      </c>
      <c r="G611" s="2" t="s">
        <v>601</v>
      </c>
      <c r="H611" s="7"/>
      <c r="I611" s="2" t="s">
        <v>9</v>
      </c>
    </row>
    <row r="612" spans="1:9" ht="26" x14ac:dyDescent="0.3">
      <c r="A612" s="1" t="str">
        <f>HYPERLINK("https://ipmanager.doe.gov/IPManager//ExternalLink.aspx?6ibkph2k9yi6F%2B0Vz7YoTlNm8snv%2FZpHEup8dyq298k%3D","Link")</f>
        <v>Link</v>
      </c>
      <c r="B612" s="2" t="s">
        <v>607</v>
      </c>
      <c r="C612" s="2" t="s">
        <v>579</v>
      </c>
      <c r="D612" s="2" t="s">
        <v>580</v>
      </c>
      <c r="E612" s="2" t="s">
        <v>608</v>
      </c>
      <c r="F612" s="2" t="s">
        <v>609</v>
      </c>
      <c r="G612" s="2" t="s">
        <v>592</v>
      </c>
      <c r="H612" s="7"/>
      <c r="I612" s="2" t="s">
        <v>9</v>
      </c>
    </row>
    <row r="613" spans="1:9" ht="26" x14ac:dyDescent="0.3">
      <c r="A613" s="1" t="str">
        <f>HYPERLINK("https://ipmanager.doe.gov/IPManager//ExternalLink.aspx?6ibkph2k9yi6F%2B0Vz7YoTlNm8snv%2FZpH0tKwE0yOslU%3D","Link")</f>
        <v>Link</v>
      </c>
      <c r="B613" s="2" t="s">
        <v>619</v>
      </c>
      <c r="C613" s="2" t="s">
        <v>579</v>
      </c>
      <c r="D613" s="2" t="s">
        <v>580</v>
      </c>
      <c r="E613" s="2" t="s">
        <v>620</v>
      </c>
      <c r="F613" s="2" t="s">
        <v>621</v>
      </c>
      <c r="G613" s="2" t="s">
        <v>588</v>
      </c>
      <c r="H613" s="7"/>
      <c r="I613" s="2" t="s">
        <v>9</v>
      </c>
    </row>
    <row r="614" spans="1:9" ht="26" x14ac:dyDescent="0.3">
      <c r="A614" s="1" t="str">
        <f>HYPERLINK("https://ipmanager.doe.gov/IPManager//ExternalLink.aspx?6ibkph2k9yi6F%2B0Vz7YoTlNm8snv%2FZpHelFQz55VgAs%3D","Link")</f>
        <v>Link</v>
      </c>
      <c r="B614" s="2" t="s">
        <v>627</v>
      </c>
      <c r="C614" s="2" t="s">
        <v>579</v>
      </c>
      <c r="D614" s="2" t="s">
        <v>580</v>
      </c>
      <c r="E614" s="2" t="s">
        <v>628</v>
      </c>
      <c r="F614" s="2" t="s">
        <v>629</v>
      </c>
      <c r="G614" s="2" t="s">
        <v>592</v>
      </c>
      <c r="H614" s="7"/>
      <c r="I614" s="2" t="s">
        <v>9</v>
      </c>
    </row>
    <row r="615" spans="1:9" ht="26" x14ac:dyDescent="0.3">
      <c r="A615" s="1" t="str">
        <f>HYPERLINK("https://ipmanager.doe.gov/IPManager//ExternalLink.aspx?6ibkph2k9yi6F%2B0Vz7YoTlNm8snv%2FZpHs1ykE9Ins5Y%3D","Link")</f>
        <v>Link</v>
      </c>
      <c r="B615" s="2" t="s">
        <v>632</v>
      </c>
      <c r="C615" s="2" t="s">
        <v>579</v>
      </c>
      <c r="D615" s="2" t="s">
        <v>580</v>
      </c>
      <c r="E615" s="2" t="s">
        <v>633</v>
      </c>
      <c r="F615" s="2" t="s">
        <v>634</v>
      </c>
      <c r="G615" s="2" t="s">
        <v>592</v>
      </c>
      <c r="H615" s="7"/>
      <c r="I615" s="2" t="s">
        <v>9</v>
      </c>
    </row>
    <row r="616" spans="1:9" ht="65" x14ac:dyDescent="0.3">
      <c r="A616" s="1" t="str">
        <f>HYPERLINK("https://ipmanager.doe.gov/IPManager//ExternalLink.aspx?6ibkph2k9yi6F%2B0Vz7YoTlNm8snv%2FZpHqSds5tT%2BiMs%3D","Link")</f>
        <v>Link</v>
      </c>
      <c r="B616" s="2" t="s">
        <v>635</v>
      </c>
      <c r="C616" s="2" t="s">
        <v>579</v>
      </c>
      <c r="D616" s="2" t="s">
        <v>580</v>
      </c>
      <c r="E616" s="2" t="s">
        <v>636</v>
      </c>
      <c r="F616" s="2" t="s">
        <v>637</v>
      </c>
      <c r="G616" s="2" t="s">
        <v>588</v>
      </c>
      <c r="H616" s="7"/>
      <c r="I616" s="2" t="s">
        <v>9</v>
      </c>
    </row>
    <row r="617" spans="1:9" ht="39" x14ac:dyDescent="0.3">
      <c r="A617" s="1" t="str">
        <f>HYPERLINK("https://ipmanager.doe.gov/IPManager//ExternalLink.aspx?6ibkph2k9yi6F%2B0Vz7YoTjN2oADz%2F5MxLqoDHqDaDFM%3D","Link")</f>
        <v>Link</v>
      </c>
      <c r="B617" s="2" t="s">
        <v>638</v>
      </c>
      <c r="C617" s="2" t="s">
        <v>579</v>
      </c>
      <c r="D617" s="2" t="s">
        <v>580</v>
      </c>
      <c r="E617" s="2" t="s">
        <v>639</v>
      </c>
      <c r="F617" s="2" t="s">
        <v>640</v>
      </c>
      <c r="G617" s="2" t="s">
        <v>641</v>
      </c>
      <c r="H617" s="7"/>
      <c r="I617" s="2" t="s">
        <v>9</v>
      </c>
    </row>
    <row r="618" spans="1:9" ht="65" x14ac:dyDescent="0.3">
      <c r="A618" s="1" t="str">
        <f>HYPERLINK("https://ipmanager.doe.gov/IPManager//ExternalLink.aspx?6ibkph2k9yi6F%2B0Vz7YoTjN2oADz%2F5MxZLHYKc0sDp8%3D","Link")</f>
        <v>Link</v>
      </c>
      <c r="B618" s="2" t="s">
        <v>643</v>
      </c>
      <c r="C618" s="2" t="s">
        <v>579</v>
      </c>
      <c r="D618" s="2" t="s">
        <v>580</v>
      </c>
      <c r="E618" s="2" t="s">
        <v>617</v>
      </c>
      <c r="F618" s="2" t="s">
        <v>644</v>
      </c>
      <c r="G618" s="2" t="s">
        <v>641</v>
      </c>
      <c r="H618" s="7"/>
      <c r="I618" s="2" t="s">
        <v>9</v>
      </c>
    </row>
    <row r="619" spans="1:9" ht="26" x14ac:dyDescent="0.3">
      <c r="A619" s="1" t="str">
        <f>HYPERLINK("https://ipmanager.doe.gov/IPManager//ExternalLink.aspx?6ibkph2k9yi6F%2B0Vz7YoTjN2oADz%2F5MxYOo1Ji9p3hE%3D","Link")</f>
        <v>Link</v>
      </c>
      <c r="B619" s="2" t="s">
        <v>645</v>
      </c>
      <c r="C619" s="2" t="s">
        <v>579</v>
      </c>
      <c r="D619" s="2" t="s">
        <v>580</v>
      </c>
      <c r="E619" s="2" t="s">
        <v>620</v>
      </c>
      <c r="F619" s="2" t="s">
        <v>646</v>
      </c>
      <c r="G619" s="2" t="s">
        <v>641</v>
      </c>
      <c r="H619" s="7"/>
      <c r="I619" s="2" t="s">
        <v>9</v>
      </c>
    </row>
    <row r="620" spans="1:9" ht="39" x14ac:dyDescent="0.3">
      <c r="A620" s="1" t="str">
        <f>HYPERLINK("https://ipmanager.doe.gov/IPManager//ExternalLink.aspx?6ibkph2k9yi6F%2B0Vz7YoTjN2oADz%2F5MxkX5N%2B1RBNYE%3D","Link")</f>
        <v>Link</v>
      </c>
      <c r="B620" s="2" t="s">
        <v>647</v>
      </c>
      <c r="C620" s="2" t="s">
        <v>579</v>
      </c>
      <c r="D620" s="2" t="s">
        <v>580</v>
      </c>
      <c r="E620" s="2" t="s">
        <v>648</v>
      </c>
      <c r="F620" s="2" t="s">
        <v>649</v>
      </c>
      <c r="G620" s="2" t="s">
        <v>641</v>
      </c>
      <c r="H620" s="7"/>
      <c r="I620" s="2" t="s">
        <v>9</v>
      </c>
    </row>
    <row r="621" spans="1:9" ht="39" x14ac:dyDescent="0.3">
      <c r="A621" s="1" t="str">
        <f>HYPERLINK("https://ipmanager.doe.gov/IPManager//ExternalLink.aspx?6ibkph2k9yi6F%2B0Vz7YoTjN2oADz%2F5MxNW1IHkDtR5o%3D","Link")</f>
        <v>Link</v>
      </c>
      <c r="B621" s="2" t="s">
        <v>653</v>
      </c>
      <c r="C621" s="2" t="s">
        <v>579</v>
      </c>
      <c r="D621" s="2" t="s">
        <v>580</v>
      </c>
      <c r="E621" s="2" t="s">
        <v>654</v>
      </c>
      <c r="F621" s="2" t="s">
        <v>655</v>
      </c>
      <c r="G621" s="2" t="s">
        <v>656</v>
      </c>
      <c r="H621" s="7"/>
      <c r="I621" s="2" t="s">
        <v>9</v>
      </c>
    </row>
    <row r="622" spans="1:9" ht="52" x14ac:dyDescent="0.3">
      <c r="A622" s="1" t="str">
        <f>HYPERLINK("https://ipmanager.doe.gov/IPManager//ExternalLink.aspx?6ibkph2k9yi6F%2B0Vz7YoTjN2oADz%2F5Mx9sx1X2H9opo%3D","Link")</f>
        <v>Link</v>
      </c>
      <c r="B622" s="2" t="s">
        <v>657</v>
      </c>
      <c r="C622" s="2" t="s">
        <v>579</v>
      </c>
      <c r="D622" s="2" t="s">
        <v>580</v>
      </c>
      <c r="E622" s="2" t="s">
        <v>658</v>
      </c>
      <c r="F622" s="2" t="s">
        <v>659</v>
      </c>
      <c r="G622" s="2" t="s">
        <v>660</v>
      </c>
      <c r="H622" s="7"/>
      <c r="I622" s="2" t="s">
        <v>9</v>
      </c>
    </row>
    <row r="623" spans="1:9" ht="52" x14ac:dyDescent="0.3">
      <c r="A623" s="1" t="str">
        <f>HYPERLINK("https://ipmanager.doe.gov/IPManager//ExternalLink.aspx?6ibkph2k9yi6F%2B0Vz7YoTlNm8snv%2FZpHxtwJX0TkiBw%3D","Link")</f>
        <v>Link</v>
      </c>
      <c r="B623" s="2" t="s">
        <v>666</v>
      </c>
      <c r="C623" s="2" t="s">
        <v>579</v>
      </c>
      <c r="D623" s="2" t="s">
        <v>580</v>
      </c>
      <c r="E623" s="2" t="s">
        <v>667</v>
      </c>
      <c r="F623" s="2" t="s">
        <v>668</v>
      </c>
      <c r="G623" s="2" t="s">
        <v>35</v>
      </c>
      <c r="H623" s="7"/>
      <c r="I623" s="2" t="s">
        <v>9</v>
      </c>
    </row>
    <row r="624" spans="1:9" ht="26" x14ac:dyDescent="0.3">
      <c r="A624" s="1" t="str">
        <f>HYPERLINK("https://ipmanager.doe.gov/IPManager//ExternalLink.aspx?6ibkph2k9yi6F%2B0Vz7YoTgZwfmYxrNyK1nQ5ZuGJ0zk%3D","Link")</f>
        <v>Link</v>
      </c>
      <c r="B624" s="2" t="s">
        <v>2175</v>
      </c>
      <c r="C624" s="2" t="s">
        <v>2176</v>
      </c>
      <c r="D624" s="2" t="s">
        <v>2177</v>
      </c>
      <c r="E624" s="2" t="s">
        <v>2178</v>
      </c>
      <c r="F624" s="2" t="s">
        <v>2179</v>
      </c>
      <c r="G624" s="2" t="s">
        <v>230</v>
      </c>
      <c r="H624" s="7">
        <v>8803384</v>
      </c>
      <c r="I624" s="2" t="s">
        <v>1094</v>
      </c>
    </row>
    <row r="625" spans="1:9" ht="26" x14ac:dyDescent="0.3">
      <c r="A625" s="1" t="str">
        <f>HYPERLINK("https://ipmanager.doe.gov/IPManager//ExternalLink.aspx?6ibkph2k9yi6F%2B0Vz7YoTgZwfmYxrNyKCV%2BwCM7%2FPSM%3D","Link")</f>
        <v>Link</v>
      </c>
      <c r="B625" s="2" t="s">
        <v>2180</v>
      </c>
      <c r="C625" s="2" t="s">
        <v>2176</v>
      </c>
      <c r="D625" s="2" t="s">
        <v>2177</v>
      </c>
      <c r="E625" s="2" t="s">
        <v>2181</v>
      </c>
      <c r="F625" s="2"/>
      <c r="G625" s="2" t="s">
        <v>9</v>
      </c>
      <c r="H625" s="7"/>
      <c r="I625" s="2" t="s">
        <v>9</v>
      </c>
    </row>
    <row r="626" spans="1:9" ht="26" x14ac:dyDescent="0.3">
      <c r="A626" s="1" t="str">
        <f>HYPERLINK("https://ipmanager.doe.gov/IPManager//ExternalLink.aspx?6ibkph2k9yi6F%2B0Vz7YoTjnDGhmGHGI7KUi9SRxszuQ%3D","Link")</f>
        <v>Link</v>
      </c>
      <c r="B626" s="2" t="s">
        <v>2182</v>
      </c>
      <c r="C626" s="2" t="s">
        <v>2183</v>
      </c>
      <c r="D626" s="2" t="s">
        <v>2184</v>
      </c>
      <c r="E626" s="2" t="s">
        <v>2185</v>
      </c>
      <c r="F626" s="2"/>
      <c r="G626" s="2" t="s">
        <v>9</v>
      </c>
      <c r="H626" s="7"/>
      <c r="I626" s="2" t="s">
        <v>9</v>
      </c>
    </row>
    <row r="627" spans="1:9" ht="65" x14ac:dyDescent="0.3">
      <c r="A627" s="1" t="str">
        <f>HYPERLINK("https://ipmanager.doe.gov/IPManager//ExternalLink.aspx?6ibkph2k9yi6F%2B0Vz7YoTlNm8snv%2FZpHJnOs39Fa4UE%3D","Link")</f>
        <v>Link</v>
      </c>
      <c r="B627" s="2" t="s">
        <v>2187</v>
      </c>
      <c r="C627" s="2" t="s">
        <v>2188</v>
      </c>
      <c r="D627" s="2" t="s">
        <v>1285</v>
      </c>
      <c r="E627" s="2" t="s">
        <v>2189</v>
      </c>
      <c r="F627" s="2" t="s">
        <v>2190</v>
      </c>
      <c r="G627" s="2" t="s">
        <v>2191</v>
      </c>
      <c r="H627" s="7">
        <v>9251938</v>
      </c>
      <c r="I627" s="2" t="s">
        <v>2192</v>
      </c>
    </row>
    <row r="628" spans="1:9" ht="52" x14ac:dyDescent="0.3">
      <c r="A628" s="1" t="str">
        <f>HYPERLINK("https://ipmanager.doe.gov/IPManager//ExternalLink.aspx?6ibkph2k9yi6F%2B0Vz7YoTjnDGhmGHGI7Pohg92TidRs%3D","Link")</f>
        <v>Link</v>
      </c>
      <c r="B628" s="2" t="s">
        <v>2193</v>
      </c>
      <c r="C628" s="2" t="s">
        <v>2188</v>
      </c>
      <c r="D628" s="2" t="s">
        <v>1285</v>
      </c>
      <c r="E628" s="2" t="s">
        <v>2194</v>
      </c>
      <c r="F628" s="2" t="s">
        <v>2195</v>
      </c>
      <c r="G628" s="2" t="s">
        <v>2196</v>
      </c>
      <c r="H628" s="7">
        <v>9373433</v>
      </c>
      <c r="I628" s="2" t="s">
        <v>2197</v>
      </c>
    </row>
    <row r="629" spans="1:9" ht="26" x14ac:dyDescent="0.3">
      <c r="A629" s="1" t="str">
        <f>HYPERLINK("https://ipmanager.doe.gov/IPManager//ExternalLink.aspx?6ibkph2k9yi6F%2B0Vz7YoTjN2oADz%2F5MxhUHmsoWCRqU%3D","Link")</f>
        <v>Link</v>
      </c>
      <c r="B629" s="2" t="s">
        <v>669</v>
      </c>
      <c r="C629" s="2" t="s">
        <v>579</v>
      </c>
      <c r="D629" s="2" t="s">
        <v>580</v>
      </c>
      <c r="E629" s="2" t="s">
        <v>670</v>
      </c>
      <c r="F629" s="2" t="s">
        <v>626</v>
      </c>
      <c r="G629" s="2" t="s">
        <v>641</v>
      </c>
      <c r="H629" s="7"/>
      <c r="I629" s="2" t="s">
        <v>9</v>
      </c>
    </row>
    <row r="630" spans="1:9" ht="91" x14ac:dyDescent="0.3">
      <c r="A630" s="1" t="str">
        <f>HYPERLINK("https://ipmanager.doe.gov/IPManager//ExternalLink.aspx?6ibkph2k9yi6F%2B0Vz7YoTjN2oADz%2F5Mxe%2FrP8HvmnMQ%3D","Link")</f>
        <v>Link</v>
      </c>
      <c r="B630" s="2" t="s">
        <v>2202</v>
      </c>
      <c r="C630" s="2" t="s">
        <v>2203</v>
      </c>
      <c r="D630" s="2" t="s">
        <v>2204</v>
      </c>
      <c r="E630" s="2" t="s">
        <v>2205</v>
      </c>
      <c r="F630" s="2"/>
      <c r="G630" s="2" t="s">
        <v>9</v>
      </c>
      <c r="H630" s="7"/>
      <c r="I630" s="2" t="s">
        <v>9</v>
      </c>
    </row>
    <row r="631" spans="1:9" ht="52" x14ac:dyDescent="0.3">
      <c r="A631" s="1" t="str">
        <f>HYPERLINK("https://ipmanager.doe.gov/IPManager//ExternalLink.aspx?6ibkph2k9yi6F%2B0Vz7YoTjN2oADz%2F5MxhwpkY9Vrht4%3D","Link")</f>
        <v>Link</v>
      </c>
      <c r="B631" s="2" t="s">
        <v>671</v>
      </c>
      <c r="C631" s="2" t="s">
        <v>579</v>
      </c>
      <c r="D631" s="2" t="s">
        <v>580</v>
      </c>
      <c r="E631" s="2" t="s">
        <v>672</v>
      </c>
      <c r="F631" s="2" t="s">
        <v>673</v>
      </c>
      <c r="G631" s="2" t="s">
        <v>674</v>
      </c>
      <c r="H631" s="7"/>
      <c r="I631" s="2" t="s">
        <v>9</v>
      </c>
    </row>
    <row r="632" spans="1:9" ht="39" x14ac:dyDescent="0.3">
      <c r="A632" s="1" t="str">
        <f>HYPERLINK("https://ipmanager.doe.gov/IPManager//ExternalLink.aspx?6ibkph2k9yi6F%2B0Vz7YoTlNm8snv%2FZpHo8kq0Y7LDVU%3D","Link")</f>
        <v>Link</v>
      </c>
      <c r="B632" s="2" t="s">
        <v>676</v>
      </c>
      <c r="C632" s="2" t="s">
        <v>579</v>
      </c>
      <c r="D632" s="2" t="s">
        <v>580</v>
      </c>
      <c r="E632" s="2" t="s">
        <v>677</v>
      </c>
      <c r="F632" s="2" t="s">
        <v>678</v>
      </c>
      <c r="G632" s="2" t="s">
        <v>679</v>
      </c>
      <c r="H632" s="7"/>
      <c r="I632" s="2" t="s">
        <v>9</v>
      </c>
    </row>
    <row r="633" spans="1:9" ht="39" x14ac:dyDescent="0.3">
      <c r="A633" s="1" t="str">
        <f>HYPERLINK("https://ipmanager.doe.gov/IPManager//ExternalLink.aspx?6ibkph2k9yi6F%2B0Vz7YoTlNm8snv%2FZpHfxzyE4k9hKc%3D","Link")</f>
        <v>Link</v>
      </c>
      <c r="B633" s="2" t="s">
        <v>680</v>
      </c>
      <c r="C633" s="2" t="s">
        <v>579</v>
      </c>
      <c r="D633" s="2" t="s">
        <v>580</v>
      </c>
      <c r="E633" s="2" t="s">
        <v>654</v>
      </c>
      <c r="F633" s="2" t="s">
        <v>681</v>
      </c>
      <c r="G633" s="2" t="s">
        <v>682</v>
      </c>
      <c r="H633" s="7"/>
      <c r="I633" s="2" t="s">
        <v>9</v>
      </c>
    </row>
    <row r="634" spans="1:9" ht="26" x14ac:dyDescent="0.3">
      <c r="A634" s="1" t="str">
        <f>HYPERLINK("https://ipmanager.doe.gov/IPManager//ExternalLink.aspx?6ibkph2k9yi6F%2B0Vz7YoTjN2oADz%2F5MxWHGzVkI6wwU%3D","Link")</f>
        <v>Link</v>
      </c>
      <c r="B634" s="2" t="s">
        <v>683</v>
      </c>
      <c r="C634" s="2" t="s">
        <v>579</v>
      </c>
      <c r="D634" s="2" t="s">
        <v>580</v>
      </c>
      <c r="E634" s="2" t="s">
        <v>611</v>
      </c>
      <c r="F634" s="2" t="s">
        <v>684</v>
      </c>
      <c r="G634" s="2" t="s">
        <v>641</v>
      </c>
      <c r="H634" s="7"/>
      <c r="I634" s="2" t="s">
        <v>9</v>
      </c>
    </row>
    <row r="635" spans="1:9" ht="52" x14ac:dyDescent="0.3">
      <c r="A635" s="1" t="str">
        <f>HYPERLINK("https://ipmanager.doe.gov/IPManager//ExternalLink.aspx?6ibkph2k9yi6F%2B0Vz7YoTlNm8snv%2FZpHko470EyWQtg%3D","Link")</f>
        <v>Link</v>
      </c>
      <c r="B635" s="2" t="s">
        <v>694</v>
      </c>
      <c r="C635" s="2" t="s">
        <v>579</v>
      </c>
      <c r="D635" s="2" t="s">
        <v>580</v>
      </c>
      <c r="E635" s="2" t="s">
        <v>667</v>
      </c>
      <c r="F635" s="2" t="s">
        <v>695</v>
      </c>
      <c r="G635" s="2" t="s">
        <v>696</v>
      </c>
      <c r="H635" s="7"/>
      <c r="I635" s="2" t="s">
        <v>9</v>
      </c>
    </row>
    <row r="636" spans="1:9" ht="39" x14ac:dyDescent="0.3">
      <c r="A636" s="1" t="str">
        <f>HYPERLINK("https://ipmanager.doe.gov/IPManager//ExternalLink.aspx?6ibkph2k9yi6F%2B0Vz7YoTjnDGhmGHGI7o%2F63My%2FJaA4%3D","Link")</f>
        <v>Link</v>
      </c>
      <c r="B636" s="2" t="s">
        <v>2228</v>
      </c>
      <c r="C636" s="2" t="s">
        <v>2229</v>
      </c>
      <c r="D636" s="2" t="s">
        <v>2230</v>
      </c>
      <c r="E636" s="2" t="s">
        <v>2231</v>
      </c>
      <c r="F636" s="2"/>
      <c r="G636" s="2" t="s">
        <v>9</v>
      </c>
      <c r="H636" s="7"/>
      <c r="I636" s="2" t="s">
        <v>9</v>
      </c>
    </row>
    <row r="637" spans="1:9" ht="26" x14ac:dyDescent="0.3">
      <c r="A637" s="1" t="str">
        <f>HYPERLINK("https://ipmanager.doe.gov/IPManager//ExternalLink.aspx?6ibkph2k9yi6F%2B0Vz7YoTgZwfmYxrNyKHzcY%2FH05Cn0%3D","Link")</f>
        <v>Link</v>
      </c>
      <c r="B637" s="2" t="s">
        <v>5372</v>
      </c>
      <c r="C637" s="2" t="s">
        <v>5373</v>
      </c>
      <c r="D637" s="2" t="s">
        <v>3062</v>
      </c>
      <c r="E637" s="2" t="s">
        <v>5374</v>
      </c>
      <c r="F637" s="2" t="s">
        <v>5375</v>
      </c>
      <c r="G637" s="2" t="s">
        <v>4003</v>
      </c>
      <c r="H637" s="7"/>
      <c r="I637" s="2" t="s">
        <v>9</v>
      </c>
    </row>
    <row r="638" spans="1:9" ht="26" x14ac:dyDescent="0.3">
      <c r="A638" s="1" t="str">
        <f>HYPERLINK("https://ipmanager.doe.gov/IPManager//ExternalLink.aspx?6ibkph2k9yi6F%2B0Vz7YoTo7DPLa3%2F%2FGgt1ZA2d2M%2BSw%3D","Link")</f>
        <v>Link</v>
      </c>
      <c r="B638" s="2" t="s">
        <v>5376</v>
      </c>
      <c r="C638" s="2" t="s">
        <v>5373</v>
      </c>
      <c r="D638" s="2" t="s">
        <v>3062</v>
      </c>
      <c r="E638" s="2" t="s">
        <v>5377</v>
      </c>
      <c r="F638" s="2" t="s">
        <v>5378</v>
      </c>
      <c r="G638" s="2" t="s">
        <v>2197</v>
      </c>
      <c r="H638" s="7"/>
      <c r="I638" s="2" t="s">
        <v>9</v>
      </c>
    </row>
    <row r="639" spans="1:9" ht="39" x14ac:dyDescent="0.3">
      <c r="A639" s="1" t="str">
        <f>HYPERLINK("https://ipmanager.doe.gov/IPManager//ExternalLink.aspx?6ibkph2k9yi6F%2B0Vz7YoTgZwfmYxrNyKI3u8I2ahZ4k%3D","Link")</f>
        <v>Link</v>
      </c>
      <c r="B639" s="2" t="s">
        <v>5379</v>
      </c>
      <c r="C639" s="2" t="s">
        <v>5373</v>
      </c>
      <c r="D639" s="2" t="s">
        <v>3062</v>
      </c>
      <c r="E639" s="2" t="s">
        <v>5380</v>
      </c>
      <c r="F639" s="2" t="s">
        <v>5381</v>
      </c>
      <c r="G639" s="2" t="s">
        <v>4394</v>
      </c>
      <c r="H639" s="7"/>
      <c r="I639" s="2" t="s">
        <v>9</v>
      </c>
    </row>
    <row r="640" spans="1:9" ht="78" x14ac:dyDescent="0.3">
      <c r="A640" s="1" t="str">
        <f>HYPERLINK("https://ipmanager.doe.gov/IPManager//ExternalLink.aspx?6ibkph2k9yi6F%2B0Vz7YoTjnDGhmGHGI7vvbxq4BpUhU%3D","Link")</f>
        <v>Link</v>
      </c>
      <c r="B640" s="2" t="s">
        <v>3018</v>
      </c>
      <c r="C640" s="2" t="s">
        <v>3019</v>
      </c>
      <c r="D640" s="2" t="s">
        <v>3020</v>
      </c>
      <c r="E640" s="2" t="s">
        <v>3021</v>
      </c>
      <c r="F640" s="2" t="s">
        <v>3022</v>
      </c>
      <c r="G640" s="2" t="s">
        <v>2940</v>
      </c>
      <c r="H640" s="7"/>
      <c r="I640" s="2" t="s">
        <v>9</v>
      </c>
    </row>
    <row r="641" spans="1:9" ht="26" x14ac:dyDescent="0.3">
      <c r="A641" s="1" t="str">
        <f>HYPERLINK("https://ipmanager.doe.gov/IPManager//ExternalLink.aspx?6ibkph2k9yi6F%2B0Vz7YoTp68px7nSN2gPP2%2BeSazTAg%3D","Link")</f>
        <v>Link</v>
      </c>
      <c r="B641" s="2" t="s">
        <v>4677</v>
      </c>
      <c r="C641" s="2" t="s">
        <v>4668</v>
      </c>
      <c r="D641" s="2" t="s">
        <v>3020</v>
      </c>
      <c r="E641" s="2" t="s">
        <v>4678</v>
      </c>
      <c r="F641" s="2" t="s">
        <v>4679</v>
      </c>
      <c r="G641" s="2" t="s">
        <v>4680</v>
      </c>
      <c r="H641" s="7"/>
      <c r="I641" s="2" t="s">
        <v>9</v>
      </c>
    </row>
    <row r="642" spans="1:9" ht="65" x14ac:dyDescent="0.3">
      <c r="A642" s="1" t="str">
        <f>HYPERLINK("https://ipmanager.doe.gov/IPManager//ExternalLink.aspx?6ibkph2k9yi6F%2B0Vz7YoTipZ798QK%2BbPF5nhCCll0R0%3D","Link")</f>
        <v>Link</v>
      </c>
      <c r="B642" s="2" t="s">
        <v>1283</v>
      </c>
      <c r="C642" s="2" t="s">
        <v>1284</v>
      </c>
      <c r="D642" s="2" t="s">
        <v>1285</v>
      </c>
      <c r="E642" s="2" t="s">
        <v>1286</v>
      </c>
      <c r="F642" s="2" t="s">
        <v>1287</v>
      </c>
      <c r="G642" s="2" t="s">
        <v>1288</v>
      </c>
      <c r="H642" s="7"/>
      <c r="I642" s="2" t="s">
        <v>9</v>
      </c>
    </row>
    <row r="643" spans="1:9" ht="39" x14ac:dyDescent="0.3">
      <c r="A643" s="1" t="str">
        <f>HYPERLINK("https://ipmanager.doe.gov/IPManager//ExternalLink.aspx?6ibkph2k9yi6F%2B0Vz7YoTipZ798QK%2BbP5EdUNGJ2ebA%3D","Link")</f>
        <v>Link</v>
      </c>
      <c r="B643" s="2" t="s">
        <v>1524</v>
      </c>
      <c r="C643" s="2" t="s">
        <v>1525</v>
      </c>
      <c r="D643" s="2" t="s">
        <v>1285</v>
      </c>
      <c r="E643" s="2" t="s">
        <v>1526</v>
      </c>
      <c r="F643" s="2" t="s">
        <v>1527</v>
      </c>
      <c r="G643" s="2" t="s">
        <v>1528</v>
      </c>
      <c r="H643" s="7"/>
      <c r="I643" s="2" t="s">
        <v>9</v>
      </c>
    </row>
    <row r="644" spans="1:9" ht="65" x14ac:dyDescent="0.3">
      <c r="A644" s="1" t="str">
        <f>HYPERLINK("https://ipmanager.doe.gov/IPManager//ExternalLink.aspx?6ibkph2k9yi6F%2B0Vz7YoTlNm8snv%2FZpH02%2BPbHjJUmM%3D","Link")</f>
        <v>Link</v>
      </c>
      <c r="B644" s="2" t="s">
        <v>2255</v>
      </c>
      <c r="C644" s="2" t="s">
        <v>2241</v>
      </c>
      <c r="D644" s="2" t="s">
        <v>2242</v>
      </c>
      <c r="E644" s="2" t="s">
        <v>2256</v>
      </c>
      <c r="F644" s="2"/>
      <c r="G644" s="2" t="s">
        <v>9</v>
      </c>
      <c r="H644" s="7"/>
      <c r="I644" s="2" t="s">
        <v>9</v>
      </c>
    </row>
    <row r="645" spans="1:9" ht="26" x14ac:dyDescent="0.3">
      <c r="A645" s="1" t="str">
        <f>HYPERLINK("https://ipmanager.doe.gov/IPManager//ExternalLink.aspx?6ibkph2k9yi6F%2B0Vz7YoTlNm8snv%2FZpHfdBUmXM1CMU%3D","Link")</f>
        <v>Link</v>
      </c>
      <c r="B645" s="2" t="s">
        <v>2257</v>
      </c>
      <c r="C645" s="2" t="s">
        <v>2241</v>
      </c>
      <c r="D645" s="2" t="s">
        <v>2242</v>
      </c>
      <c r="E645" s="2" t="s">
        <v>2258</v>
      </c>
      <c r="F645" s="2"/>
      <c r="G645" s="2" t="s">
        <v>9</v>
      </c>
      <c r="H645" s="7"/>
      <c r="I645" s="2" t="s">
        <v>9</v>
      </c>
    </row>
    <row r="646" spans="1:9" ht="52" x14ac:dyDescent="0.3">
      <c r="A646" s="1" t="str">
        <f>HYPERLINK("https://ipmanager.doe.gov/IPManager//ExternalLink.aspx?6ibkph2k9yi6F%2B0Vz7YoTjnDGhmGHGI7Q7JekO68Cjg%3D","Link")</f>
        <v>Link</v>
      </c>
      <c r="B646" s="2" t="s">
        <v>2259</v>
      </c>
      <c r="C646" s="2" t="s">
        <v>2241</v>
      </c>
      <c r="D646" s="2" t="s">
        <v>2242</v>
      </c>
      <c r="E646" s="2" t="s">
        <v>2260</v>
      </c>
      <c r="F646" s="2"/>
      <c r="G646" s="2" t="s">
        <v>9</v>
      </c>
      <c r="H646" s="7"/>
      <c r="I646" s="2" t="s">
        <v>9</v>
      </c>
    </row>
    <row r="647" spans="1:9" ht="39" x14ac:dyDescent="0.3">
      <c r="A647" s="1" t="str">
        <f>HYPERLINK("https://ipmanager.doe.gov/IPManager//ExternalLink.aspx?6ibkph2k9yi6F%2B0Vz7YoTk2BI6w%2FjZ2ft0JmDSwDeyg%3D","Link")</f>
        <v>Link</v>
      </c>
      <c r="B647" s="2" t="s">
        <v>1529</v>
      </c>
      <c r="C647" s="2" t="s">
        <v>1525</v>
      </c>
      <c r="D647" s="2" t="s">
        <v>1285</v>
      </c>
      <c r="E647" s="2" t="s">
        <v>1530</v>
      </c>
      <c r="F647" s="2" t="s">
        <v>1531</v>
      </c>
      <c r="G647" s="2" t="s">
        <v>239</v>
      </c>
      <c r="H647" s="7"/>
      <c r="I647" s="2" t="s">
        <v>9</v>
      </c>
    </row>
    <row r="648" spans="1:9" ht="65" x14ac:dyDescent="0.3">
      <c r="A648" s="1" t="str">
        <f>HYPERLINK("https://ipmanager.doe.gov/IPManager//ExternalLink.aspx?6ibkph2k9yi6F%2B0Vz7YoTjnDGhmGHGI7%2F%2FfmTplbanA%3D","Link")</f>
        <v>Link</v>
      </c>
      <c r="B648" s="2" t="s">
        <v>2265</v>
      </c>
      <c r="C648" s="2" t="s">
        <v>2266</v>
      </c>
      <c r="D648" s="2" t="s">
        <v>2267</v>
      </c>
      <c r="E648" s="2" t="s">
        <v>2268</v>
      </c>
      <c r="F648" s="2"/>
      <c r="G648" s="2" t="s">
        <v>9</v>
      </c>
      <c r="H648" s="7"/>
      <c r="I648" s="2" t="s">
        <v>9</v>
      </c>
    </row>
    <row r="649" spans="1:9" ht="39" x14ac:dyDescent="0.3">
      <c r="A649" s="1" t="str">
        <f>HYPERLINK("https://ipmanager.doe.gov/IPManager//ExternalLink.aspx?6ibkph2k9yi6F%2B0Vz7YoTjnDGhmGHGI7AbtNCV148Lw%3D","Link")</f>
        <v>Link</v>
      </c>
      <c r="B649" s="2" t="s">
        <v>1545</v>
      </c>
      <c r="C649" s="2" t="s">
        <v>1525</v>
      </c>
      <c r="D649" s="2" t="s">
        <v>1285</v>
      </c>
      <c r="E649" s="2" t="s">
        <v>1546</v>
      </c>
      <c r="F649" s="2" t="s">
        <v>1547</v>
      </c>
      <c r="G649" s="2" t="s">
        <v>1548</v>
      </c>
      <c r="H649" s="7"/>
      <c r="I649" s="2" t="s">
        <v>9</v>
      </c>
    </row>
    <row r="650" spans="1:9" ht="52" x14ac:dyDescent="0.3">
      <c r="A650" s="1" t="str">
        <f>HYPERLINK("https://ipmanager.doe.gov/IPManager//ExternalLink.aspx?6ibkph2k9yi6F%2B0Vz7YoTo7DPLa3%2F%2FGgRT0pIwiydQ8%3D","Link")</f>
        <v>Link</v>
      </c>
      <c r="B650" s="2" t="s">
        <v>2198</v>
      </c>
      <c r="C650" s="2" t="s">
        <v>2188</v>
      </c>
      <c r="D650" s="2" t="s">
        <v>1285</v>
      </c>
      <c r="E650" s="2" t="s">
        <v>2199</v>
      </c>
      <c r="F650" s="2" t="s">
        <v>2200</v>
      </c>
      <c r="G650" s="2" t="s">
        <v>2201</v>
      </c>
      <c r="H650" s="7"/>
      <c r="I650" s="2" t="s">
        <v>9</v>
      </c>
    </row>
    <row r="651" spans="1:9" ht="39" x14ac:dyDescent="0.3">
      <c r="A651" s="1" t="str">
        <f>HYPERLINK("https://ipmanager.doe.gov/IPManager//ExternalLink.aspx?6ibkph2k9yi6F%2B0Vz7YoThEBhkR3uHVr3%2F1fKVx%2F6Kc%3D","Link")</f>
        <v>Link</v>
      </c>
      <c r="B651" s="2" t="s">
        <v>2280</v>
      </c>
      <c r="C651" s="2" t="s">
        <v>2270</v>
      </c>
      <c r="D651" s="2" t="s">
        <v>2271</v>
      </c>
      <c r="E651" s="2" t="s">
        <v>2281</v>
      </c>
      <c r="F651" s="2"/>
      <c r="G651" s="2" t="s">
        <v>9</v>
      </c>
      <c r="H651" s="7"/>
      <c r="I651" s="2" t="s">
        <v>9</v>
      </c>
    </row>
    <row r="652" spans="1:9" ht="39" x14ac:dyDescent="0.3">
      <c r="A652" s="1" t="str">
        <f>HYPERLINK("https://ipmanager.doe.gov/IPManager//ExternalLink.aspx?6ibkph2k9yi6F%2B0Vz7YoTnXVN2REjGcWF9eXIK7qRL4%3D","Link")</f>
        <v>Link</v>
      </c>
      <c r="B652" s="2" t="s">
        <v>2941</v>
      </c>
      <c r="C652" s="2" t="s">
        <v>2942</v>
      </c>
      <c r="D652" s="2" t="s">
        <v>1285</v>
      </c>
      <c r="E652" s="2" t="s">
        <v>2943</v>
      </c>
      <c r="F652" s="2" t="s">
        <v>2944</v>
      </c>
      <c r="G652" s="2" t="s">
        <v>788</v>
      </c>
      <c r="H652" s="7"/>
      <c r="I652" s="2" t="s">
        <v>9</v>
      </c>
    </row>
    <row r="653" spans="1:9" ht="52" x14ac:dyDescent="0.3">
      <c r="A653" s="1" t="str">
        <f>HYPERLINK("https://ipmanager.doe.gov/IPManager//ExternalLink.aspx?6ibkph2k9yi6F%2B0Vz7YoTgZwfmYxrNyKxrFFm4xQgog%3D","Link")</f>
        <v>Link</v>
      </c>
      <c r="B653" s="2" t="s">
        <v>2284</v>
      </c>
      <c r="C653" s="2" t="s">
        <v>2270</v>
      </c>
      <c r="D653" s="2" t="s">
        <v>2271</v>
      </c>
      <c r="E653" s="2" t="s">
        <v>2285</v>
      </c>
      <c r="F653" s="2"/>
      <c r="G653" s="2" t="s">
        <v>9</v>
      </c>
      <c r="H653" s="7"/>
      <c r="I653" s="2" t="s">
        <v>9</v>
      </c>
    </row>
    <row r="654" spans="1:9" ht="52" x14ac:dyDescent="0.3">
      <c r="A654" s="1" t="str">
        <f>HYPERLINK("https://ipmanager.doe.gov/IPManager//ExternalLink.aspx?6ibkph2k9yi6F%2B0Vz7YoTgZwfmYxrNyKeuqjtcszdQo%3D","Link")</f>
        <v>Link</v>
      </c>
      <c r="B654" s="2" t="s">
        <v>2286</v>
      </c>
      <c r="C654" s="2" t="s">
        <v>2287</v>
      </c>
      <c r="D654" s="2" t="s">
        <v>2267</v>
      </c>
      <c r="E654" s="2" t="s">
        <v>2288</v>
      </c>
      <c r="F654" s="2"/>
      <c r="G654" s="2" t="s">
        <v>9</v>
      </c>
      <c r="H654" s="7"/>
      <c r="I654" s="2" t="s">
        <v>9</v>
      </c>
    </row>
    <row r="655" spans="1:9" ht="52" x14ac:dyDescent="0.3">
      <c r="A655" s="1" t="str">
        <f>HYPERLINK("https://ipmanager.doe.gov/IPManager//ExternalLink.aspx?6ibkph2k9yi6F%2B0Vz7YoTlNm8snv%2FZpHrPJiXVmMp2A%3D","Link")</f>
        <v>Link</v>
      </c>
      <c r="B655" s="2" t="s">
        <v>2949</v>
      </c>
      <c r="C655" s="2" t="s">
        <v>2942</v>
      </c>
      <c r="D655" s="2" t="s">
        <v>1285</v>
      </c>
      <c r="E655" s="2" t="s">
        <v>2950</v>
      </c>
      <c r="F655" s="2" t="s">
        <v>2951</v>
      </c>
      <c r="G655" s="2" t="s">
        <v>1249</v>
      </c>
      <c r="H655" s="7"/>
      <c r="I655" s="2" t="s">
        <v>9</v>
      </c>
    </row>
    <row r="656" spans="1:9" ht="52" x14ac:dyDescent="0.3">
      <c r="A656" s="1" t="str">
        <f>HYPERLINK("https://ipmanager.doe.gov/IPManager//ExternalLink.aspx?6ibkph2k9yi6F%2B0Vz7YoTq6RR9BlGHHi49FRmytIt30%3D","Link")</f>
        <v>Link</v>
      </c>
      <c r="B656" s="2" t="s">
        <v>2295</v>
      </c>
      <c r="C656" s="2" t="s">
        <v>2287</v>
      </c>
      <c r="D656" s="2" t="s">
        <v>2267</v>
      </c>
      <c r="E656" s="2" t="s">
        <v>2291</v>
      </c>
      <c r="F656" s="2" t="s">
        <v>2294</v>
      </c>
      <c r="G656" s="2" t="s">
        <v>2296</v>
      </c>
      <c r="H656" s="7">
        <v>9879166</v>
      </c>
      <c r="I656" s="2" t="s">
        <v>867</v>
      </c>
    </row>
    <row r="657" spans="1:9" ht="39" x14ac:dyDescent="0.3">
      <c r="A657" s="1" t="str">
        <f>HYPERLINK("https://ipmanager.doe.gov/IPManager//ExternalLink.aspx?6ibkph2k9yi6F%2B0Vz7YoTnXVN2REjGcWm6wlRMuL0hk%3D","Link")</f>
        <v>Link</v>
      </c>
      <c r="B657" s="2" t="s">
        <v>2297</v>
      </c>
      <c r="C657" s="2" t="s">
        <v>2298</v>
      </c>
      <c r="D657" s="2" t="s">
        <v>770</v>
      </c>
      <c r="E657" s="2" t="s">
        <v>2299</v>
      </c>
      <c r="F657" s="2"/>
      <c r="G657" s="2" t="s">
        <v>9</v>
      </c>
      <c r="H657" s="7"/>
      <c r="I657" s="2" t="s">
        <v>9</v>
      </c>
    </row>
    <row r="658" spans="1:9" ht="52" x14ac:dyDescent="0.3">
      <c r="A658" s="1" t="str">
        <f>HYPERLINK("https://ipmanager.doe.gov/IPManager//ExternalLink.aspx?6ibkph2k9yi6F%2B0Vz7YoTjnDGhmGHGI75lcEWAUjJUU%3D","Link")</f>
        <v>Link</v>
      </c>
      <c r="B658" s="2" t="s">
        <v>3449</v>
      </c>
      <c r="C658" s="2" t="s">
        <v>3445</v>
      </c>
      <c r="D658" s="2" t="s">
        <v>1285</v>
      </c>
      <c r="E658" s="2" t="s">
        <v>3448</v>
      </c>
      <c r="F658" s="2" t="s">
        <v>3450</v>
      </c>
      <c r="G658" s="2" t="s">
        <v>2279</v>
      </c>
      <c r="H658" s="7"/>
      <c r="I658" s="2" t="s">
        <v>9</v>
      </c>
    </row>
    <row r="659" spans="1:9" ht="117" x14ac:dyDescent="0.3">
      <c r="A659" s="1" t="str">
        <f>HYPERLINK("https://ipmanager.doe.gov/IPManager//ExternalLink.aspx?6ibkph2k9yi6F%2B0Vz7YoTr7J5I%2BY4foYzHYduUnte9c%3D","Link")</f>
        <v>Link</v>
      </c>
      <c r="B659" s="2" t="s">
        <v>2304</v>
      </c>
      <c r="C659" s="2" t="s">
        <v>2298</v>
      </c>
      <c r="D659" s="2" t="s">
        <v>770</v>
      </c>
      <c r="E659" s="2" t="s">
        <v>2301</v>
      </c>
      <c r="F659" s="2" t="s">
        <v>2305</v>
      </c>
      <c r="G659" s="2" t="s">
        <v>9</v>
      </c>
      <c r="H659" s="7">
        <v>9527741</v>
      </c>
      <c r="I659" s="2" t="s">
        <v>9</v>
      </c>
    </row>
    <row r="660" spans="1:9" ht="39" x14ac:dyDescent="0.3">
      <c r="A660" s="1" t="str">
        <f>HYPERLINK("https://ipmanager.doe.gov/IPManager//ExternalLink.aspx?6ibkph2k9yi6F%2B0Vz7YoTjnDGhmGHGI7z0ZkSRyCO4s%3D","Link")</f>
        <v>Link</v>
      </c>
      <c r="B660" s="2" t="s">
        <v>2306</v>
      </c>
      <c r="C660" s="2" t="s">
        <v>2298</v>
      </c>
      <c r="D660" s="2" t="s">
        <v>778</v>
      </c>
      <c r="E660" s="2" t="s">
        <v>2307</v>
      </c>
      <c r="F660" s="2"/>
      <c r="G660" s="2" t="s">
        <v>9</v>
      </c>
      <c r="H660" s="7"/>
      <c r="I660" s="2" t="s">
        <v>9</v>
      </c>
    </row>
    <row r="661" spans="1:9" ht="39" x14ac:dyDescent="0.3">
      <c r="A661" s="1" t="str">
        <f>HYPERLINK("https://ipmanager.doe.gov/IPManager//ExternalLink.aspx?6ibkph2k9yi6F%2B0Vz7YoTjnDGhmGHGI7Ic0MpvCH%2BBM%3D","Link")</f>
        <v>Link</v>
      </c>
      <c r="B661" s="2" t="s">
        <v>2308</v>
      </c>
      <c r="C661" s="2" t="s">
        <v>2298</v>
      </c>
      <c r="D661" s="2" t="s">
        <v>778</v>
      </c>
      <c r="E661" s="2" t="s">
        <v>2309</v>
      </c>
      <c r="F661" s="2"/>
      <c r="G661" s="2" t="s">
        <v>9</v>
      </c>
      <c r="H661" s="7"/>
      <c r="I661" s="2" t="s">
        <v>9</v>
      </c>
    </row>
    <row r="662" spans="1:9" ht="26" x14ac:dyDescent="0.3">
      <c r="A662" s="1" t="str">
        <f>HYPERLINK("https://ipmanager.doe.gov/IPManager//ExternalLink.aspx?6ibkph2k9yi6F%2B0Vz7YoTjnDGhmGHGI7FhB%2F0gYShpU%3D","Link")</f>
        <v>Link</v>
      </c>
      <c r="B662" s="2" t="s">
        <v>3451</v>
      </c>
      <c r="C662" s="2" t="s">
        <v>3445</v>
      </c>
      <c r="D662" s="2" t="s">
        <v>1285</v>
      </c>
      <c r="E662" s="2" t="s">
        <v>3452</v>
      </c>
      <c r="F662" s="2" t="s">
        <v>3453</v>
      </c>
      <c r="G662" s="2" t="s">
        <v>2418</v>
      </c>
      <c r="H662" s="7"/>
      <c r="I662" s="2" t="s">
        <v>9</v>
      </c>
    </row>
    <row r="663" spans="1:9" ht="52" x14ac:dyDescent="0.3">
      <c r="A663" s="1" t="str">
        <f>HYPERLINK("https://ipmanager.doe.gov/IPManager//ExternalLink.aspx?6ibkph2k9yi6F%2B0Vz7YoTipZ798QK%2BbPW3juZPuR9d0%3D","Link")</f>
        <v>Link</v>
      </c>
      <c r="B663" s="2" t="s">
        <v>2314</v>
      </c>
      <c r="C663" s="2" t="s">
        <v>2315</v>
      </c>
      <c r="D663" s="2" t="s">
        <v>2316</v>
      </c>
      <c r="E663" s="2" t="s">
        <v>2317</v>
      </c>
      <c r="F663" s="2"/>
      <c r="G663" s="2" t="s">
        <v>9</v>
      </c>
      <c r="H663" s="7"/>
      <c r="I663" s="2" t="s">
        <v>9</v>
      </c>
    </row>
    <row r="664" spans="1:9" ht="39" x14ac:dyDescent="0.3">
      <c r="A664" s="1" t="str">
        <f>HYPERLINK("https://ipmanager.doe.gov/IPManager//ExternalLink.aspx?6ibkph2k9yi6F%2B0Vz7YoTgZwfmYxrNyKZImZ3FeRWuY%3D","Link")</f>
        <v>Link</v>
      </c>
      <c r="B664" s="2" t="s">
        <v>3459</v>
      </c>
      <c r="C664" s="2" t="s">
        <v>3445</v>
      </c>
      <c r="D664" s="2" t="s">
        <v>1285</v>
      </c>
      <c r="E664" s="2" t="s">
        <v>3446</v>
      </c>
      <c r="F664" s="2" t="s">
        <v>3460</v>
      </c>
      <c r="G664" s="2" t="s">
        <v>3461</v>
      </c>
      <c r="H664" s="7"/>
      <c r="I664" s="2" t="s">
        <v>9</v>
      </c>
    </row>
    <row r="665" spans="1:9" ht="52" x14ac:dyDescent="0.3">
      <c r="A665" s="1" t="str">
        <f>HYPERLINK("https://ipmanager.doe.gov/IPManager//ExternalLink.aspx?6ibkph2k9yi6F%2B0Vz7YoTipZ798QK%2BbPFO8gNKxbQbM%3D","Link")</f>
        <v>Link</v>
      </c>
      <c r="B665" s="2" t="s">
        <v>2321</v>
      </c>
      <c r="C665" s="2" t="s">
        <v>2315</v>
      </c>
      <c r="D665" s="2" t="s">
        <v>2316</v>
      </c>
      <c r="E665" s="2" t="s">
        <v>2322</v>
      </c>
      <c r="F665" s="2"/>
      <c r="G665" s="2" t="s">
        <v>9</v>
      </c>
      <c r="H665" s="7"/>
      <c r="I665" s="2" t="s">
        <v>9</v>
      </c>
    </row>
    <row r="666" spans="1:9" ht="26" x14ac:dyDescent="0.3">
      <c r="A666" s="1" t="str">
        <f>HYPERLINK("https://ipmanager.doe.gov/IPManager//ExternalLink.aspx?6ibkph2k9yi6F%2B0Vz7YoTr7J5I%2BY4foYQ1gXQnZ5cB0%3D","Link")</f>
        <v>Link</v>
      </c>
      <c r="B666" s="2" t="s">
        <v>3727</v>
      </c>
      <c r="C666" s="2" t="s">
        <v>3718</v>
      </c>
      <c r="D666" s="2" t="s">
        <v>3719</v>
      </c>
      <c r="E666" s="2" t="s">
        <v>3728</v>
      </c>
      <c r="F666" s="2" t="s">
        <v>3729</v>
      </c>
      <c r="G666" s="2" t="s">
        <v>1357</v>
      </c>
      <c r="H666" s="7"/>
      <c r="I666" s="2" t="s">
        <v>9</v>
      </c>
    </row>
    <row r="667" spans="1:9" ht="65" x14ac:dyDescent="0.3">
      <c r="A667" s="1" t="str">
        <f>HYPERLINK("https://ipmanager.doe.gov/IPManager//ExternalLink.aspx?6ibkph2k9yi6F%2B0Vz7YoTk2BI6w%2FjZ2f2%2BWpaWZn1XY%3D","Link")</f>
        <v>Link</v>
      </c>
      <c r="B667" s="2" t="s">
        <v>2327</v>
      </c>
      <c r="C667" s="2" t="s">
        <v>2315</v>
      </c>
      <c r="D667" s="2" t="s">
        <v>2316</v>
      </c>
      <c r="E667" s="2" t="s">
        <v>2328</v>
      </c>
      <c r="F667" s="2"/>
      <c r="G667" s="2" t="s">
        <v>9</v>
      </c>
      <c r="H667" s="7"/>
      <c r="I667" s="2" t="s">
        <v>9</v>
      </c>
    </row>
    <row r="668" spans="1:9" ht="52" x14ac:dyDescent="0.3">
      <c r="A668" s="1" t="str">
        <f>HYPERLINK("https://ipmanager.doe.gov/IPManager//ExternalLink.aspx?6ibkph2k9yi6F%2B0Vz7YoTk2BI6w%2FjZ2fOMPAE%2Fo%2BLoc%3D","Link")</f>
        <v>Link</v>
      </c>
      <c r="B668" s="2" t="s">
        <v>2330</v>
      </c>
      <c r="C668" s="2" t="s">
        <v>2315</v>
      </c>
      <c r="D668" s="2" t="s">
        <v>2316</v>
      </c>
      <c r="E668" s="2" t="s">
        <v>2331</v>
      </c>
      <c r="F668" s="2"/>
      <c r="G668" s="2" t="s">
        <v>9</v>
      </c>
      <c r="H668" s="7"/>
      <c r="I668" s="2" t="s">
        <v>9</v>
      </c>
    </row>
    <row r="669" spans="1:9" ht="52" x14ac:dyDescent="0.3">
      <c r="A669" s="1" t="str">
        <f>HYPERLINK("https://ipmanager.doe.gov/IPManager//ExternalLink.aspx?6ibkph2k9yi6F%2B0Vz7YoTgZwfmYxrNyKDYQ1EvrcnMw%3D","Link")</f>
        <v>Link</v>
      </c>
      <c r="B669" s="2" t="s">
        <v>2332</v>
      </c>
      <c r="C669" s="2" t="s">
        <v>2315</v>
      </c>
      <c r="D669" s="2" t="s">
        <v>2316</v>
      </c>
      <c r="E669" s="2" t="s">
        <v>2333</v>
      </c>
      <c r="F669" s="2"/>
      <c r="G669" s="2" t="s">
        <v>9</v>
      </c>
      <c r="H669" s="7"/>
      <c r="I669" s="2" t="s">
        <v>9</v>
      </c>
    </row>
    <row r="670" spans="1:9" ht="26" x14ac:dyDescent="0.3">
      <c r="A670" s="1" t="str">
        <f>HYPERLINK("https://ipmanager.doe.gov/IPManager//ExternalLink.aspx?6ibkph2k9yi6F%2B0Vz7YoTlNm8snv%2FZpHC23vcIyyw24%3D","Link")</f>
        <v>Link</v>
      </c>
      <c r="B670" s="2" t="s">
        <v>2334</v>
      </c>
      <c r="C670" s="2" t="s">
        <v>2315</v>
      </c>
      <c r="D670" s="2" t="s">
        <v>2316</v>
      </c>
      <c r="E670" s="2" t="s">
        <v>2335</v>
      </c>
      <c r="F670" s="2"/>
      <c r="G670" s="2" t="s">
        <v>9</v>
      </c>
      <c r="H670" s="7"/>
      <c r="I670" s="2" t="s">
        <v>9</v>
      </c>
    </row>
    <row r="671" spans="1:9" ht="39" x14ac:dyDescent="0.3">
      <c r="A671" s="1" t="str">
        <f>HYPERLINK("https://ipmanager.doe.gov/IPManager//ExternalLink.aspx?6ibkph2k9yi6F%2B0Vz7YoTjnDGhmGHGI7JwHvcbPCwsw%3D","Link")</f>
        <v>Link</v>
      </c>
      <c r="B671" s="2" t="s">
        <v>3957</v>
      </c>
      <c r="C671" s="2" t="s">
        <v>3958</v>
      </c>
      <c r="D671" s="2" t="s">
        <v>1793</v>
      </c>
      <c r="E671" s="2" t="s">
        <v>3959</v>
      </c>
      <c r="F671" s="2" t="s">
        <v>3960</v>
      </c>
      <c r="G671" s="2" t="s">
        <v>1346</v>
      </c>
      <c r="H671" s="7"/>
      <c r="I671" s="2" t="s">
        <v>9</v>
      </c>
    </row>
    <row r="672" spans="1:9" ht="26" x14ac:dyDescent="0.3">
      <c r="A672" s="1" t="str">
        <f>HYPERLINK("https://ipmanager.doe.gov/IPManager//ExternalLink.aspx?6ibkph2k9yi6F%2B0Vz7YoTjnDGhmGHGI76i6iVUpYx80%3D","Link")</f>
        <v>Link</v>
      </c>
      <c r="B672" s="2" t="s">
        <v>3966</v>
      </c>
      <c r="C672" s="2" t="s">
        <v>3958</v>
      </c>
      <c r="D672" s="2" t="s">
        <v>1793</v>
      </c>
      <c r="E672" s="2" t="s">
        <v>3967</v>
      </c>
      <c r="F672" s="2" t="s">
        <v>3968</v>
      </c>
      <c r="G672" s="2" t="s">
        <v>306</v>
      </c>
      <c r="H672" s="7"/>
      <c r="I672" s="2" t="s">
        <v>9</v>
      </c>
    </row>
    <row r="673" spans="1:9" ht="39" x14ac:dyDescent="0.3">
      <c r="A673" s="1" t="str">
        <f>HYPERLINK("https://ipmanager.doe.gov/IPManager//ExternalLink.aspx?6ibkph2k9yi6F%2B0Vz7YoTk2BI6w%2FjZ2fl6F8Xtpxk3o%3D","Link")</f>
        <v>Link</v>
      </c>
      <c r="B673" s="2" t="s">
        <v>2341</v>
      </c>
      <c r="C673" s="2" t="s">
        <v>2315</v>
      </c>
      <c r="D673" s="2" t="s">
        <v>348</v>
      </c>
      <c r="E673" s="2" t="s">
        <v>2342</v>
      </c>
      <c r="F673" s="2"/>
      <c r="G673" s="2" t="s">
        <v>9</v>
      </c>
      <c r="H673" s="7"/>
      <c r="I673" s="2" t="s">
        <v>9</v>
      </c>
    </row>
    <row r="674" spans="1:9" ht="39" x14ac:dyDescent="0.3">
      <c r="A674" s="1" t="str">
        <f>HYPERLINK("https://ipmanager.doe.gov/IPManager//ExternalLink.aspx?6ibkph2k9yi6F%2B0Vz7YoTr7J5I%2BY4foYZ%2Fpvb8%2Fompo%3D","Link")</f>
        <v>Link</v>
      </c>
      <c r="B674" s="2" t="s">
        <v>3969</v>
      </c>
      <c r="C674" s="2" t="s">
        <v>3958</v>
      </c>
      <c r="D674" s="2" t="s">
        <v>1793</v>
      </c>
      <c r="E674" s="2" t="s">
        <v>3970</v>
      </c>
      <c r="F674" s="2" t="s">
        <v>3971</v>
      </c>
      <c r="G674" s="2" t="s">
        <v>3972</v>
      </c>
      <c r="H674" s="7"/>
      <c r="I674" s="2" t="s">
        <v>9</v>
      </c>
    </row>
    <row r="675" spans="1:9" ht="52" x14ac:dyDescent="0.3">
      <c r="A675" s="1" t="str">
        <f>HYPERLINK("https://ipmanager.doe.gov/IPManager//ExternalLink.aspx?6ibkph2k9yi6F%2B0Vz7YoTipZ798QK%2BbPTWidlN8e%2FP8%3D","Link")</f>
        <v>Link</v>
      </c>
      <c r="B675" s="2" t="s">
        <v>2347</v>
      </c>
      <c r="C675" s="2" t="s">
        <v>2315</v>
      </c>
      <c r="D675" s="2" t="s">
        <v>2316</v>
      </c>
      <c r="E675" s="2" t="s">
        <v>2348</v>
      </c>
      <c r="F675" s="2"/>
      <c r="G675" s="2" t="s">
        <v>9</v>
      </c>
      <c r="H675" s="7"/>
      <c r="I675" s="2" t="s">
        <v>9</v>
      </c>
    </row>
    <row r="676" spans="1:9" ht="52" x14ac:dyDescent="0.3">
      <c r="A676" s="1" t="str">
        <f>HYPERLINK("https://ipmanager.doe.gov/IPManager//ExternalLink.aspx?6ibkph2k9yi6F%2B0Vz7YoTlNm8snv%2FZpHD%2BrCvOeaVpc%3D","Link")</f>
        <v>Link</v>
      </c>
      <c r="B676" s="2" t="s">
        <v>2349</v>
      </c>
      <c r="C676" s="2" t="s">
        <v>2315</v>
      </c>
      <c r="D676" s="2" t="s">
        <v>2316</v>
      </c>
      <c r="E676" s="2" t="s">
        <v>2350</v>
      </c>
      <c r="F676" s="2"/>
      <c r="G676" s="2" t="s">
        <v>9</v>
      </c>
      <c r="H676" s="7"/>
      <c r="I676" s="2" t="s">
        <v>9</v>
      </c>
    </row>
    <row r="677" spans="1:9" ht="65" x14ac:dyDescent="0.3">
      <c r="A677" s="1" t="str">
        <f>HYPERLINK("https://ipmanager.doe.gov/IPManager//ExternalLink.aspx?6ibkph2k9yi6F%2B0Vz7YoTlNm8snv%2FZpHV55%2FxeHyU6w%3D","Link")</f>
        <v>Link</v>
      </c>
      <c r="B677" s="2" t="s">
        <v>2351</v>
      </c>
      <c r="C677" s="2" t="s">
        <v>2315</v>
      </c>
      <c r="D677" s="2" t="s">
        <v>2316</v>
      </c>
      <c r="E677" s="2" t="s">
        <v>2352</v>
      </c>
      <c r="F677" s="2"/>
      <c r="G677" s="2" t="s">
        <v>9</v>
      </c>
      <c r="H677" s="7"/>
      <c r="I677" s="2" t="s">
        <v>9</v>
      </c>
    </row>
    <row r="678" spans="1:9" ht="39" x14ac:dyDescent="0.3">
      <c r="A678" s="1" t="str">
        <f>HYPERLINK("https://ipmanager.doe.gov/IPManager//ExternalLink.aspx?6ibkph2k9yi6F%2B0Vz7YoTlNm8snv%2FZpHfbniSmNfKYA%3D","Link")</f>
        <v>Link</v>
      </c>
      <c r="B678" s="2" t="s">
        <v>2353</v>
      </c>
      <c r="C678" s="2" t="s">
        <v>2354</v>
      </c>
      <c r="D678" s="2" t="s">
        <v>2019</v>
      </c>
      <c r="E678" s="2" t="s">
        <v>2355</v>
      </c>
      <c r="F678" s="2"/>
      <c r="G678" s="2" t="s">
        <v>9</v>
      </c>
      <c r="H678" s="7"/>
      <c r="I678" s="2" t="s">
        <v>9</v>
      </c>
    </row>
    <row r="679" spans="1:9" ht="39" x14ac:dyDescent="0.3">
      <c r="A679" s="1" t="str">
        <f>HYPERLINK("https://ipmanager.doe.gov/IPManager//ExternalLink.aspx?6ibkph2k9yi6F%2B0Vz7YoTlNm8snv%2FZpHv9kSY2Fu6kM%3D","Link")</f>
        <v>Link</v>
      </c>
      <c r="B679" s="2" t="s">
        <v>2356</v>
      </c>
      <c r="C679" s="2" t="s">
        <v>2354</v>
      </c>
      <c r="D679" s="2" t="s">
        <v>2019</v>
      </c>
      <c r="E679" s="2" t="s">
        <v>2357</v>
      </c>
      <c r="F679" s="2"/>
      <c r="G679" s="2" t="s">
        <v>9</v>
      </c>
      <c r="H679" s="7"/>
      <c r="I679" s="2" t="s">
        <v>9</v>
      </c>
    </row>
    <row r="680" spans="1:9" ht="39" x14ac:dyDescent="0.3">
      <c r="A680" s="1" t="str">
        <f>HYPERLINK("https://ipmanager.doe.gov/IPManager//ExternalLink.aspx?6ibkph2k9yi6F%2B0Vz7YoTk2BI6w%2FjZ2fq9EmDit5VvM%3D","Link")</f>
        <v>Link</v>
      </c>
      <c r="B680" s="2" t="s">
        <v>2358</v>
      </c>
      <c r="C680" s="2" t="s">
        <v>2354</v>
      </c>
      <c r="D680" s="2" t="s">
        <v>2019</v>
      </c>
      <c r="E680" s="2" t="s">
        <v>2359</v>
      </c>
      <c r="F680" s="2"/>
      <c r="G680" s="2" t="s">
        <v>9</v>
      </c>
      <c r="H680" s="7"/>
      <c r="I680" s="2" t="s">
        <v>9</v>
      </c>
    </row>
    <row r="681" spans="1:9" ht="39" x14ac:dyDescent="0.3">
      <c r="A681" s="1" t="str">
        <f>HYPERLINK("https://ipmanager.doe.gov/IPManager//ExternalLink.aspx?6ibkph2k9yi6F%2B0Vz7YoTlNm8snv%2FZpHR%2FHhAC1fdHc%3D","Link")</f>
        <v>Link</v>
      </c>
      <c r="B681" s="2" t="s">
        <v>2360</v>
      </c>
      <c r="C681" s="2" t="s">
        <v>2354</v>
      </c>
      <c r="D681" s="2" t="s">
        <v>2019</v>
      </c>
      <c r="E681" s="2" t="s">
        <v>2361</v>
      </c>
      <c r="F681" s="2"/>
      <c r="G681" s="2" t="s">
        <v>9</v>
      </c>
      <c r="H681" s="7"/>
      <c r="I681" s="2" t="s">
        <v>9</v>
      </c>
    </row>
    <row r="682" spans="1:9" ht="52" x14ac:dyDescent="0.3">
      <c r="A682" s="1" t="str">
        <f>HYPERLINK("https://ipmanager.doe.gov/IPManager//ExternalLink.aspx?6ibkph2k9yi6F%2B0Vz7YoTlNm8snv%2FZpHc5T9yI0aOZA%3D","Link")</f>
        <v>Link</v>
      </c>
      <c r="B682" s="2" t="s">
        <v>2362</v>
      </c>
      <c r="C682" s="2" t="s">
        <v>2354</v>
      </c>
      <c r="D682" s="2" t="s">
        <v>2019</v>
      </c>
      <c r="E682" s="2" t="s">
        <v>2363</v>
      </c>
      <c r="F682" s="2"/>
      <c r="G682" s="2" t="s">
        <v>9</v>
      </c>
      <c r="H682" s="7"/>
      <c r="I682" s="2" t="s">
        <v>9</v>
      </c>
    </row>
    <row r="683" spans="1:9" ht="52" x14ac:dyDescent="0.3">
      <c r="A683" s="1" t="str">
        <f>HYPERLINK("https://ipmanager.doe.gov/IPManager//ExternalLink.aspx?6ibkph2k9yi6F%2B0Vz7YoTk2BI6w%2FjZ2fuKpU3BYODdQ%3D","Link")</f>
        <v>Link</v>
      </c>
      <c r="B683" s="2" t="s">
        <v>2364</v>
      </c>
      <c r="C683" s="2" t="s">
        <v>2354</v>
      </c>
      <c r="D683" s="2" t="s">
        <v>2019</v>
      </c>
      <c r="E683" s="2" t="s">
        <v>2365</v>
      </c>
      <c r="F683" s="2"/>
      <c r="G683" s="2" t="s">
        <v>9</v>
      </c>
      <c r="H683" s="7"/>
      <c r="I683" s="2" t="s">
        <v>9</v>
      </c>
    </row>
    <row r="684" spans="1:9" ht="52" x14ac:dyDescent="0.3">
      <c r="A684" s="1" t="str">
        <f>HYPERLINK("https://ipmanager.doe.gov/IPManager//ExternalLink.aspx?6ibkph2k9yi6F%2B0Vz7YoTipZ798QK%2BbPczVcIVYo8EA%3D","Link")</f>
        <v>Link</v>
      </c>
      <c r="B684" s="2" t="s">
        <v>2366</v>
      </c>
      <c r="C684" s="2" t="s">
        <v>2354</v>
      </c>
      <c r="D684" s="2" t="s">
        <v>2019</v>
      </c>
      <c r="E684" s="2" t="s">
        <v>2367</v>
      </c>
      <c r="F684" s="2"/>
      <c r="G684" s="2" t="s">
        <v>9</v>
      </c>
      <c r="H684" s="7"/>
      <c r="I684" s="2" t="s">
        <v>9</v>
      </c>
    </row>
    <row r="685" spans="1:9" ht="39" x14ac:dyDescent="0.3">
      <c r="A685" s="1" t="str">
        <f>HYPERLINK("https://ipmanager.doe.gov/IPManager//ExternalLink.aspx?6ibkph2k9yi6F%2B0Vz7YoTipZ798QK%2BbPoX5IER%2FAk7s%3D","Link")</f>
        <v>Link</v>
      </c>
      <c r="B685" s="2" t="s">
        <v>2368</v>
      </c>
      <c r="C685" s="2" t="s">
        <v>2354</v>
      </c>
      <c r="D685" s="2" t="s">
        <v>2019</v>
      </c>
      <c r="E685" s="2" t="s">
        <v>2369</v>
      </c>
      <c r="F685" s="2"/>
      <c r="G685" s="2" t="s">
        <v>9</v>
      </c>
      <c r="H685" s="7"/>
      <c r="I685" s="2" t="s">
        <v>9</v>
      </c>
    </row>
    <row r="686" spans="1:9" ht="39" x14ac:dyDescent="0.3">
      <c r="A686" s="1" t="str">
        <f>HYPERLINK("https://ipmanager.doe.gov/IPManager//ExternalLink.aspx?6ibkph2k9yi6F%2B0Vz7YoTipZ798QK%2BbP5zM71GkX6fE%3D","Link")</f>
        <v>Link</v>
      </c>
      <c r="B686" s="2" t="s">
        <v>2370</v>
      </c>
      <c r="C686" s="2" t="s">
        <v>2354</v>
      </c>
      <c r="D686" s="2" t="s">
        <v>2019</v>
      </c>
      <c r="E686" s="2" t="s">
        <v>2371</v>
      </c>
      <c r="F686" s="2"/>
      <c r="G686" s="2" t="s">
        <v>9</v>
      </c>
      <c r="H686" s="7"/>
      <c r="I686" s="2" t="s">
        <v>9</v>
      </c>
    </row>
    <row r="687" spans="1:9" ht="39" x14ac:dyDescent="0.3">
      <c r="A687" s="1" t="str">
        <f>HYPERLINK("https://ipmanager.doe.gov/IPManager//ExternalLink.aspx?6ibkph2k9yi6F%2B0Vz7YoTipZ798QK%2BbPmfs7qo1Jlyc%3D","Link")</f>
        <v>Link</v>
      </c>
      <c r="B687" s="2" t="s">
        <v>2372</v>
      </c>
      <c r="C687" s="2" t="s">
        <v>2354</v>
      </c>
      <c r="D687" s="2" t="s">
        <v>2019</v>
      </c>
      <c r="E687" s="2" t="s">
        <v>2373</v>
      </c>
      <c r="F687" s="2"/>
      <c r="G687" s="2" t="s">
        <v>9</v>
      </c>
      <c r="H687" s="7"/>
      <c r="I687" s="2" t="s">
        <v>9</v>
      </c>
    </row>
    <row r="688" spans="1:9" ht="52" x14ac:dyDescent="0.3">
      <c r="A688" s="1" t="str">
        <f>HYPERLINK("https://ipmanager.doe.gov/IPManager//ExternalLink.aspx?6ibkph2k9yi6F%2B0Vz7YoTipZ798QK%2BbPk8uBVav4g4w%3D","Link")</f>
        <v>Link</v>
      </c>
      <c r="B688" s="2" t="s">
        <v>2375</v>
      </c>
      <c r="C688" s="2" t="s">
        <v>2354</v>
      </c>
      <c r="D688" s="2" t="s">
        <v>2019</v>
      </c>
      <c r="E688" s="2" t="s">
        <v>2376</v>
      </c>
      <c r="F688" s="2"/>
      <c r="G688" s="2" t="s">
        <v>9</v>
      </c>
      <c r="H688" s="7"/>
      <c r="I688" s="2" t="s">
        <v>9</v>
      </c>
    </row>
    <row r="689" spans="1:9" ht="39" x14ac:dyDescent="0.3">
      <c r="A689" s="1" t="str">
        <f>HYPERLINK("https://ipmanager.doe.gov/IPManager//ExternalLink.aspx?6ibkph2k9yi6F%2B0Vz7YoTipZ798QK%2BbPqmMffQFkc8s%3D","Link")</f>
        <v>Link</v>
      </c>
      <c r="B689" s="2" t="s">
        <v>2377</v>
      </c>
      <c r="C689" s="2" t="s">
        <v>2354</v>
      </c>
      <c r="D689" s="2" t="s">
        <v>2019</v>
      </c>
      <c r="E689" s="2" t="s">
        <v>2378</v>
      </c>
      <c r="F689" s="2"/>
      <c r="G689" s="2" t="s">
        <v>9</v>
      </c>
      <c r="H689" s="7"/>
      <c r="I689" s="2" t="s">
        <v>9</v>
      </c>
    </row>
    <row r="690" spans="1:9" ht="52" x14ac:dyDescent="0.3">
      <c r="A690" s="1" t="str">
        <f>HYPERLINK("https://ipmanager.doe.gov/IPManager//ExternalLink.aspx?6ibkph2k9yi6F%2B0Vz7YoTjnDGhmGHGI7IXVW4WGQBk8%3D","Link")</f>
        <v>Link</v>
      </c>
      <c r="B690" s="2" t="s">
        <v>2379</v>
      </c>
      <c r="C690" s="2" t="s">
        <v>2354</v>
      </c>
      <c r="D690" s="2" t="s">
        <v>2019</v>
      </c>
      <c r="E690" s="2" t="s">
        <v>2380</v>
      </c>
      <c r="F690" s="2"/>
      <c r="G690" s="2" t="s">
        <v>9</v>
      </c>
      <c r="H690" s="7"/>
      <c r="I690" s="2" t="s">
        <v>9</v>
      </c>
    </row>
    <row r="691" spans="1:9" ht="52" x14ac:dyDescent="0.3">
      <c r="A691" s="1" t="str">
        <f>HYPERLINK("https://ipmanager.doe.gov/IPManager//ExternalLink.aspx?6ibkph2k9yi6F%2B0Vz7YoTjnDGhmGHGI7qmBWLPC90Xc%3D","Link")</f>
        <v>Link</v>
      </c>
      <c r="B691" s="2" t="s">
        <v>2381</v>
      </c>
      <c r="C691" s="2" t="s">
        <v>2354</v>
      </c>
      <c r="D691" s="2" t="s">
        <v>2019</v>
      </c>
      <c r="E691" s="2" t="s">
        <v>2382</v>
      </c>
      <c r="F691" s="2"/>
      <c r="G691" s="2" t="s">
        <v>9</v>
      </c>
      <c r="H691" s="7"/>
      <c r="I691" s="2" t="s">
        <v>9</v>
      </c>
    </row>
    <row r="692" spans="1:9" ht="39" x14ac:dyDescent="0.3">
      <c r="A692" s="1" t="str">
        <f>HYPERLINK("https://ipmanager.doe.gov/IPManager//ExternalLink.aspx?6ibkph2k9yi6F%2B0Vz7YoTlNm8snv%2FZpHFB3iclywzKw%3D","Link")</f>
        <v>Link</v>
      </c>
      <c r="B692" s="2" t="s">
        <v>2383</v>
      </c>
      <c r="C692" s="2" t="s">
        <v>2354</v>
      </c>
      <c r="D692" s="2" t="s">
        <v>2019</v>
      </c>
      <c r="E692" s="2" t="s">
        <v>2384</v>
      </c>
      <c r="F692" s="2"/>
      <c r="G692" s="2" t="s">
        <v>9</v>
      </c>
      <c r="H692" s="7"/>
      <c r="I692" s="2" t="s">
        <v>9</v>
      </c>
    </row>
    <row r="693" spans="1:9" ht="52" x14ac:dyDescent="0.3">
      <c r="A693" s="1" t="str">
        <f>HYPERLINK("https://ipmanager.doe.gov/IPManager//ExternalLink.aspx?6ibkph2k9yi6F%2B0Vz7YoTlNm8snv%2FZpHfU%2Fnfe%2Fbgig%3D","Link")</f>
        <v>Link</v>
      </c>
      <c r="B693" s="2" t="s">
        <v>2385</v>
      </c>
      <c r="C693" s="2" t="s">
        <v>2354</v>
      </c>
      <c r="D693" s="2" t="s">
        <v>2019</v>
      </c>
      <c r="E693" s="2" t="s">
        <v>2386</v>
      </c>
      <c r="F693" s="2"/>
      <c r="G693" s="2" t="s">
        <v>9</v>
      </c>
      <c r="H693" s="7"/>
      <c r="I693" s="2" t="s">
        <v>9</v>
      </c>
    </row>
    <row r="694" spans="1:9" ht="39" x14ac:dyDescent="0.3">
      <c r="A694" s="1" t="str">
        <f>HYPERLINK("https://ipmanager.doe.gov/IPManager//ExternalLink.aspx?6ibkph2k9yi6F%2B0Vz7YoTvPUg%2FVZPl3igbpnkIYPGJU%3D","Link")</f>
        <v>Link</v>
      </c>
      <c r="B694" s="2" t="s">
        <v>3973</v>
      </c>
      <c r="C694" s="2" t="s">
        <v>3958</v>
      </c>
      <c r="D694" s="2" t="s">
        <v>1793</v>
      </c>
      <c r="E694" s="2" t="s">
        <v>3974</v>
      </c>
      <c r="F694" s="2" t="s">
        <v>3975</v>
      </c>
      <c r="G694" s="2" t="s">
        <v>155</v>
      </c>
      <c r="H694" s="7"/>
      <c r="I694" s="2" t="s">
        <v>9</v>
      </c>
    </row>
    <row r="695" spans="1:9" ht="52" x14ac:dyDescent="0.3">
      <c r="A695" s="1" t="str">
        <f>HYPERLINK("https://ipmanager.doe.gov/IPManager//ExternalLink.aspx?6ibkph2k9yi6F%2B0Vz7YoTvPUg%2FVZPl3i2DSahXei7yQ%3D","Link")</f>
        <v>Link</v>
      </c>
      <c r="B695" s="2" t="s">
        <v>3981</v>
      </c>
      <c r="C695" s="2" t="s">
        <v>3958</v>
      </c>
      <c r="D695" s="2" t="s">
        <v>1793</v>
      </c>
      <c r="E695" s="2" t="s">
        <v>3982</v>
      </c>
      <c r="F695" s="2" t="s">
        <v>3983</v>
      </c>
      <c r="G695" s="2" t="s">
        <v>3984</v>
      </c>
      <c r="H695" s="7"/>
      <c r="I695" s="2" t="s">
        <v>9</v>
      </c>
    </row>
    <row r="696" spans="1:9" ht="52" x14ac:dyDescent="0.3">
      <c r="A696" s="1" t="str">
        <f>HYPERLINK("https://ipmanager.doe.gov/IPManager//ExternalLink.aspx?6ibkph2k9yi6F%2B0Vz7YoTgZwfmYxrNyKnFLsaL5WgrY%3D","Link")</f>
        <v>Link</v>
      </c>
      <c r="B696" s="2" t="s">
        <v>5415</v>
      </c>
      <c r="C696" s="2" t="s">
        <v>5409</v>
      </c>
      <c r="D696" s="2" t="s">
        <v>1793</v>
      </c>
      <c r="E696" s="2" t="s">
        <v>5416</v>
      </c>
      <c r="F696" s="2" t="s">
        <v>5417</v>
      </c>
      <c r="G696" s="2" t="s">
        <v>3187</v>
      </c>
      <c r="H696" s="7"/>
      <c r="I696" s="2" t="s">
        <v>9</v>
      </c>
    </row>
    <row r="697" spans="1:9" ht="65" x14ac:dyDescent="0.3">
      <c r="A697" s="1" t="str">
        <f>HYPERLINK("https://ipmanager.doe.gov/IPManager//ExternalLink.aspx?6ibkph2k9yi6F%2B0Vz7YoTq6RR9BlGHHi3D%2Bf5WyXaVk%3D","Link")</f>
        <v>Link</v>
      </c>
      <c r="B697" s="2" t="s">
        <v>5418</v>
      </c>
      <c r="C697" s="2" t="s">
        <v>5409</v>
      </c>
      <c r="D697" s="2" t="s">
        <v>1793</v>
      </c>
      <c r="E697" s="2" t="s">
        <v>5419</v>
      </c>
      <c r="F697" s="2" t="s">
        <v>5420</v>
      </c>
      <c r="G697" s="2" t="s">
        <v>5421</v>
      </c>
      <c r="H697" s="7"/>
      <c r="I697" s="2" t="s">
        <v>9</v>
      </c>
    </row>
    <row r="698" spans="1:9" ht="26" x14ac:dyDescent="0.3">
      <c r="A698" s="1" t="str">
        <f>HYPERLINK("https://ipmanager.doe.gov/IPManager//ExternalLink.aspx?6ibkph2k9yi6F%2B0Vz7YoTq6RR9BlGHHiVYhuvzFR%2FXw%3D","Link")</f>
        <v>Link</v>
      </c>
      <c r="B698" s="2" t="s">
        <v>5930</v>
      </c>
      <c r="C698" s="2" t="s">
        <v>5924</v>
      </c>
      <c r="D698" s="2" t="s">
        <v>1793</v>
      </c>
      <c r="E698" s="2" t="s">
        <v>5931</v>
      </c>
      <c r="F698" s="2" t="s">
        <v>5932</v>
      </c>
      <c r="G698" s="2" t="s">
        <v>5933</v>
      </c>
      <c r="H698" s="7"/>
      <c r="I698" s="2" t="s">
        <v>9</v>
      </c>
    </row>
    <row r="699" spans="1:9" ht="26" x14ac:dyDescent="0.3">
      <c r="A699" s="1" t="str">
        <f>HYPERLINK("https://ipmanager.doe.gov/IPManager//ExternalLink.aspx?6ibkph2k9yi6F%2B0Vz7YoTvPUg%2FVZPl3inknHVNCBGwI%3D","Link")</f>
        <v>Link</v>
      </c>
      <c r="B699" s="2" t="s">
        <v>2406</v>
      </c>
      <c r="C699" s="2" t="s">
        <v>2392</v>
      </c>
      <c r="D699" s="2" t="s">
        <v>1663</v>
      </c>
      <c r="E699" s="2" t="s">
        <v>2410</v>
      </c>
      <c r="F699" s="2"/>
      <c r="G699" s="2" t="s">
        <v>9</v>
      </c>
      <c r="H699" s="7"/>
      <c r="I699" s="2" t="s">
        <v>9</v>
      </c>
    </row>
    <row r="700" spans="1:9" ht="65" x14ac:dyDescent="0.3">
      <c r="A700" s="1" t="str">
        <f>HYPERLINK("https://ipmanager.doe.gov/IPManager//ExternalLink.aspx?6ibkph2k9yi6F%2B0Vz7YoTvPUg%2FVZPl3ilvzoUSyOxOY%3D","Link")</f>
        <v>Link</v>
      </c>
      <c r="B700" s="2" t="s">
        <v>2412</v>
      </c>
      <c r="C700" s="2" t="s">
        <v>2392</v>
      </c>
      <c r="D700" s="2" t="s">
        <v>1663</v>
      </c>
      <c r="E700" s="2" t="s">
        <v>2413</v>
      </c>
      <c r="F700" s="2" t="s">
        <v>2401</v>
      </c>
      <c r="G700" s="2" t="s">
        <v>2414</v>
      </c>
      <c r="H700" s="8">
        <v>9669379</v>
      </c>
      <c r="I700" s="2" t="s">
        <v>2415</v>
      </c>
    </row>
    <row r="701" spans="1:9" ht="78" x14ac:dyDescent="0.3">
      <c r="A701" s="1" t="str">
        <f>HYPERLINK("https://ipmanager.doe.gov/IPManager//ExternalLink.aspx?6ibkph2k9yi6F%2B0Vz7YoTvPUg%2FVZPl3iHMoc04d5RNE%3D","Link")</f>
        <v>Link</v>
      </c>
      <c r="B701" s="2" t="s">
        <v>2416</v>
      </c>
      <c r="C701" s="2" t="s">
        <v>2392</v>
      </c>
      <c r="D701" s="2" t="s">
        <v>1663</v>
      </c>
      <c r="E701" s="2" t="s">
        <v>2417</v>
      </c>
      <c r="F701" s="2" t="s">
        <v>2411</v>
      </c>
      <c r="G701" s="2" t="s">
        <v>2418</v>
      </c>
      <c r="H701" s="8">
        <v>9776154</v>
      </c>
      <c r="I701" s="2" t="s">
        <v>2419</v>
      </c>
    </row>
    <row r="702" spans="1:9" ht="52" x14ac:dyDescent="0.3">
      <c r="A702" s="1" t="str">
        <f>HYPERLINK("https://ipmanager.doe.gov/IPManager//ExternalLink.aspx?6ibkph2k9yi6F%2B0Vz7YoTo7DPLa3%2F%2FGgBG%2FhLn7M1RY%3D","Link")</f>
        <v>Link</v>
      </c>
      <c r="B702" s="2" t="s">
        <v>2420</v>
      </c>
      <c r="C702" s="2" t="s">
        <v>2392</v>
      </c>
      <c r="D702" s="2" t="s">
        <v>1663</v>
      </c>
      <c r="E702" s="2" t="s">
        <v>2421</v>
      </c>
      <c r="F702" s="2"/>
      <c r="G702" s="2" t="s">
        <v>9</v>
      </c>
      <c r="H702" s="7"/>
      <c r="I702" s="2" t="s">
        <v>9</v>
      </c>
    </row>
    <row r="703" spans="1:9" ht="39" x14ac:dyDescent="0.3">
      <c r="A703" s="1" t="str">
        <f>HYPERLINK("https://ipmanager.doe.gov/IPManager//ExternalLink.aspx?6ibkph2k9yi6F%2B0Vz7YoTipZ798QK%2BbPjpo3vgXiabU%3D","Link")</f>
        <v>Link</v>
      </c>
      <c r="B703" s="2" t="s">
        <v>2422</v>
      </c>
      <c r="C703" s="2" t="s">
        <v>2392</v>
      </c>
      <c r="D703" s="2" t="s">
        <v>1663</v>
      </c>
      <c r="E703" s="2" t="s">
        <v>2423</v>
      </c>
      <c r="F703" s="2"/>
      <c r="G703" s="2" t="s">
        <v>9</v>
      </c>
      <c r="H703" s="7"/>
      <c r="I703" s="2" t="s">
        <v>9</v>
      </c>
    </row>
    <row r="704" spans="1:9" ht="52" x14ac:dyDescent="0.3">
      <c r="A704" s="1" t="str">
        <f>HYPERLINK("https://ipmanager.doe.gov/IPManager//ExternalLink.aspx?6ibkph2k9yi6F%2B0Vz7YoTgZwfmYxrNyK6Qc9rpWZUvk%3D","Link")</f>
        <v>Link</v>
      </c>
      <c r="B704" s="2" t="s">
        <v>5943</v>
      </c>
      <c r="C704" s="2" t="s">
        <v>5924</v>
      </c>
      <c r="D704" s="2" t="s">
        <v>1793</v>
      </c>
      <c r="E704" s="2" t="s">
        <v>5944</v>
      </c>
      <c r="F704" s="2" t="s">
        <v>5945</v>
      </c>
      <c r="G704" s="2" t="s">
        <v>5933</v>
      </c>
      <c r="H704" s="7"/>
      <c r="I704" s="2" t="s">
        <v>9</v>
      </c>
    </row>
    <row r="705" spans="1:9" ht="39" x14ac:dyDescent="0.3">
      <c r="A705" s="1" t="str">
        <f>HYPERLINK("https://ipmanager.doe.gov/IPManager//ExternalLink.aspx?6ibkph2k9yi6F%2B0Vz7YoTvPUg%2FVZPl3iOMi3B9KXFEw%3D","Link")</f>
        <v>Link</v>
      </c>
      <c r="B705" s="2" t="s">
        <v>6047</v>
      </c>
      <c r="C705" s="2" t="s">
        <v>6045</v>
      </c>
      <c r="D705" s="2" t="s">
        <v>1793</v>
      </c>
      <c r="E705" s="2" t="s">
        <v>6048</v>
      </c>
      <c r="F705" s="2" t="s">
        <v>6049</v>
      </c>
      <c r="G705" s="2" t="s">
        <v>4705</v>
      </c>
      <c r="H705" s="7"/>
      <c r="I705" s="2" t="s">
        <v>9</v>
      </c>
    </row>
    <row r="706" spans="1:9" ht="65" x14ac:dyDescent="0.3">
      <c r="A706" s="1" t="str">
        <f>HYPERLINK("https://ipmanager.doe.gov/IPManager//ExternalLink.aspx?6ibkph2k9yi6F%2B0Vz7YoTp68px7nSN2glDE53hdqQy0%3D","Link")</f>
        <v>Link</v>
      </c>
      <c r="B706" s="2" t="s">
        <v>6466</v>
      </c>
      <c r="C706" s="2" t="s">
        <v>6467</v>
      </c>
      <c r="D706" s="2" t="s">
        <v>1793</v>
      </c>
      <c r="E706" s="2" t="s">
        <v>6468</v>
      </c>
      <c r="F706" s="2" t="s">
        <v>6469</v>
      </c>
      <c r="G706" s="2" t="s">
        <v>3377</v>
      </c>
      <c r="H706" s="7"/>
      <c r="I706" s="2" t="s">
        <v>9</v>
      </c>
    </row>
    <row r="707" spans="1:9" ht="65" x14ac:dyDescent="0.3">
      <c r="A707" s="1" t="str">
        <f>HYPERLINK("https://ipmanager.doe.gov/IPManager//ExternalLink.aspx?6ibkph2k9yi6F%2B0Vz7YoTp68px7nSN2g0OLMogQUL04%3D","Link")</f>
        <v>Link</v>
      </c>
      <c r="B707" s="2" t="s">
        <v>6470</v>
      </c>
      <c r="C707" s="2" t="s">
        <v>6467</v>
      </c>
      <c r="D707" s="2" t="s">
        <v>1793</v>
      </c>
      <c r="E707" s="2" t="s">
        <v>6471</v>
      </c>
      <c r="F707" s="2" t="s">
        <v>6472</v>
      </c>
      <c r="G707" s="2" t="s">
        <v>6473</v>
      </c>
      <c r="H707" s="7"/>
      <c r="I707" s="2" t="s">
        <v>9</v>
      </c>
    </row>
    <row r="708" spans="1:9" ht="39" x14ac:dyDescent="0.3">
      <c r="A708" s="1" t="str">
        <f>HYPERLINK("https://ipmanager.doe.gov/IPManager//ExternalLink.aspx?6ibkph2k9yi6F%2B0Vz7YoTsTAnuFk5EoA7uXH3z74Tzo%3D","Link")</f>
        <v>Link</v>
      </c>
      <c r="B708" s="2" t="s">
        <v>2443</v>
      </c>
      <c r="C708" s="2" t="s">
        <v>2425</v>
      </c>
      <c r="D708" s="2" t="s">
        <v>770</v>
      </c>
      <c r="E708" s="2" t="s">
        <v>2444</v>
      </c>
      <c r="F708" s="2" t="s">
        <v>2445</v>
      </c>
      <c r="G708" s="2" t="s">
        <v>327</v>
      </c>
      <c r="H708" s="7"/>
      <c r="I708" s="2" t="s">
        <v>9</v>
      </c>
    </row>
    <row r="709" spans="1:9" ht="39" x14ac:dyDescent="0.3">
      <c r="A709" s="1" t="str">
        <f>HYPERLINK("https://ipmanager.doe.gov/IPManager//ExternalLink.aspx?6ibkph2k9yi6F%2B0Vz7YoTo7DPLa3%2F%2FGgo3SKlDJTnIw%3D","Link")</f>
        <v>Link</v>
      </c>
      <c r="B709" s="2" t="s">
        <v>6605</v>
      </c>
      <c r="C709" s="2" t="s">
        <v>6603</v>
      </c>
      <c r="D709" s="2" t="s">
        <v>1793</v>
      </c>
      <c r="E709" s="2" t="s">
        <v>6606</v>
      </c>
      <c r="F709" s="2" t="s">
        <v>6607</v>
      </c>
      <c r="G709" s="2" t="s">
        <v>6608</v>
      </c>
      <c r="H709" s="7"/>
      <c r="I709" s="2" t="s">
        <v>9</v>
      </c>
    </row>
    <row r="710" spans="1:9" ht="39" x14ac:dyDescent="0.3">
      <c r="A710" s="1" t="str">
        <f>HYPERLINK("https://ipmanager.doe.gov/IPManager//ExternalLink.aspx?6ibkph2k9yi6F%2B0Vz7YoTipZ798QK%2BbPfZVHtmBzGvA%3D","Link")</f>
        <v>Link</v>
      </c>
      <c r="B710" s="2" t="s">
        <v>2450</v>
      </c>
      <c r="C710" s="2" t="s">
        <v>2425</v>
      </c>
      <c r="D710" s="2" t="s">
        <v>770</v>
      </c>
      <c r="E710" s="2" t="s">
        <v>2451</v>
      </c>
      <c r="F710" s="2" t="s">
        <v>2452</v>
      </c>
      <c r="G710" s="2" t="s">
        <v>2453</v>
      </c>
      <c r="H710" s="7"/>
      <c r="I710" s="2" t="s">
        <v>9</v>
      </c>
    </row>
    <row r="711" spans="1:9" ht="39" x14ac:dyDescent="0.3">
      <c r="A711" s="1" t="str">
        <f>HYPERLINK("https://ipmanager.doe.gov/IPManager//ExternalLink.aspx?6ibkph2k9yi6F%2B0Vz7YoTo7DPLa3%2F%2FGgl%2BM%2FxX705iM%3D","Link")</f>
        <v>Link</v>
      </c>
      <c r="B711" s="2" t="s">
        <v>6612</v>
      </c>
      <c r="C711" s="2" t="s">
        <v>6603</v>
      </c>
      <c r="D711" s="2" t="s">
        <v>1793</v>
      </c>
      <c r="E711" s="2" t="s">
        <v>6613</v>
      </c>
      <c r="F711" s="2" t="s">
        <v>6614</v>
      </c>
      <c r="G711" s="2" t="s">
        <v>5514</v>
      </c>
      <c r="H711" s="7"/>
      <c r="I711" s="2" t="s">
        <v>9</v>
      </c>
    </row>
    <row r="712" spans="1:9" ht="39" x14ac:dyDescent="0.3">
      <c r="A712" s="1" t="str">
        <f>HYPERLINK("https://ipmanager.doe.gov/IPManager//ExternalLink.aspx?6ibkph2k9yi6F%2B0Vz7YoTipZ798QK%2BbPvq3chIhM%2FzY%3D","Link")</f>
        <v>Link</v>
      </c>
      <c r="B712" s="2" t="s">
        <v>2450</v>
      </c>
      <c r="C712" s="2" t="s">
        <v>2425</v>
      </c>
      <c r="D712" s="2" t="s">
        <v>770</v>
      </c>
      <c r="E712" s="2" t="s">
        <v>2451</v>
      </c>
      <c r="F712" s="2" t="s">
        <v>2456</v>
      </c>
      <c r="G712" s="3">
        <v>41614</v>
      </c>
      <c r="H712" s="7"/>
      <c r="I712" s="2" t="s">
        <v>9</v>
      </c>
    </row>
    <row r="713" spans="1:9" ht="52" x14ac:dyDescent="0.3">
      <c r="A713" s="1" t="str">
        <f>HYPERLINK("https://ipmanager.doe.gov/IPManager//ExternalLink.aspx?6ibkph2k9yi6F%2B0Vz7YoTp68px7nSN2gb1oO6tRwuKg%3D","Link")</f>
        <v>Link</v>
      </c>
      <c r="B713" s="2" t="s">
        <v>6617</v>
      </c>
      <c r="C713" s="2" t="s">
        <v>6603</v>
      </c>
      <c r="D713" s="2" t="s">
        <v>1793</v>
      </c>
      <c r="E713" s="2" t="s">
        <v>6618</v>
      </c>
      <c r="F713" s="2" t="s">
        <v>6619</v>
      </c>
      <c r="G713" s="2" t="s">
        <v>6197</v>
      </c>
      <c r="H713" s="7"/>
      <c r="I713" s="2" t="s">
        <v>9</v>
      </c>
    </row>
    <row r="714" spans="1:9" ht="39" x14ac:dyDescent="0.3">
      <c r="A714" s="1" t="str">
        <f>HYPERLINK("https://ipmanager.doe.gov/IPManager//ExternalLink.aspx?6ibkph2k9yi6F%2B0Vz7YoTipZ798QK%2BbPiDHPYZ%2BwzjY%3D","Link")</f>
        <v>Link</v>
      </c>
      <c r="B714" s="2" t="s">
        <v>1684</v>
      </c>
      <c r="C714" s="2" t="s">
        <v>1676</v>
      </c>
      <c r="D714" s="2" t="s">
        <v>1677</v>
      </c>
      <c r="E714" s="2" t="s">
        <v>1685</v>
      </c>
      <c r="F714" s="2" t="s">
        <v>1686</v>
      </c>
      <c r="G714" s="2" t="s">
        <v>1687</v>
      </c>
      <c r="H714" s="7"/>
      <c r="I714" s="2" t="s">
        <v>9</v>
      </c>
    </row>
    <row r="715" spans="1:9" ht="26" x14ac:dyDescent="0.3">
      <c r="A715" s="1" t="str">
        <f>HYPERLINK("https://ipmanager.doe.gov/IPManager//ExternalLink.aspx?6ibkph2k9yi6F%2B0Vz7YoTipZ798QK%2BbPy8Jb4ZuTmQ8%3D","Link")</f>
        <v>Link</v>
      </c>
      <c r="B715" s="2" t="s">
        <v>307</v>
      </c>
      <c r="C715" s="2" t="s">
        <v>302</v>
      </c>
      <c r="D715" s="2" t="s">
        <v>308</v>
      </c>
      <c r="E715" s="2" t="s">
        <v>309</v>
      </c>
      <c r="F715" s="2" t="s">
        <v>7630</v>
      </c>
      <c r="G715" s="2" t="s">
        <v>310</v>
      </c>
      <c r="H715" s="7"/>
      <c r="I715" s="2" t="s">
        <v>9</v>
      </c>
    </row>
    <row r="716" spans="1:9" ht="52" x14ac:dyDescent="0.3">
      <c r="A716" s="1" t="str">
        <f>HYPERLINK("https://ipmanager.doe.gov/IPManager//ExternalLink.aspx?6ibkph2k9yi6F%2B0Vz7YoTipZ798QK%2BbPm6Y3WdrBe%2Bw%3D","Link")</f>
        <v>Link</v>
      </c>
      <c r="B716" s="2" t="s">
        <v>4362</v>
      </c>
      <c r="C716" s="2" t="s">
        <v>4363</v>
      </c>
      <c r="D716" s="2" t="s">
        <v>308</v>
      </c>
      <c r="E716" s="2" t="s">
        <v>4364</v>
      </c>
      <c r="F716" s="2" t="s">
        <v>4365</v>
      </c>
      <c r="G716" s="2" t="s">
        <v>3892</v>
      </c>
      <c r="H716" s="7"/>
      <c r="I716" s="2" t="s">
        <v>9</v>
      </c>
    </row>
    <row r="717" spans="1:9" ht="26" x14ac:dyDescent="0.3">
      <c r="A717" s="1" t="str">
        <f>HYPERLINK("https://ipmanager.doe.gov/IPManager//ExternalLink.aspx?6ibkph2k9yi6F%2B0Vz7YoTr7J5I%2BY4foYNx0d2Ri0iyI%3D","Link")</f>
        <v>Link</v>
      </c>
      <c r="B717" s="2" t="s">
        <v>2467</v>
      </c>
      <c r="C717" s="2" t="s">
        <v>2468</v>
      </c>
      <c r="D717" s="2" t="s">
        <v>2469</v>
      </c>
      <c r="E717" s="2" t="s">
        <v>2470</v>
      </c>
      <c r="F717" s="2" t="s">
        <v>2471</v>
      </c>
      <c r="G717" s="2" t="s">
        <v>947</v>
      </c>
      <c r="H717" s="7">
        <v>9142350</v>
      </c>
      <c r="I717" s="2" t="s">
        <v>372</v>
      </c>
    </row>
    <row r="718" spans="1:9" ht="39" x14ac:dyDescent="0.3">
      <c r="A718" s="1" t="str">
        <f>HYPERLINK("https://ipmanager.doe.gov/IPManager//ExternalLink.aspx?6ibkph2k9yi6F%2B0Vz7YoTr7J5I%2BY4foYgsHwD%2B9zlsI%3D","Link")</f>
        <v>Link</v>
      </c>
      <c r="B718" s="2" t="s">
        <v>2472</v>
      </c>
      <c r="C718" s="2" t="s">
        <v>2468</v>
      </c>
      <c r="D718" s="2" t="s">
        <v>778</v>
      </c>
      <c r="E718" s="2" t="s">
        <v>2473</v>
      </c>
      <c r="F718" s="2"/>
      <c r="G718" s="2" t="s">
        <v>9</v>
      </c>
      <c r="H718" s="7"/>
      <c r="I718" s="2" t="s">
        <v>9</v>
      </c>
    </row>
    <row r="719" spans="1:9" ht="26" x14ac:dyDescent="0.3">
      <c r="A719" s="1" t="str">
        <f>HYPERLINK("https://ipmanager.doe.gov/IPManager//ExternalLink.aspx?6ibkph2k9yi6F%2B0Vz7YoTgZwfmYxrNyKTAMEhXfvbRY%3D","Link")</f>
        <v>Link</v>
      </c>
      <c r="B719" s="2" t="s">
        <v>4366</v>
      </c>
      <c r="C719" s="2" t="s">
        <v>4363</v>
      </c>
      <c r="D719" s="2" t="s">
        <v>308</v>
      </c>
      <c r="E719" s="2" t="s">
        <v>4367</v>
      </c>
      <c r="F719" s="2" t="s">
        <v>4368</v>
      </c>
      <c r="G719" s="2" t="s">
        <v>4369</v>
      </c>
      <c r="H719" s="7"/>
      <c r="I719" s="2" t="s">
        <v>9</v>
      </c>
    </row>
    <row r="720" spans="1:9" ht="26" x14ac:dyDescent="0.3">
      <c r="A720" s="1" t="str">
        <f>HYPERLINK("https://ipmanager.doe.gov/IPManager//ExternalLink.aspx?6ibkph2k9yi6F%2B0Vz7YoTq6RR9BlGHHi%2FYYHcy3inLM%3D","Link")</f>
        <v>Link</v>
      </c>
      <c r="B720" s="2" t="s">
        <v>4370</v>
      </c>
      <c r="C720" s="2" t="s">
        <v>4363</v>
      </c>
      <c r="D720" s="2" t="s">
        <v>308</v>
      </c>
      <c r="E720" s="2" t="s">
        <v>4367</v>
      </c>
      <c r="F720" s="2" t="s">
        <v>4371</v>
      </c>
      <c r="G720" s="2" t="s">
        <v>4372</v>
      </c>
      <c r="H720" s="7"/>
      <c r="I720" s="2" t="s">
        <v>9</v>
      </c>
    </row>
    <row r="721" spans="1:9" ht="26" x14ac:dyDescent="0.3">
      <c r="A721" s="1" t="str">
        <f>HYPERLINK("https://ipmanager.doe.gov/IPManager//ExternalLink.aspx?6ibkph2k9yi6F%2B0Vz7YoTjnDGhmGHGI7BZc6Jqyr41I%3D","Link")</f>
        <v>Link</v>
      </c>
      <c r="B721" s="2" t="s">
        <v>2481</v>
      </c>
      <c r="C721" s="2" t="s">
        <v>2482</v>
      </c>
      <c r="D721" s="2" t="s">
        <v>2483</v>
      </c>
      <c r="E721" s="2" t="s">
        <v>2484</v>
      </c>
      <c r="F721" s="2"/>
      <c r="G721" s="2" t="s">
        <v>9</v>
      </c>
      <c r="H721" s="7"/>
      <c r="I721" s="2" t="s">
        <v>9</v>
      </c>
    </row>
    <row r="722" spans="1:9" ht="65" x14ac:dyDescent="0.3">
      <c r="A722" s="1" t="str">
        <f>HYPERLINK("https://ipmanager.doe.gov/IPManager//ExternalLink.aspx?6ibkph2k9yi6F%2B0Vz7YoTjnDGhmGHGI7vYoR9rJUDDI%3D","Link")</f>
        <v>Link</v>
      </c>
      <c r="B722" s="2" t="s">
        <v>2485</v>
      </c>
      <c r="C722" s="2" t="s">
        <v>2482</v>
      </c>
      <c r="D722" s="2" t="s">
        <v>2486</v>
      </c>
      <c r="E722" s="2" t="s">
        <v>2487</v>
      </c>
      <c r="F722" s="2"/>
      <c r="G722" s="2" t="s">
        <v>9</v>
      </c>
      <c r="H722" s="7"/>
      <c r="I722" s="2" t="s">
        <v>9</v>
      </c>
    </row>
    <row r="723" spans="1:9" ht="65" x14ac:dyDescent="0.3">
      <c r="A723" s="1" t="str">
        <f>HYPERLINK("https://ipmanager.doe.gov/IPManager//ExternalLink.aspx?6ibkph2k9yi6F%2B0Vz7YoTipZ798QK%2BbP9BGCrRyUC%2B4%3D","Link")</f>
        <v>Link</v>
      </c>
      <c r="B723" s="2" t="s">
        <v>2488</v>
      </c>
      <c r="C723" s="2" t="s">
        <v>2482</v>
      </c>
      <c r="D723" s="2" t="s">
        <v>2486</v>
      </c>
      <c r="E723" s="2" t="s">
        <v>2489</v>
      </c>
      <c r="F723" s="2"/>
      <c r="G723" s="2" t="s">
        <v>9</v>
      </c>
      <c r="H723" s="7"/>
      <c r="I723" s="2" t="s">
        <v>9</v>
      </c>
    </row>
    <row r="724" spans="1:9" ht="52" x14ac:dyDescent="0.3">
      <c r="A724" s="1" t="str">
        <f>HYPERLINK("https://ipmanager.doe.gov/IPManager//ExternalLink.aspx?6ibkph2k9yi6F%2B0Vz7YoTipZ798QK%2BbPXY8Ezdsp0V0%3D","Link")</f>
        <v>Link</v>
      </c>
      <c r="B724" s="2" t="s">
        <v>4373</v>
      </c>
      <c r="C724" s="2" t="s">
        <v>4363</v>
      </c>
      <c r="D724" s="2" t="s">
        <v>308</v>
      </c>
      <c r="E724" s="2" t="s">
        <v>4374</v>
      </c>
      <c r="F724" s="2" t="s">
        <v>4375</v>
      </c>
      <c r="G724" s="2" t="s">
        <v>4376</v>
      </c>
      <c r="H724" s="7"/>
      <c r="I724" s="2" t="s">
        <v>9</v>
      </c>
    </row>
    <row r="725" spans="1:9" ht="52" x14ac:dyDescent="0.3">
      <c r="A725" s="1" t="str">
        <f>HYPERLINK("https://ipmanager.doe.gov/IPManager//ExternalLink.aspx?6ibkph2k9yi6F%2B0Vz7YoTnXVN2REjGcWaRzbPTVQCrQ%3D","Link")</f>
        <v>Link</v>
      </c>
      <c r="B725" s="2" t="s">
        <v>4377</v>
      </c>
      <c r="C725" s="2" t="s">
        <v>4363</v>
      </c>
      <c r="D725" s="2" t="s">
        <v>308</v>
      </c>
      <c r="E725" s="2" t="s">
        <v>4378</v>
      </c>
      <c r="F725" s="2" t="s">
        <v>4379</v>
      </c>
      <c r="G725" s="2" t="s">
        <v>3340</v>
      </c>
      <c r="H725" s="7"/>
      <c r="I725" s="2" t="s">
        <v>9</v>
      </c>
    </row>
    <row r="726" spans="1:9" ht="52" x14ac:dyDescent="0.3">
      <c r="A726" s="1" t="str">
        <f>HYPERLINK("https://ipmanager.doe.gov/IPManager//ExternalLink.aspx?6ibkph2k9yi6F%2B0Vz7YoTnXVN2REjGcWOeBCLP4tuYk%3D","Link")</f>
        <v>Link</v>
      </c>
      <c r="B726" s="2" t="s">
        <v>4380</v>
      </c>
      <c r="C726" s="2" t="s">
        <v>4363</v>
      </c>
      <c r="D726" s="2" t="s">
        <v>308</v>
      </c>
      <c r="E726" s="2" t="s">
        <v>4374</v>
      </c>
      <c r="F726" s="2" t="s">
        <v>4381</v>
      </c>
      <c r="G726" s="2" t="s">
        <v>4382</v>
      </c>
      <c r="H726" s="7"/>
      <c r="I726" s="2" t="s">
        <v>9</v>
      </c>
    </row>
    <row r="727" spans="1:9" ht="52" x14ac:dyDescent="0.3">
      <c r="A727" s="1" t="str">
        <f>HYPERLINK("https://ipmanager.doe.gov/IPManager//ExternalLink.aspx?6ibkph2k9yi6F%2B0Vz7YoTo7DPLa3%2F%2FGgKWmpSa2mWMo%3D","Link")</f>
        <v>Link</v>
      </c>
      <c r="B727" s="2" t="s">
        <v>2502</v>
      </c>
      <c r="C727" s="2" t="s">
        <v>2503</v>
      </c>
      <c r="D727" s="2" t="s">
        <v>2504</v>
      </c>
      <c r="E727" s="2" t="s">
        <v>2505</v>
      </c>
      <c r="F727" s="2" t="s">
        <v>2506</v>
      </c>
      <c r="G727" s="2" t="s">
        <v>45</v>
      </c>
      <c r="H727" s="7">
        <v>9419479</v>
      </c>
      <c r="I727" s="2" t="s">
        <v>2130</v>
      </c>
    </row>
    <row r="728" spans="1:9" ht="26" x14ac:dyDescent="0.3">
      <c r="A728" s="1" t="str">
        <f>HYPERLINK("https://ipmanager.doe.gov/IPManager//ExternalLink.aspx?6ibkph2k9yi6F%2B0Vz7YoTjnDGhmGHGI7hOOyOq10ABM%3D","Link")</f>
        <v>Link</v>
      </c>
      <c r="B728" s="2" t="s">
        <v>2507</v>
      </c>
      <c r="C728" s="2" t="s">
        <v>2503</v>
      </c>
      <c r="D728" s="2" t="s">
        <v>2504</v>
      </c>
      <c r="E728" s="2" t="s">
        <v>2508</v>
      </c>
      <c r="F728" s="2" t="s">
        <v>2509</v>
      </c>
      <c r="G728" s="2" t="s">
        <v>733</v>
      </c>
      <c r="H728" s="7">
        <v>9461523</v>
      </c>
      <c r="I728" s="2" t="s">
        <v>2510</v>
      </c>
    </row>
    <row r="729" spans="1:9" ht="26" x14ac:dyDescent="0.3">
      <c r="A729" s="1" t="str">
        <f>HYPERLINK("https://ipmanager.doe.gov/IPManager//ExternalLink.aspx?6ibkph2k9yi6F%2B0Vz7YoTlNm8snv%2FZpHFcgJX5CZDXE%3D","Link")</f>
        <v>Link</v>
      </c>
      <c r="B729" s="2" t="s">
        <v>2511</v>
      </c>
      <c r="C729" s="2" t="s">
        <v>2503</v>
      </c>
      <c r="D729" s="2" t="s">
        <v>1987</v>
      </c>
      <c r="E729" s="2" t="s">
        <v>2512</v>
      </c>
      <c r="F729" s="2"/>
      <c r="G729" s="2" t="s">
        <v>9</v>
      </c>
      <c r="H729" s="7"/>
      <c r="I729" s="2" t="s">
        <v>9</v>
      </c>
    </row>
    <row r="730" spans="1:9" ht="52" x14ac:dyDescent="0.3">
      <c r="A730" s="1" t="str">
        <f>HYPERLINK("https://ipmanager.doe.gov/IPManager//ExternalLink.aspx?6ibkph2k9yi6F%2B0Vz7YoTk2BI6w%2FjZ2fhImEDdup5%2Fc%3D","Link")</f>
        <v>Link</v>
      </c>
      <c r="B730" s="2" t="s">
        <v>2514</v>
      </c>
      <c r="C730" s="2" t="s">
        <v>2503</v>
      </c>
      <c r="D730" s="2" t="s">
        <v>2504</v>
      </c>
      <c r="E730" s="2" t="s">
        <v>2515</v>
      </c>
      <c r="F730" s="2" t="s">
        <v>2516</v>
      </c>
      <c r="G730" s="2" t="s">
        <v>897</v>
      </c>
      <c r="H730" s="7">
        <v>9362788</v>
      </c>
      <c r="I730" s="2" t="s">
        <v>597</v>
      </c>
    </row>
    <row r="731" spans="1:9" ht="65" x14ac:dyDescent="0.3">
      <c r="A731" s="1" t="str">
        <f>HYPERLINK("https://ipmanager.doe.gov/IPManager//ExternalLink.aspx?6ibkph2k9yi6F%2B0Vz7YoTq6RR9BlGHHiFqBZj0mgq9s%3D","Link")</f>
        <v>Link</v>
      </c>
      <c r="B731" s="2" t="s">
        <v>5422</v>
      </c>
      <c r="C731" s="2" t="s">
        <v>5423</v>
      </c>
      <c r="D731" s="2" t="s">
        <v>308</v>
      </c>
      <c r="E731" s="2" t="s">
        <v>5424</v>
      </c>
      <c r="F731" s="2" t="s">
        <v>5425</v>
      </c>
      <c r="G731" s="2" t="s">
        <v>4774</v>
      </c>
      <c r="H731" s="7"/>
      <c r="I731" s="2" t="s">
        <v>9</v>
      </c>
    </row>
    <row r="732" spans="1:9" ht="65" x14ac:dyDescent="0.3">
      <c r="A732" s="1" t="str">
        <f>HYPERLINK("https://ipmanager.doe.gov/IPManager//ExternalLink.aspx?6ibkph2k9yi6F%2B0Vz7YoTq6RR9BlGHHijyY83Q5LBEU%3D","Link")</f>
        <v>Link</v>
      </c>
      <c r="B732" s="2" t="s">
        <v>5482</v>
      </c>
      <c r="C732" s="2" t="s">
        <v>5480</v>
      </c>
      <c r="D732" s="2" t="s">
        <v>308</v>
      </c>
      <c r="E732" s="2" t="s">
        <v>5424</v>
      </c>
      <c r="F732" s="2" t="s">
        <v>5425</v>
      </c>
      <c r="G732" s="2" t="s">
        <v>4774</v>
      </c>
      <c r="H732" s="7"/>
      <c r="I732" s="2" t="s">
        <v>9</v>
      </c>
    </row>
    <row r="733" spans="1:9" ht="26" x14ac:dyDescent="0.3">
      <c r="A733" s="1" t="str">
        <f>HYPERLINK("https://ipmanager.doe.gov/IPManager//ExternalLink.aspx?6ibkph2k9yi6F%2B0Vz7YoTr7J5I%2BY4foYxPqjBjXD%2F%2BQ%3D","Link")</f>
        <v>Link</v>
      </c>
      <c r="B733" s="2" t="s">
        <v>2526</v>
      </c>
      <c r="C733" s="2" t="s">
        <v>2518</v>
      </c>
      <c r="D733" s="2" t="s">
        <v>2519</v>
      </c>
      <c r="E733" s="2" t="s">
        <v>2527</v>
      </c>
      <c r="F733" s="2" t="s">
        <v>2528</v>
      </c>
      <c r="G733" s="2" t="s">
        <v>1552</v>
      </c>
      <c r="H733" s="7"/>
      <c r="I733" s="2" t="s">
        <v>9</v>
      </c>
    </row>
    <row r="734" spans="1:9" ht="39" x14ac:dyDescent="0.3">
      <c r="A734" s="1" t="str">
        <f>HYPERLINK("https://ipmanager.doe.gov/IPManager//ExternalLink.aspx?6ibkph2k9yi6F%2B0Vz7YoTsTAnuFk5EoAgiD2Zss51NA%3D","Link")</f>
        <v>Link</v>
      </c>
      <c r="B734" s="2" t="s">
        <v>6751</v>
      </c>
      <c r="C734" s="2" t="s">
        <v>6752</v>
      </c>
      <c r="D734" s="2" t="s">
        <v>308</v>
      </c>
      <c r="E734" s="2" t="s">
        <v>6753</v>
      </c>
      <c r="F734" s="2" t="s">
        <v>6754</v>
      </c>
      <c r="G734" s="2" t="s">
        <v>6755</v>
      </c>
      <c r="H734" s="7"/>
      <c r="I734" s="2" t="s">
        <v>9</v>
      </c>
    </row>
    <row r="735" spans="1:9" ht="39" x14ac:dyDescent="0.3">
      <c r="A735" s="1" t="str">
        <f>HYPERLINK("https://ipmanager.doe.gov/IPManager//ExternalLink.aspx?6ibkph2k9yi6F%2B0Vz7YoTvE8yjoHgvp60FzmxEwHSZc%3D","Link")</f>
        <v>Link</v>
      </c>
      <c r="B735" s="2" t="s">
        <v>6756</v>
      </c>
      <c r="C735" s="2" t="s">
        <v>6752</v>
      </c>
      <c r="D735" s="2" t="s">
        <v>308</v>
      </c>
      <c r="E735" s="2" t="s">
        <v>6757</v>
      </c>
      <c r="F735" s="2" t="s">
        <v>6758</v>
      </c>
      <c r="G735" s="2" t="s">
        <v>2629</v>
      </c>
      <c r="H735" s="7"/>
      <c r="I735" s="2" t="s">
        <v>9</v>
      </c>
    </row>
    <row r="736" spans="1:9" ht="26" x14ac:dyDescent="0.3">
      <c r="A736" s="1" t="str">
        <f>HYPERLINK("https://ipmanager.doe.gov/IPManager//ExternalLink.aspx?6ibkph2k9yi6F%2B0Vz7YoTo7DPLa3%2F%2FGgba2vpIcIxag%3D","Link")</f>
        <v>Link</v>
      </c>
      <c r="B736" s="2" t="s">
        <v>2535</v>
      </c>
      <c r="C736" s="2" t="s">
        <v>2518</v>
      </c>
      <c r="D736" s="2" t="s">
        <v>2519</v>
      </c>
      <c r="E736" s="2" t="s">
        <v>2536</v>
      </c>
      <c r="F736" s="2" t="s">
        <v>2528</v>
      </c>
      <c r="G736" s="2" t="s">
        <v>2531</v>
      </c>
      <c r="H736" s="7"/>
      <c r="I736" s="2" t="s">
        <v>9</v>
      </c>
    </row>
    <row r="737" spans="1:9" ht="65" x14ac:dyDescent="0.3">
      <c r="A737" s="1" t="str">
        <f>HYPERLINK("https://ipmanager.doe.gov/IPManager//ExternalLink.aspx?6ibkph2k9yi6F%2B0Vz7YoTvE8yjoHgvp6BLiVKn%2FocVo%3D","Link")</f>
        <v>Link</v>
      </c>
      <c r="B737" s="2" t="s">
        <v>6759</v>
      </c>
      <c r="C737" s="2" t="s">
        <v>6752</v>
      </c>
      <c r="D737" s="2" t="s">
        <v>308</v>
      </c>
      <c r="E737" s="2" t="s">
        <v>6760</v>
      </c>
      <c r="F737" s="2" t="s">
        <v>6761</v>
      </c>
      <c r="G737" s="2" t="s">
        <v>6427</v>
      </c>
      <c r="H737" s="7"/>
      <c r="I737" s="2" t="s">
        <v>9</v>
      </c>
    </row>
    <row r="738" spans="1:9" ht="26" x14ac:dyDescent="0.3">
      <c r="A738" s="1" t="str">
        <f>HYPERLINK("https://ipmanager.doe.gov/IPManager//ExternalLink.aspx?6ibkph2k9yi6F%2B0Vz7YoTsTAnuFk5EoAxfTgTgYPeyQ%3D","Link")</f>
        <v>Link</v>
      </c>
      <c r="B738" s="2" t="s">
        <v>6850</v>
      </c>
      <c r="C738" s="2" t="s">
        <v>6818</v>
      </c>
      <c r="D738" s="2" t="s">
        <v>308</v>
      </c>
      <c r="E738" s="2" t="s">
        <v>6851</v>
      </c>
      <c r="F738" s="2" t="s">
        <v>6852</v>
      </c>
      <c r="G738" s="2" t="s">
        <v>6853</v>
      </c>
      <c r="H738" s="7"/>
      <c r="I738" s="2" t="s">
        <v>9</v>
      </c>
    </row>
    <row r="739" spans="1:9" ht="39" x14ac:dyDescent="0.3">
      <c r="A739" s="1" t="str">
        <f>HYPERLINK("https://ipmanager.doe.gov/IPManager//ExternalLink.aspx?6ibkph2k9yi6F%2B0Vz7YoTr7J5I%2BY4foYyqFk9x4ED7Y%3D","Link")</f>
        <v>Link</v>
      </c>
      <c r="B739" s="2" t="s">
        <v>2543</v>
      </c>
      <c r="C739" s="2" t="s">
        <v>2518</v>
      </c>
      <c r="D739" s="2" t="s">
        <v>2542</v>
      </c>
      <c r="E739" s="2" t="s">
        <v>2544</v>
      </c>
      <c r="F739" s="2"/>
      <c r="G739" s="2" t="s">
        <v>9</v>
      </c>
      <c r="H739" s="7"/>
      <c r="I739" s="2" t="s">
        <v>9</v>
      </c>
    </row>
    <row r="740" spans="1:9" ht="39" x14ac:dyDescent="0.3">
      <c r="A740" s="1" t="str">
        <f>HYPERLINK("https://ipmanager.doe.gov/IPManager//ExternalLink.aspx?6ibkph2k9yi6F%2B0Vz7YoTipZ798QK%2BbPW0zIlbmW6F4%3D","Link")</f>
        <v>Link</v>
      </c>
      <c r="B740" s="2" t="s">
        <v>2545</v>
      </c>
      <c r="C740" s="2" t="s">
        <v>2518</v>
      </c>
      <c r="D740" s="2" t="s">
        <v>2542</v>
      </c>
      <c r="E740" s="2" t="s">
        <v>2523</v>
      </c>
      <c r="F740" s="2"/>
      <c r="G740" s="2" t="s">
        <v>9</v>
      </c>
      <c r="H740" s="7"/>
      <c r="I740" s="2" t="s">
        <v>9</v>
      </c>
    </row>
    <row r="741" spans="1:9" ht="26" x14ac:dyDescent="0.3">
      <c r="A741" s="1" t="str">
        <f>HYPERLINK("https://ipmanager.doe.gov/IPManager//ExternalLink.aspx?6ibkph2k9yi6F%2B0Vz7YoTvE8yjoHgvp6NZGwXRO41Mk%3D","Link")</f>
        <v>Link</v>
      </c>
      <c r="B741" s="2" t="s">
        <v>6854</v>
      </c>
      <c r="C741" s="2" t="s">
        <v>6818</v>
      </c>
      <c r="D741" s="2" t="s">
        <v>308</v>
      </c>
      <c r="E741" s="2" t="s">
        <v>6851</v>
      </c>
      <c r="F741" s="2" t="s">
        <v>6855</v>
      </c>
      <c r="G741" s="2" t="s">
        <v>4792</v>
      </c>
      <c r="H741" s="7"/>
      <c r="I741" s="2" t="s">
        <v>9</v>
      </c>
    </row>
    <row r="742" spans="1:9" ht="26" x14ac:dyDescent="0.3">
      <c r="A742" s="1" t="str">
        <f>HYPERLINK("https://ipmanager.doe.gov/IPManager//ExternalLink.aspx?6ibkph2k9yi6F%2B0Vz7YoTvE8yjoHgvp6osv2gMd%2Bxqk%3D","Link")</f>
        <v>Link</v>
      </c>
      <c r="B742" s="2" t="s">
        <v>6856</v>
      </c>
      <c r="C742" s="2" t="s">
        <v>6818</v>
      </c>
      <c r="D742" s="2" t="s">
        <v>308</v>
      </c>
      <c r="E742" s="2" t="s">
        <v>6851</v>
      </c>
      <c r="F742" s="2" t="s">
        <v>6857</v>
      </c>
      <c r="G742" s="2" t="s">
        <v>6169</v>
      </c>
      <c r="H742" s="7"/>
      <c r="I742" s="2" t="s">
        <v>9</v>
      </c>
    </row>
    <row r="743" spans="1:9" ht="39" x14ac:dyDescent="0.3">
      <c r="A743" s="1" t="str">
        <f>HYPERLINK("https://ipmanager.doe.gov/IPManager//ExternalLink.aspx?6ibkph2k9yi6F%2B0Vz7YoTu0g4zH%2BOsvybLR4UN6CNyE%3D","Link")</f>
        <v>Link</v>
      </c>
      <c r="B743" s="2" t="s">
        <v>2556</v>
      </c>
      <c r="C743" s="2" t="s">
        <v>2546</v>
      </c>
      <c r="D743" s="2" t="s">
        <v>2547</v>
      </c>
      <c r="E743" s="2" t="s">
        <v>2548</v>
      </c>
      <c r="F743" s="2" t="s">
        <v>2549</v>
      </c>
      <c r="G743" s="2" t="s">
        <v>2550</v>
      </c>
      <c r="H743" s="7">
        <v>9997285</v>
      </c>
      <c r="I743" s="2" t="s">
        <v>851</v>
      </c>
    </row>
    <row r="744" spans="1:9" ht="52" x14ac:dyDescent="0.3">
      <c r="A744" s="1" t="str">
        <f>HYPERLINK("https://ipmanager.doe.gov/IPManager//ExternalLink.aspx?6ibkph2k9yi6F%2B0Vz7YoTu0g4zH%2BOsvyKMSiS637OOw%3D","Link")</f>
        <v>Link</v>
      </c>
      <c r="B744" s="2" t="s">
        <v>2557</v>
      </c>
      <c r="C744" s="2" t="s">
        <v>2558</v>
      </c>
      <c r="D744" s="2" t="s">
        <v>524</v>
      </c>
      <c r="E744" s="2" t="s">
        <v>2559</v>
      </c>
      <c r="F744" s="2" t="s">
        <v>2560</v>
      </c>
      <c r="G744" s="2" t="s">
        <v>470</v>
      </c>
      <c r="H744" s="7"/>
      <c r="I744" s="2" t="s">
        <v>9</v>
      </c>
    </row>
    <row r="745" spans="1:9" ht="26" x14ac:dyDescent="0.3">
      <c r="A745" s="1" t="str">
        <f>HYPERLINK("https://ipmanager.doe.gov/IPManager//ExternalLink.aspx?6ibkph2k9yi6F%2B0Vz7YoTipZ798QK%2BbPykWxe1PjEyE%3D","Link")</f>
        <v>Link</v>
      </c>
      <c r="B745" s="2" t="s">
        <v>2561</v>
      </c>
      <c r="C745" s="2" t="s">
        <v>2558</v>
      </c>
      <c r="D745" s="2" t="s">
        <v>524</v>
      </c>
      <c r="E745" s="2" t="s">
        <v>2562</v>
      </c>
      <c r="F745" s="2" t="s">
        <v>2563</v>
      </c>
      <c r="G745" s="2" t="s">
        <v>2564</v>
      </c>
      <c r="H745" s="7">
        <v>9548150</v>
      </c>
      <c r="I745" s="2" t="s">
        <v>9</v>
      </c>
    </row>
    <row r="746" spans="1:9" ht="52" x14ac:dyDescent="0.3">
      <c r="A746" s="1" t="str">
        <f>HYPERLINK("https://ipmanager.doe.gov/IPManager//ExternalLink.aspx?6ibkph2k9yi6F%2B0Vz7YoTo7DPLa3%2F%2FGg1d8CVipRc%2FU%3D","Link")</f>
        <v>Link</v>
      </c>
      <c r="B746" s="2" t="s">
        <v>2565</v>
      </c>
      <c r="C746" s="2" t="s">
        <v>2566</v>
      </c>
      <c r="D746" s="2" t="s">
        <v>2567</v>
      </c>
      <c r="E746" s="2" t="s">
        <v>2568</v>
      </c>
      <c r="F746" s="2"/>
      <c r="G746" s="2" t="s">
        <v>9</v>
      </c>
      <c r="H746" s="7"/>
      <c r="I746" s="2" t="s">
        <v>9</v>
      </c>
    </row>
    <row r="747" spans="1:9" ht="52" x14ac:dyDescent="0.3">
      <c r="A747" s="1" t="str">
        <f>HYPERLINK("https://ipmanager.doe.gov/IPManager//ExternalLink.aspx?6ibkph2k9yi6F%2B0Vz7YoTo7DPLa3%2F%2FGgc5o9s%2FWGiG0%3D","Link")</f>
        <v>Link</v>
      </c>
      <c r="B747" s="2" t="s">
        <v>2569</v>
      </c>
      <c r="C747" s="2" t="s">
        <v>2566</v>
      </c>
      <c r="D747" s="2" t="s">
        <v>2570</v>
      </c>
      <c r="E747" s="2" t="s">
        <v>2571</v>
      </c>
      <c r="F747" s="2"/>
      <c r="G747" s="2" t="s">
        <v>9</v>
      </c>
      <c r="H747" s="7"/>
      <c r="I747" s="2" t="s">
        <v>9</v>
      </c>
    </row>
    <row r="748" spans="1:9" ht="52" x14ac:dyDescent="0.3">
      <c r="A748" s="1" t="str">
        <f>HYPERLINK("https://ipmanager.doe.gov/IPManager//ExternalLink.aspx?6ibkph2k9yi6F%2B0Vz7YoTipZ798QK%2BbPTzww5dqoF00%3D","Link")</f>
        <v>Link</v>
      </c>
      <c r="B748" s="2" t="s">
        <v>1391</v>
      </c>
      <c r="C748" s="2" t="s">
        <v>1392</v>
      </c>
      <c r="D748" s="2" t="s">
        <v>1393</v>
      </c>
      <c r="E748" s="2" t="s">
        <v>1394</v>
      </c>
      <c r="F748" s="2" t="s">
        <v>1395</v>
      </c>
      <c r="G748" s="2" t="s">
        <v>1396</v>
      </c>
      <c r="H748" s="7"/>
      <c r="I748" s="2" t="s">
        <v>9</v>
      </c>
    </row>
    <row r="749" spans="1:9" ht="52" x14ac:dyDescent="0.3">
      <c r="A749" s="1" t="str">
        <f>HYPERLINK("https://ipmanager.doe.gov/IPManager//ExternalLink.aspx?6ibkph2k9yi6F%2B0Vz7YoTr7J5I%2BY4foYTPUTFSjgQKA%3D","Link")</f>
        <v>Link</v>
      </c>
      <c r="B749" s="2" t="s">
        <v>2576</v>
      </c>
      <c r="C749" s="2" t="s">
        <v>2573</v>
      </c>
      <c r="D749" s="2" t="s">
        <v>2316</v>
      </c>
      <c r="E749" s="2" t="s">
        <v>2577</v>
      </c>
      <c r="F749" s="2" t="s">
        <v>2578</v>
      </c>
      <c r="G749" s="2" t="s">
        <v>2579</v>
      </c>
      <c r="H749" s="7"/>
      <c r="I749" s="2" t="s">
        <v>9</v>
      </c>
    </row>
    <row r="750" spans="1:9" ht="52" x14ac:dyDescent="0.3">
      <c r="A750" s="1" t="str">
        <f>HYPERLINK("https://ipmanager.doe.gov/IPManager//ExternalLink.aspx?6ibkph2k9yi6F%2B0Vz7YoTjnDGhmGHGI7fzbsIRvT6rw%3D","Link")</f>
        <v>Link</v>
      </c>
      <c r="B750" s="2" t="s">
        <v>1397</v>
      </c>
      <c r="C750" s="2" t="s">
        <v>1392</v>
      </c>
      <c r="D750" s="2" t="s">
        <v>1393</v>
      </c>
      <c r="E750" s="2" t="s">
        <v>1398</v>
      </c>
      <c r="F750" s="2" t="s">
        <v>1399</v>
      </c>
      <c r="G750" s="2" t="s">
        <v>1400</v>
      </c>
      <c r="H750" s="7"/>
      <c r="I750" s="2" t="s">
        <v>9</v>
      </c>
    </row>
    <row r="751" spans="1:9" ht="26" x14ac:dyDescent="0.3">
      <c r="A751" s="1" t="str">
        <f>HYPERLINK("https://ipmanager.doe.gov/IPManager//ExternalLink.aspx?6ibkph2k9yi6F%2B0Vz7YoTipZ798QK%2BbPU5srWj5S2Qo%3D","Link")</f>
        <v>Link</v>
      </c>
      <c r="B751" s="2" t="s">
        <v>2584</v>
      </c>
      <c r="C751" s="2" t="s">
        <v>2573</v>
      </c>
      <c r="D751" s="2" t="s">
        <v>2316</v>
      </c>
      <c r="E751" s="2" t="s">
        <v>2585</v>
      </c>
      <c r="F751" s="2"/>
      <c r="G751" s="2" t="s">
        <v>9</v>
      </c>
      <c r="H751" s="7"/>
      <c r="I751" s="2" t="s">
        <v>9</v>
      </c>
    </row>
    <row r="752" spans="1:9" ht="52" x14ac:dyDescent="0.3">
      <c r="A752" s="1" t="str">
        <f>HYPERLINK("https://ipmanager.doe.gov/IPManager//ExternalLink.aspx?6ibkph2k9yi6F%2B0Vz7YoTlNm8snv%2FZpHHf2UJvWKE0M%3D","Link")</f>
        <v>Link</v>
      </c>
      <c r="B752" s="2" t="s">
        <v>1409</v>
      </c>
      <c r="C752" s="2" t="s">
        <v>1392</v>
      </c>
      <c r="D752" s="2" t="s">
        <v>1393</v>
      </c>
      <c r="E752" s="2" t="s">
        <v>1398</v>
      </c>
      <c r="F752" s="2" t="s">
        <v>1410</v>
      </c>
      <c r="G752" s="2" t="s">
        <v>1411</v>
      </c>
      <c r="H752" s="7"/>
      <c r="I752" s="2" t="s">
        <v>9</v>
      </c>
    </row>
    <row r="753" spans="1:9" ht="78" x14ac:dyDescent="0.3">
      <c r="A753" s="1" t="str">
        <f>HYPERLINK("https://ipmanager.doe.gov/IPManager//ExternalLink.aspx?6ibkph2k9yi6F%2B0Vz7YoTr7J5I%2BY4foY2pvNrKwVFTM%3D","Link")</f>
        <v>Link</v>
      </c>
      <c r="B753" s="2" t="s">
        <v>2590</v>
      </c>
      <c r="C753" s="2" t="s">
        <v>2573</v>
      </c>
      <c r="D753" s="2" t="s">
        <v>2316</v>
      </c>
      <c r="E753" s="2" t="s">
        <v>2574</v>
      </c>
      <c r="F753" s="2"/>
      <c r="G753" s="2" t="s">
        <v>9</v>
      </c>
      <c r="H753" s="7"/>
      <c r="I753" s="2" t="s">
        <v>9</v>
      </c>
    </row>
    <row r="754" spans="1:9" ht="39" x14ac:dyDescent="0.3">
      <c r="A754" s="1" t="str">
        <f>HYPERLINK("https://ipmanager.doe.gov/IPManager//ExternalLink.aspx?6ibkph2k9yi6F%2B0Vz7YoTr7J5I%2BY4foYNeiNKWpEoJM%3D","Link")</f>
        <v>Link</v>
      </c>
      <c r="B754" s="2" t="s">
        <v>2591</v>
      </c>
      <c r="C754" s="2" t="s">
        <v>2573</v>
      </c>
      <c r="D754" s="2" t="s">
        <v>2316</v>
      </c>
      <c r="E754" s="2" t="s">
        <v>2592</v>
      </c>
      <c r="F754" s="2"/>
      <c r="G754" s="2" t="s">
        <v>9</v>
      </c>
      <c r="H754" s="7"/>
      <c r="I754" s="2" t="s">
        <v>9</v>
      </c>
    </row>
    <row r="755" spans="1:9" ht="52" x14ac:dyDescent="0.3">
      <c r="A755" s="1" t="str">
        <f>HYPERLINK("https://ipmanager.doe.gov/IPManager//ExternalLink.aspx?6ibkph2k9yi6F%2B0Vz7YoTnXVN2REjGcWAXo4bUJKM7M%3D","Link")</f>
        <v>Link</v>
      </c>
      <c r="B755" s="2" t="s">
        <v>1391</v>
      </c>
      <c r="C755" s="2" t="s">
        <v>1392</v>
      </c>
      <c r="D755" s="2" t="s">
        <v>1393</v>
      </c>
      <c r="E755" s="2" t="s">
        <v>1402</v>
      </c>
      <c r="F755" s="2" t="s">
        <v>1403</v>
      </c>
      <c r="G755" s="2" t="s">
        <v>1404</v>
      </c>
      <c r="H755" s="7"/>
      <c r="I755" s="2" t="s">
        <v>9</v>
      </c>
    </row>
    <row r="756" spans="1:9" ht="26" x14ac:dyDescent="0.3">
      <c r="A756" s="1" t="str">
        <f>HYPERLINK("https://ipmanager.doe.gov/IPManager//ExternalLink.aspx?6ibkph2k9yi6F%2B0Vz7YoTgZwfmYxrNyKDHryNrHMkwI%3D","Link")</f>
        <v>Link</v>
      </c>
      <c r="B756" s="2" t="s">
        <v>4316</v>
      </c>
      <c r="C756" s="2" t="s">
        <v>4313</v>
      </c>
      <c r="D756" s="2" t="s">
        <v>4314</v>
      </c>
      <c r="E756" s="2" t="s">
        <v>4317</v>
      </c>
      <c r="F756" s="2" t="s">
        <v>4318</v>
      </c>
      <c r="G756" s="2" t="s">
        <v>4319</v>
      </c>
      <c r="H756" s="7"/>
      <c r="I756" s="2" t="s">
        <v>9</v>
      </c>
    </row>
    <row r="757" spans="1:9" ht="26" x14ac:dyDescent="0.3">
      <c r="A757" s="1" t="str">
        <f>HYPERLINK("https://ipmanager.doe.gov/IPManager//ExternalLink.aspx?6ibkph2k9yi6F%2B0Vz7YoThEBhkR3uHVr1h2RgXQAks8%3D","Link")</f>
        <v>Link</v>
      </c>
      <c r="B757" s="2" t="s">
        <v>2600</v>
      </c>
      <c r="C757" s="2" t="s">
        <v>2573</v>
      </c>
      <c r="D757" s="2" t="s">
        <v>2316</v>
      </c>
      <c r="E757" s="2" t="s">
        <v>2601</v>
      </c>
      <c r="F757" s="2"/>
      <c r="G757" s="2" t="s">
        <v>9</v>
      </c>
      <c r="H757" s="7"/>
      <c r="I757" s="2" t="s">
        <v>9</v>
      </c>
    </row>
    <row r="758" spans="1:9" ht="26" x14ac:dyDescent="0.3">
      <c r="A758" s="1" t="str">
        <f>HYPERLINK("https://ipmanager.doe.gov/IPManager//ExternalLink.aspx?6ibkph2k9yi6F%2B0Vz7YoTo7DPLa3%2F%2FGgBuK%2BU8WLNSM%3D","Link")</f>
        <v>Link</v>
      </c>
      <c r="B758" s="2" t="s">
        <v>4321</v>
      </c>
      <c r="C758" s="2" t="s">
        <v>4313</v>
      </c>
      <c r="D758" s="2" t="s">
        <v>4314</v>
      </c>
      <c r="E758" s="2" t="s">
        <v>4322</v>
      </c>
      <c r="F758" s="2" t="s">
        <v>4323</v>
      </c>
      <c r="G758" s="2" t="s">
        <v>4320</v>
      </c>
      <c r="H758" s="7"/>
      <c r="I758" s="2" t="s">
        <v>9</v>
      </c>
    </row>
    <row r="759" spans="1:9" ht="39" x14ac:dyDescent="0.3">
      <c r="A759" s="1" t="str">
        <f>HYPERLINK("https://ipmanager.doe.gov/IPManager//ExternalLink.aspx?6ibkph2k9yi6F%2B0Vz7YoTp68px7nSN2gA8m%2FvNLHafs%3D","Link")</f>
        <v>Link</v>
      </c>
      <c r="B759" s="2" t="s">
        <v>2606</v>
      </c>
      <c r="C759" s="2" t="s">
        <v>2573</v>
      </c>
      <c r="D759" s="2" t="s">
        <v>2316</v>
      </c>
      <c r="E759" s="2" t="s">
        <v>2607</v>
      </c>
      <c r="F759" s="2"/>
      <c r="G759" s="2" t="s">
        <v>9</v>
      </c>
      <c r="H759" s="7"/>
      <c r="I759" s="2" t="s">
        <v>9</v>
      </c>
    </row>
    <row r="760" spans="1:9" ht="52" x14ac:dyDescent="0.3">
      <c r="A760" s="1" t="str">
        <f>HYPERLINK("https://ipmanager.doe.gov/IPManager//ExternalLink.aspx?6ibkph2k9yi6F%2B0Vz7YoTp68px7nSN2gU4S%2BXWuaCcg%3D","Link")</f>
        <v>Link</v>
      </c>
      <c r="B760" s="2" t="s">
        <v>2609</v>
      </c>
      <c r="C760" s="2" t="s">
        <v>2573</v>
      </c>
      <c r="D760" s="2" t="s">
        <v>2316</v>
      </c>
      <c r="E760" s="2" t="s">
        <v>2610</v>
      </c>
      <c r="F760" s="2"/>
      <c r="G760" s="2" t="s">
        <v>9</v>
      </c>
      <c r="H760" s="7"/>
      <c r="I760" s="2" t="s">
        <v>9</v>
      </c>
    </row>
    <row r="761" spans="1:9" ht="52" x14ac:dyDescent="0.3">
      <c r="A761" s="1" t="str">
        <f>HYPERLINK("https://ipmanager.doe.gov/IPManager//ExternalLink.aspx?6ibkph2k9yi6F%2B0Vz7YoTnXVN2REjGcW1V6m13%2F4QyI%3D","Link")</f>
        <v>Link</v>
      </c>
      <c r="B761" s="2" t="s">
        <v>2611</v>
      </c>
      <c r="C761" s="2" t="s">
        <v>2573</v>
      </c>
      <c r="D761" s="2" t="s">
        <v>2316</v>
      </c>
      <c r="E761" s="2" t="s">
        <v>2612</v>
      </c>
      <c r="F761" s="2" t="s">
        <v>2613</v>
      </c>
      <c r="G761" s="2" t="s">
        <v>2614</v>
      </c>
      <c r="H761" s="7">
        <v>9715957</v>
      </c>
      <c r="I761" s="2" t="s">
        <v>2615</v>
      </c>
    </row>
    <row r="762" spans="1:9" ht="52" x14ac:dyDescent="0.3">
      <c r="A762" s="1" t="str">
        <f>HYPERLINK("https://ipmanager.doe.gov/IPManager//ExternalLink.aspx?6ibkph2k9yi6F%2B0Vz7YoTgZwfmYxrNyKvB9usPBdYb0%3D","Link")</f>
        <v>Link</v>
      </c>
      <c r="B762" s="2" t="s">
        <v>2617</v>
      </c>
      <c r="C762" s="2" t="s">
        <v>2573</v>
      </c>
      <c r="D762" s="2" t="s">
        <v>2316</v>
      </c>
      <c r="E762" s="2" t="s">
        <v>2618</v>
      </c>
      <c r="F762" s="2"/>
      <c r="G762" s="2" t="s">
        <v>9</v>
      </c>
      <c r="H762" s="7"/>
      <c r="I762" s="2" t="s">
        <v>9</v>
      </c>
    </row>
    <row r="763" spans="1:9" ht="52" x14ac:dyDescent="0.3">
      <c r="A763" s="1" t="str">
        <f>HYPERLINK("https://ipmanager.doe.gov/IPManager//ExternalLink.aspx?6ibkph2k9yi6F%2B0Vz7YoTq6RR9BlGHHiEZn%2BXZK9Dug%3D","Link")</f>
        <v>Link</v>
      </c>
      <c r="B763" s="2" t="s">
        <v>2619</v>
      </c>
      <c r="C763" s="2" t="s">
        <v>2573</v>
      </c>
      <c r="D763" s="2" t="s">
        <v>2316</v>
      </c>
      <c r="E763" s="2" t="s">
        <v>2620</v>
      </c>
      <c r="F763" s="2"/>
      <c r="G763" s="2" t="s">
        <v>9</v>
      </c>
      <c r="H763" s="7"/>
      <c r="I763" s="2" t="s">
        <v>9</v>
      </c>
    </row>
    <row r="764" spans="1:9" ht="52" x14ac:dyDescent="0.3">
      <c r="A764" s="1" t="str">
        <f>HYPERLINK("https://ipmanager.doe.gov/IPManager//ExternalLink.aspx?6ibkph2k9yi6F%2B0Vz7YoTnXVN2REjGcWjwJkADvJ0X8%3D","Link")</f>
        <v>Link</v>
      </c>
      <c r="B764" s="2" t="s">
        <v>2621</v>
      </c>
      <c r="C764" s="2" t="s">
        <v>2573</v>
      </c>
      <c r="D764" s="2" t="s">
        <v>2316</v>
      </c>
      <c r="E764" s="2" t="s">
        <v>2622</v>
      </c>
      <c r="F764" s="2"/>
      <c r="G764" s="2" t="s">
        <v>9</v>
      </c>
      <c r="H764" s="7"/>
      <c r="I764" s="2" t="s">
        <v>9</v>
      </c>
    </row>
    <row r="765" spans="1:9" ht="26" x14ac:dyDescent="0.3">
      <c r="A765" s="1" t="str">
        <f>HYPERLINK("https://ipmanager.doe.gov/IPManager//ExternalLink.aspx?6ibkph2k9yi6F%2B0Vz7YoTo7DPLa3%2F%2FGgzovVGiLMIVE%3D","Link")</f>
        <v>Link</v>
      </c>
      <c r="B765" s="2" t="s">
        <v>4324</v>
      </c>
      <c r="C765" s="2" t="s">
        <v>4313</v>
      </c>
      <c r="D765" s="2" t="s">
        <v>4314</v>
      </c>
      <c r="E765" s="2" t="s">
        <v>4325</v>
      </c>
      <c r="F765" s="2" t="s">
        <v>4326</v>
      </c>
      <c r="G765" s="2" t="s">
        <v>406</v>
      </c>
      <c r="H765" s="7"/>
      <c r="I765" s="2" t="s">
        <v>9</v>
      </c>
    </row>
    <row r="766" spans="1:9" ht="26" x14ac:dyDescent="0.3">
      <c r="A766" s="1" t="str">
        <f>HYPERLINK("https://ipmanager.doe.gov/IPManager//ExternalLink.aspx?6ibkph2k9yi6F%2B0Vz7YoTo7DPLa3%2F%2FGgFc7e1Qhqits%3D","Link")</f>
        <v>Link</v>
      </c>
      <c r="B766" s="2" t="s">
        <v>4327</v>
      </c>
      <c r="C766" s="2" t="s">
        <v>4313</v>
      </c>
      <c r="D766" s="2" t="s">
        <v>4314</v>
      </c>
      <c r="E766" s="2" t="s">
        <v>4328</v>
      </c>
      <c r="F766" s="2" t="s">
        <v>4329</v>
      </c>
      <c r="G766" s="2" t="s">
        <v>4330</v>
      </c>
      <c r="H766" s="7"/>
      <c r="I766" s="2" t="s">
        <v>9</v>
      </c>
    </row>
    <row r="767" spans="1:9" ht="39" x14ac:dyDescent="0.3">
      <c r="A767" s="1" t="str">
        <f>HYPERLINK("https://ipmanager.doe.gov/IPManager//ExternalLink.aspx?6ibkph2k9yi6F%2B0Vz7YoTq6RR9BlGHHihNz3iN%2FgFnM%3D","Link")</f>
        <v>Link</v>
      </c>
      <c r="B767" s="2" t="s">
        <v>522</v>
      </c>
      <c r="C767" s="2" t="s">
        <v>523</v>
      </c>
      <c r="D767" s="2" t="s">
        <v>524</v>
      </c>
      <c r="E767" s="2" t="s">
        <v>525</v>
      </c>
      <c r="F767" s="2" t="s">
        <v>526</v>
      </c>
      <c r="G767" s="2" t="s">
        <v>527</v>
      </c>
      <c r="H767" s="7"/>
      <c r="I767" s="2" t="s">
        <v>9</v>
      </c>
    </row>
    <row r="768" spans="1:9" ht="26" x14ac:dyDescent="0.3">
      <c r="A768" s="1" t="str">
        <f>HYPERLINK("https://ipmanager.doe.gov/IPManager//ExternalLink.aspx?6ibkph2k9yi6F%2B0Vz7YoTq6RR9BlGHHiIdOM3wuHjgQ%3D","Link")</f>
        <v>Link</v>
      </c>
      <c r="B768" s="2" t="s">
        <v>528</v>
      </c>
      <c r="C768" s="2" t="s">
        <v>523</v>
      </c>
      <c r="D768" s="2" t="s">
        <v>524</v>
      </c>
      <c r="E768" s="2" t="s">
        <v>529</v>
      </c>
      <c r="F768" s="2" t="s">
        <v>530</v>
      </c>
      <c r="G768" s="2" t="s">
        <v>527</v>
      </c>
      <c r="H768" s="7"/>
      <c r="I768" s="2" t="s">
        <v>9</v>
      </c>
    </row>
    <row r="769" spans="1:9" ht="52" x14ac:dyDescent="0.3">
      <c r="A769" s="1" t="str">
        <f>HYPERLINK("https://ipmanager.doe.gov/IPManager//ExternalLink.aspx?6ibkph2k9yi6F%2B0Vz7YoTnXVN2REjGcWBbKh27lIv4A%3D","Link")</f>
        <v>Link</v>
      </c>
      <c r="B769" s="2" t="s">
        <v>2638</v>
      </c>
      <c r="C769" s="2" t="s">
        <v>2573</v>
      </c>
      <c r="D769" s="2" t="s">
        <v>2316</v>
      </c>
      <c r="E769" s="2" t="s">
        <v>2344</v>
      </c>
      <c r="F769" s="2" t="s">
        <v>2637</v>
      </c>
      <c r="G769" s="2" t="s">
        <v>418</v>
      </c>
      <c r="H769" s="7">
        <v>10068689</v>
      </c>
      <c r="I769" s="2" t="s">
        <v>2639</v>
      </c>
    </row>
    <row r="770" spans="1:9" ht="65" x14ac:dyDescent="0.3">
      <c r="A770" s="1" t="str">
        <f>HYPERLINK("https://ipmanager.doe.gov/IPManager//ExternalLink.aspx?6ibkph2k9yi6F%2B0Vz7YoTnXVN2REjGcWOEcC8PCEXWw%3D","Link")</f>
        <v>Link</v>
      </c>
      <c r="B770" s="2" t="s">
        <v>2640</v>
      </c>
      <c r="C770" s="2" t="s">
        <v>2573</v>
      </c>
      <c r="D770" s="2" t="s">
        <v>2316</v>
      </c>
      <c r="E770" s="2" t="s">
        <v>2641</v>
      </c>
      <c r="F770" s="2" t="s">
        <v>2642</v>
      </c>
      <c r="G770" s="2" t="s">
        <v>1305</v>
      </c>
      <c r="H770" s="7">
        <v>10002694</v>
      </c>
      <c r="I770" s="2" t="s">
        <v>2643</v>
      </c>
    </row>
    <row r="771" spans="1:9" ht="52" x14ac:dyDescent="0.3">
      <c r="A771" s="1" t="str">
        <f>HYPERLINK("https://ipmanager.doe.gov/IPManager//ExternalLink.aspx?6ibkph2k9yi6F%2B0Vz7YoTq6RR9BlGHHieN%2B9a%2BCnHPo%3D","Link")</f>
        <v>Link</v>
      </c>
      <c r="B771" s="2" t="s">
        <v>531</v>
      </c>
      <c r="C771" s="2" t="s">
        <v>523</v>
      </c>
      <c r="D771" s="2" t="s">
        <v>524</v>
      </c>
      <c r="E771" s="2" t="s">
        <v>532</v>
      </c>
      <c r="F771" s="2" t="s">
        <v>533</v>
      </c>
      <c r="G771" s="2" t="s">
        <v>527</v>
      </c>
      <c r="H771" s="7"/>
      <c r="I771" s="2" t="s">
        <v>9</v>
      </c>
    </row>
    <row r="772" spans="1:9" ht="52" x14ac:dyDescent="0.3">
      <c r="A772" s="1" t="str">
        <f>HYPERLINK("https://ipmanager.doe.gov/IPManager//ExternalLink.aspx?6ibkph2k9yi6F%2B0Vz7YoTq6RR9BlGHHiv6gcdD3zYTU%3D","Link")</f>
        <v>Link</v>
      </c>
      <c r="B772" s="2" t="s">
        <v>534</v>
      </c>
      <c r="C772" s="2" t="s">
        <v>523</v>
      </c>
      <c r="D772" s="2" t="s">
        <v>524</v>
      </c>
      <c r="E772" s="2" t="s">
        <v>535</v>
      </c>
      <c r="F772" s="2" t="s">
        <v>536</v>
      </c>
      <c r="G772" s="2" t="s">
        <v>527</v>
      </c>
      <c r="H772" s="7"/>
      <c r="I772" s="2" t="s">
        <v>9</v>
      </c>
    </row>
    <row r="773" spans="1:9" ht="26" x14ac:dyDescent="0.3">
      <c r="A773" s="1" t="str">
        <f>HYPERLINK("https://ipmanager.doe.gov/IPManager//ExternalLink.aspx?6ibkph2k9yi6F%2B0Vz7YoTq6RR9BlGHHilumRFhmo%2BsU%3D","Link")</f>
        <v>Link</v>
      </c>
      <c r="B773" s="2" t="s">
        <v>542</v>
      </c>
      <c r="C773" s="2" t="s">
        <v>523</v>
      </c>
      <c r="D773" s="2" t="s">
        <v>524</v>
      </c>
      <c r="E773" s="2" t="s">
        <v>538</v>
      </c>
      <c r="F773" s="2" t="s">
        <v>543</v>
      </c>
      <c r="G773" s="2" t="s">
        <v>527</v>
      </c>
      <c r="H773" s="7"/>
      <c r="I773" s="2" t="s">
        <v>9</v>
      </c>
    </row>
    <row r="774" spans="1:9" ht="52" x14ac:dyDescent="0.3">
      <c r="A774" s="1" t="str">
        <f>HYPERLINK("https://ipmanager.doe.gov/IPManager//ExternalLink.aspx?6ibkph2k9yi6F%2B0Vz7YoTnXVN2REjGcWnwsGlXlBoPM%3D","Link")</f>
        <v>Link</v>
      </c>
      <c r="B774" s="2" t="s">
        <v>2240</v>
      </c>
      <c r="C774" s="2" t="s">
        <v>2241</v>
      </c>
      <c r="D774" s="2" t="s">
        <v>2242</v>
      </c>
      <c r="E774" s="2" t="s">
        <v>2243</v>
      </c>
      <c r="F774" s="2" t="s">
        <v>2244</v>
      </c>
      <c r="G774" s="2" t="s">
        <v>2245</v>
      </c>
      <c r="H774" s="7"/>
      <c r="I774" s="2" t="s">
        <v>9</v>
      </c>
    </row>
    <row r="775" spans="1:9" ht="52" x14ac:dyDescent="0.3">
      <c r="A775" s="1" t="str">
        <f>HYPERLINK("https://ipmanager.doe.gov/IPManager//ExternalLink.aspx?6ibkph2k9yi6F%2B0Vz7YoTipZ798QK%2BbPlARKwl7q368%3D","Link")</f>
        <v>Link</v>
      </c>
      <c r="B775" s="2" t="s">
        <v>2246</v>
      </c>
      <c r="C775" s="2" t="s">
        <v>2241</v>
      </c>
      <c r="D775" s="2" t="s">
        <v>2242</v>
      </c>
      <c r="E775" s="2" t="s">
        <v>2243</v>
      </c>
      <c r="F775" s="2" t="s">
        <v>2247</v>
      </c>
      <c r="G775" s="2" t="s">
        <v>1469</v>
      </c>
      <c r="H775" s="7"/>
      <c r="I775" s="2" t="s">
        <v>9</v>
      </c>
    </row>
    <row r="776" spans="1:9" ht="52" x14ac:dyDescent="0.3">
      <c r="A776" s="1" t="str">
        <f>HYPERLINK("https://ipmanager.doe.gov/IPManager//ExternalLink.aspx?6ibkph2k9yi6F%2B0Vz7YoTipZ798QK%2BbPzhhvjvMJP90%3D","Link")</f>
        <v>Link</v>
      </c>
      <c r="B776" s="2" t="s">
        <v>2658</v>
      </c>
      <c r="C776" s="2" t="s">
        <v>2659</v>
      </c>
      <c r="D776" s="2" t="s">
        <v>1343</v>
      </c>
      <c r="E776" s="2" t="s">
        <v>2660</v>
      </c>
      <c r="F776" s="2"/>
      <c r="G776" s="2" t="s">
        <v>9</v>
      </c>
      <c r="H776" s="7"/>
      <c r="I776" s="2" t="s">
        <v>9</v>
      </c>
    </row>
    <row r="777" spans="1:9" ht="104" x14ac:dyDescent="0.3">
      <c r="A777" s="1" t="str">
        <f>HYPERLINK("https://ipmanager.doe.gov/IPManager//ExternalLink.aspx?6ibkph2k9yi6F%2B0Vz7YoTipZ798QK%2BbPcSG%2FMMoc%2Bdk%3D","Link")</f>
        <v>Link</v>
      </c>
      <c r="B777" s="2" t="s">
        <v>2661</v>
      </c>
      <c r="C777" s="2" t="s">
        <v>2659</v>
      </c>
      <c r="D777" s="2" t="s">
        <v>1343</v>
      </c>
      <c r="E777" s="2" t="s">
        <v>2662</v>
      </c>
      <c r="F777" s="2"/>
      <c r="G777" s="2" t="s">
        <v>9</v>
      </c>
      <c r="H777" s="7"/>
      <c r="I777" s="2" t="s">
        <v>9</v>
      </c>
    </row>
    <row r="778" spans="1:9" ht="52" x14ac:dyDescent="0.3">
      <c r="A778" s="1" t="str">
        <f>HYPERLINK("https://ipmanager.doe.gov/IPManager//ExternalLink.aspx?6ibkph2k9yi6F%2B0Vz7YoTipZ798QK%2BbPQd5JiluUjQg%3D","Link")</f>
        <v>Link</v>
      </c>
      <c r="B778" s="2" t="s">
        <v>2663</v>
      </c>
      <c r="C778" s="2" t="s">
        <v>2659</v>
      </c>
      <c r="D778" s="2" t="s">
        <v>1343</v>
      </c>
      <c r="E778" s="2" t="s">
        <v>2664</v>
      </c>
      <c r="F778" s="2"/>
      <c r="G778" s="2" t="s">
        <v>9</v>
      </c>
      <c r="H778" s="7"/>
      <c r="I778" s="2" t="s">
        <v>9</v>
      </c>
    </row>
    <row r="779" spans="1:9" ht="52" x14ac:dyDescent="0.3">
      <c r="A779" s="1" t="str">
        <f>HYPERLINK("https://ipmanager.doe.gov/IPManager//ExternalLink.aspx?6ibkph2k9yi6F%2B0Vz7YoTlNm8snv%2FZpHafJNvTsznYs%3D","Link")</f>
        <v>Link</v>
      </c>
      <c r="B779" s="2" t="s">
        <v>2248</v>
      </c>
      <c r="C779" s="2" t="s">
        <v>2241</v>
      </c>
      <c r="D779" s="2" t="s">
        <v>2242</v>
      </c>
      <c r="E779" s="2" t="s">
        <v>2243</v>
      </c>
      <c r="F779" s="2" t="s">
        <v>2249</v>
      </c>
      <c r="G779" s="2" t="s">
        <v>485</v>
      </c>
      <c r="H779" s="7"/>
      <c r="I779" s="2" t="s">
        <v>9</v>
      </c>
    </row>
    <row r="780" spans="1:9" ht="39" x14ac:dyDescent="0.3">
      <c r="A780" s="1" t="str">
        <f>HYPERLINK("https://ipmanager.doe.gov/IPManager//ExternalLink.aspx?6ibkph2k9yi6F%2B0Vz7YoTq6RR9BlGHHi6n%2BOE90jFdM%3D","Link")</f>
        <v>Link</v>
      </c>
      <c r="B780" s="2" t="s">
        <v>2669</v>
      </c>
      <c r="C780" s="2" t="s">
        <v>2659</v>
      </c>
      <c r="D780" s="2" t="s">
        <v>1340</v>
      </c>
      <c r="E780" s="2" t="s">
        <v>2670</v>
      </c>
      <c r="F780" s="2"/>
      <c r="G780" s="2" t="s">
        <v>9</v>
      </c>
      <c r="H780" s="7"/>
      <c r="I780" s="2" t="s">
        <v>9</v>
      </c>
    </row>
    <row r="781" spans="1:9" ht="39" x14ac:dyDescent="0.3">
      <c r="A781" s="1" t="str">
        <f>HYPERLINK("https://ipmanager.doe.gov/IPManager//ExternalLink.aspx?6ibkph2k9yi6F%2B0Vz7YoTlNm8snv%2FZpH2IEC4t0f0HU%3D","Link")</f>
        <v>Link</v>
      </c>
      <c r="B781" s="2" t="s">
        <v>2250</v>
      </c>
      <c r="C781" s="2" t="s">
        <v>2241</v>
      </c>
      <c r="D781" s="2" t="s">
        <v>2242</v>
      </c>
      <c r="E781" s="2" t="s">
        <v>2251</v>
      </c>
      <c r="F781" s="2" t="s">
        <v>2252</v>
      </c>
      <c r="G781" s="2" t="s">
        <v>1227</v>
      </c>
      <c r="H781" s="7"/>
      <c r="I781" s="2" t="s">
        <v>9</v>
      </c>
    </row>
    <row r="782" spans="1:9" ht="78" x14ac:dyDescent="0.3">
      <c r="A782" s="1" t="str">
        <f>HYPERLINK("https://ipmanager.doe.gov/IPManager//ExternalLink.aspx?6ibkph2k9yi6F%2B0Vz7YoTo7DPLa3%2F%2FGgGrOnW17lCKE%3D","Link")</f>
        <v>Link</v>
      </c>
      <c r="B782" s="2" t="s">
        <v>2674</v>
      </c>
      <c r="C782" s="2" t="s">
        <v>2659</v>
      </c>
      <c r="D782" s="2" t="s">
        <v>1343</v>
      </c>
      <c r="E782" s="2" t="s">
        <v>2675</v>
      </c>
      <c r="F782" s="2"/>
      <c r="G782" s="2" t="s">
        <v>9</v>
      </c>
      <c r="H782" s="7"/>
      <c r="I782" s="2" t="s">
        <v>9</v>
      </c>
    </row>
    <row r="783" spans="1:9" ht="39" x14ac:dyDescent="0.3">
      <c r="A783" s="1" t="str">
        <f>HYPERLINK("https://ipmanager.doe.gov/IPManager//ExternalLink.aspx?6ibkph2k9yi6F%2B0Vz7YoTlNm8snv%2FZpHGYFY1UMzKKI%3D","Link")</f>
        <v>Link</v>
      </c>
      <c r="B783" s="2" t="s">
        <v>2253</v>
      </c>
      <c r="C783" s="2" t="s">
        <v>2241</v>
      </c>
      <c r="D783" s="2" t="s">
        <v>2242</v>
      </c>
      <c r="E783" s="2" t="s">
        <v>2251</v>
      </c>
      <c r="F783" s="2" t="s">
        <v>2254</v>
      </c>
      <c r="G783" s="2" t="s">
        <v>1227</v>
      </c>
      <c r="H783" s="7"/>
      <c r="I783" s="2" t="s">
        <v>9</v>
      </c>
    </row>
    <row r="784" spans="1:9" ht="104" x14ac:dyDescent="0.3">
      <c r="A784" s="1" t="str">
        <f>HYPERLINK("https://ipmanager.doe.gov/IPManager//ExternalLink.aspx?6ibkph2k9yi6F%2B0Vz7YoTq6RR9BlGHHiwk0SOQ7y1aE%3D","Link")</f>
        <v>Link</v>
      </c>
      <c r="B784" s="2" t="s">
        <v>2681</v>
      </c>
      <c r="C784" s="2" t="s">
        <v>2659</v>
      </c>
      <c r="D784" s="2" t="s">
        <v>1343</v>
      </c>
      <c r="E784" s="2" t="s">
        <v>2682</v>
      </c>
      <c r="F784" s="2"/>
      <c r="G784" s="2" t="s">
        <v>9</v>
      </c>
      <c r="H784" s="7"/>
      <c r="I784" s="2" t="s">
        <v>9</v>
      </c>
    </row>
    <row r="785" spans="1:9" ht="78" x14ac:dyDescent="0.3">
      <c r="A785" s="1" t="str">
        <f>HYPERLINK("https://ipmanager.doe.gov/IPManager//ExternalLink.aspx?6ibkph2k9yi6F%2B0Vz7YoTjnDGhmGHGI7IibBCsdDV%2Bk%3D","Link")</f>
        <v>Link</v>
      </c>
      <c r="B785" s="2" t="s">
        <v>2683</v>
      </c>
      <c r="C785" s="2" t="s">
        <v>2659</v>
      </c>
      <c r="D785" s="2" t="s">
        <v>1343</v>
      </c>
      <c r="E785" s="2" t="s">
        <v>2684</v>
      </c>
      <c r="F785" s="2"/>
      <c r="G785" s="2" t="s">
        <v>9</v>
      </c>
      <c r="H785" s="7"/>
      <c r="I785" s="2" t="s">
        <v>9</v>
      </c>
    </row>
    <row r="786" spans="1:9" ht="104" x14ac:dyDescent="0.3">
      <c r="A786" s="1" t="str">
        <f>HYPERLINK("https://ipmanager.doe.gov/IPManager//ExternalLink.aspx?6ibkph2k9yi6F%2B0Vz7YoTipZ798QK%2BbPzQFTRRBEgus%3D","Link")</f>
        <v>Link</v>
      </c>
      <c r="B786" s="2" t="s">
        <v>2685</v>
      </c>
      <c r="C786" s="2" t="s">
        <v>2659</v>
      </c>
      <c r="D786" s="2" t="s">
        <v>1343</v>
      </c>
      <c r="E786" s="2" t="s">
        <v>2686</v>
      </c>
      <c r="F786" s="2"/>
      <c r="G786" s="2" t="s">
        <v>9</v>
      </c>
      <c r="H786" s="7"/>
      <c r="I786" s="2" t="s">
        <v>9</v>
      </c>
    </row>
    <row r="787" spans="1:9" ht="65" x14ac:dyDescent="0.3">
      <c r="A787" s="1" t="str">
        <f>HYPERLINK("https://ipmanager.doe.gov/IPManager//ExternalLink.aspx?6ibkph2k9yi6F%2B0Vz7YoTipZ798QK%2BbPtOIrHsISbB0%3D","Link")</f>
        <v>Link</v>
      </c>
      <c r="B787" s="2" t="s">
        <v>2687</v>
      </c>
      <c r="C787" s="2" t="s">
        <v>2659</v>
      </c>
      <c r="D787" s="2" t="s">
        <v>1343</v>
      </c>
      <c r="E787" s="2" t="s">
        <v>2688</v>
      </c>
      <c r="F787" s="2"/>
      <c r="G787" s="2" t="s">
        <v>9</v>
      </c>
      <c r="H787" s="7"/>
      <c r="I787" s="2" t="s">
        <v>9</v>
      </c>
    </row>
    <row r="788" spans="1:9" ht="65" x14ac:dyDescent="0.3">
      <c r="A788" s="1" t="str">
        <f>HYPERLINK("https://ipmanager.doe.gov/IPManager//ExternalLink.aspx?6ibkph2k9yi6F%2B0Vz7YoTgZwfmYxrNyKeU1z7B7qYdQ%3D","Link")</f>
        <v>Link</v>
      </c>
      <c r="B788" s="2" t="s">
        <v>451</v>
      </c>
      <c r="C788" s="2" t="s">
        <v>442</v>
      </c>
      <c r="D788" s="2" t="s">
        <v>452</v>
      </c>
      <c r="E788" s="2" t="s">
        <v>453</v>
      </c>
      <c r="F788" s="2" t="s">
        <v>454</v>
      </c>
      <c r="G788" s="2" t="s">
        <v>455</v>
      </c>
      <c r="H788" s="7"/>
      <c r="I788" s="2" t="s">
        <v>9</v>
      </c>
    </row>
    <row r="789" spans="1:9" ht="39" x14ac:dyDescent="0.3">
      <c r="A789" s="1" t="str">
        <f>HYPERLINK("https://ipmanager.doe.gov/IPManager//ExternalLink.aspx?6ibkph2k9yi6F%2B0Vz7YoTipZ798QK%2BbPmMXJ1YYKQPE%3D","Link")</f>
        <v>Link</v>
      </c>
      <c r="B789" s="2" t="s">
        <v>2689</v>
      </c>
      <c r="C789" s="2" t="s">
        <v>2690</v>
      </c>
      <c r="D789" s="2" t="s">
        <v>1318</v>
      </c>
      <c r="E789" s="2" t="s">
        <v>2691</v>
      </c>
      <c r="F789" s="2"/>
      <c r="G789" s="2" t="s">
        <v>9</v>
      </c>
      <c r="H789" s="7"/>
      <c r="I789" s="2" t="s">
        <v>9</v>
      </c>
    </row>
    <row r="790" spans="1:9" ht="26" x14ac:dyDescent="0.3">
      <c r="A790" s="1" t="str">
        <f>HYPERLINK("https://ipmanager.doe.gov/IPManager//ExternalLink.aspx?6ibkph2k9yi6F%2B0Vz7YoTipZ798QK%2BbPZYPApChh%2Bc4%3D","Link")</f>
        <v>Link</v>
      </c>
      <c r="B790" s="2" t="s">
        <v>2692</v>
      </c>
      <c r="C790" s="2" t="s">
        <v>2690</v>
      </c>
      <c r="D790" s="2" t="s">
        <v>1318</v>
      </c>
      <c r="E790" s="2" t="s">
        <v>2693</v>
      </c>
      <c r="F790" s="2"/>
      <c r="G790" s="2" t="s">
        <v>9</v>
      </c>
      <c r="H790" s="7"/>
      <c r="I790" s="2" t="s">
        <v>9</v>
      </c>
    </row>
    <row r="791" spans="1:9" ht="52" x14ac:dyDescent="0.3">
      <c r="A791" s="1" t="str">
        <f>HYPERLINK("https://ipmanager.doe.gov/IPManager//ExternalLink.aspx?6ibkph2k9yi6F%2B0Vz7YoTjnDGhmGHGI7Og35UpWDYtU%3D","Link")</f>
        <v>Link</v>
      </c>
      <c r="B791" s="2" t="s">
        <v>2694</v>
      </c>
      <c r="C791" s="2" t="s">
        <v>2690</v>
      </c>
      <c r="D791" s="2" t="s">
        <v>1318</v>
      </c>
      <c r="E791" s="2" t="s">
        <v>2695</v>
      </c>
      <c r="F791" s="2"/>
      <c r="G791" s="2" t="s">
        <v>9</v>
      </c>
      <c r="H791" s="7"/>
      <c r="I791" s="2" t="s">
        <v>9</v>
      </c>
    </row>
    <row r="792" spans="1:9" ht="39" x14ac:dyDescent="0.3">
      <c r="A792" s="1" t="str">
        <f>HYPERLINK("https://ipmanager.doe.gov/IPManager//ExternalLink.aspx?6ibkph2k9yi6F%2B0Vz7YoTjnDGhmGHGI7yOCt8kZf3uY%3D","Link")</f>
        <v>Link</v>
      </c>
      <c r="B792" s="2" t="s">
        <v>2696</v>
      </c>
      <c r="C792" s="2" t="s">
        <v>2697</v>
      </c>
      <c r="D792" s="2" t="s">
        <v>2698</v>
      </c>
      <c r="E792" s="2" t="s">
        <v>2699</v>
      </c>
      <c r="F792" s="2"/>
      <c r="G792" s="2" t="s">
        <v>9</v>
      </c>
      <c r="H792" s="7"/>
      <c r="I792" s="2" t="s">
        <v>9</v>
      </c>
    </row>
    <row r="793" spans="1:9" ht="39" x14ac:dyDescent="0.3">
      <c r="A793" s="1" t="str">
        <f>HYPERLINK("https://ipmanager.doe.gov/IPManager//ExternalLink.aspx?6ibkph2k9yi6F%2B0Vz7YoTr7J5I%2BY4foYg8hJ00Q5q1c%3D","Link")</f>
        <v>Link</v>
      </c>
      <c r="B793" s="2" t="s">
        <v>2700</v>
      </c>
      <c r="C793" s="2" t="s">
        <v>2697</v>
      </c>
      <c r="D793" s="2" t="s">
        <v>2701</v>
      </c>
      <c r="E793" s="2" t="s">
        <v>2702</v>
      </c>
      <c r="F793" s="2"/>
      <c r="G793" s="2" t="s">
        <v>9</v>
      </c>
      <c r="H793" s="7"/>
      <c r="I793" s="2" t="s">
        <v>9</v>
      </c>
    </row>
    <row r="794" spans="1:9" ht="39" x14ac:dyDescent="0.3">
      <c r="A794" s="1" t="str">
        <f>HYPERLINK("https://ipmanager.doe.gov/IPManager//ExternalLink.aspx?6ibkph2k9yi6F%2B0Vz7YoTo7DPLa3%2F%2FGgUkKFucUlpv4%3D","Link")</f>
        <v>Link</v>
      </c>
      <c r="B794" s="2" t="s">
        <v>2703</v>
      </c>
      <c r="C794" s="2" t="s">
        <v>2697</v>
      </c>
      <c r="D794" s="2" t="s">
        <v>2701</v>
      </c>
      <c r="E794" s="2" t="s">
        <v>2704</v>
      </c>
      <c r="F794" s="2"/>
      <c r="G794" s="2" t="s">
        <v>9</v>
      </c>
      <c r="H794" s="7"/>
      <c r="I794" s="2" t="s">
        <v>9</v>
      </c>
    </row>
    <row r="795" spans="1:9" ht="117" x14ac:dyDescent="0.3">
      <c r="A795" s="1" t="str">
        <f>HYPERLINK("https://ipmanager.doe.gov/IPManager//ExternalLink.aspx?6ibkph2k9yi6F%2B0Vz7YoTvPUg%2FVZPl3i2e%2BPFqUsBUY%3D","Link")</f>
        <v>Link</v>
      </c>
      <c r="B795" s="2" t="s">
        <v>2705</v>
      </c>
      <c r="C795" s="2" t="s">
        <v>2697</v>
      </c>
      <c r="D795" s="2" t="s">
        <v>2701</v>
      </c>
      <c r="E795" s="2" t="s">
        <v>2706</v>
      </c>
      <c r="F795" s="2"/>
      <c r="G795" s="2" t="s">
        <v>9</v>
      </c>
      <c r="H795" s="7"/>
      <c r="I795" s="2" t="s">
        <v>9</v>
      </c>
    </row>
    <row r="796" spans="1:9" ht="26" x14ac:dyDescent="0.3">
      <c r="A796" s="1" t="str">
        <f>HYPERLINK("https://ipmanager.doe.gov/IPManager//ExternalLink.aspx?6ibkph2k9yi6F%2B0Vz7YoTvPUg%2FVZPl3i4qFOUXbOHPs%3D","Link")</f>
        <v>Link</v>
      </c>
      <c r="B796" s="2" t="s">
        <v>2707</v>
      </c>
      <c r="C796" s="2" t="s">
        <v>2697</v>
      </c>
      <c r="D796" s="2" t="s">
        <v>1064</v>
      </c>
      <c r="E796" s="2" t="s">
        <v>2708</v>
      </c>
      <c r="F796" s="2"/>
      <c r="G796" s="2" t="s">
        <v>9</v>
      </c>
      <c r="H796" s="7"/>
      <c r="I796" s="2" t="s">
        <v>9</v>
      </c>
    </row>
    <row r="797" spans="1:9" ht="39" x14ac:dyDescent="0.3">
      <c r="A797" s="1" t="str">
        <f>HYPERLINK("https://ipmanager.doe.gov/IPManager//ExternalLink.aspx?6ibkph2k9yi6F%2B0Vz7YoTlNm8snv%2FZpH4xFe2U0hVVM%3D","Link")</f>
        <v>Link</v>
      </c>
      <c r="B797" s="2" t="s">
        <v>1236</v>
      </c>
      <c r="C797" s="2" t="s">
        <v>1225</v>
      </c>
      <c r="D797" s="2" t="s">
        <v>452</v>
      </c>
      <c r="E797" s="2" t="s">
        <v>1237</v>
      </c>
      <c r="F797" s="2" t="s">
        <v>1238</v>
      </c>
      <c r="G797" s="2" t="s">
        <v>405</v>
      </c>
      <c r="H797" s="7"/>
      <c r="I797" s="2" t="s">
        <v>9</v>
      </c>
    </row>
    <row r="798" spans="1:9" ht="52" x14ac:dyDescent="0.3">
      <c r="A798" s="1" t="str">
        <f>HYPERLINK("https://ipmanager.doe.gov/IPManager//ExternalLink.aspx?6ibkph2k9yi6F%2B0Vz7YoTgZwfmYxrNyK2lJhltbO9uA%3D","Link")</f>
        <v>Link</v>
      </c>
      <c r="B798" s="2" t="s">
        <v>2709</v>
      </c>
      <c r="C798" s="2" t="s">
        <v>2697</v>
      </c>
      <c r="D798" s="2" t="s">
        <v>12</v>
      </c>
      <c r="E798" s="2" t="s">
        <v>2710</v>
      </c>
      <c r="F798" s="2"/>
      <c r="G798" s="2" t="s">
        <v>9</v>
      </c>
      <c r="H798" s="7"/>
      <c r="I798" s="2" t="s">
        <v>9</v>
      </c>
    </row>
    <row r="799" spans="1:9" ht="26" x14ac:dyDescent="0.3">
      <c r="A799" s="1" t="str">
        <f>HYPERLINK("https://ipmanager.doe.gov/IPManager//ExternalLink.aspx?6ibkph2k9yi6F%2B0Vz7YoTvPUg%2FVZPl3i1pDQXA9RZ7Q%3D","Link")</f>
        <v>Link</v>
      </c>
      <c r="B799" s="2" t="s">
        <v>2714</v>
      </c>
      <c r="C799" s="2" t="s">
        <v>2697</v>
      </c>
      <c r="D799" s="2" t="s">
        <v>1064</v>
      </c>
      <c r="E799" s="2" t="s">
        <v>2708</v>
      </c>
      <c r="F799" s="2" t="s">
        <v>2715</v>
      </c>
      <c r="G799" s="2" t="s">
        <v>2449</v>
      </c>
      <c r="H799" s="7">
        <v>10240163</v>
      </c>
      <c r="I799" s="2" t="s">
        <v>2716</v>
      </c>
    </row>
    <row r="800" spans="1:9" ht="52" x14ac:dyDescent="0.3">
      <c r="A800" s="1" t="str">
        <f>HYPERLINK("https://ipmanager.doe.gov/IPManager//ExternalLink.aspx?6ibkph2k9yi6F%2B0Vz7YoTlNm8snv%2FZpH6atZj%2BU%2Foks%3D","Link")</f>
        <v>Link</v>
      </c>
      <c r="B800" s="2" t="s">
        <v>1240</v>
      </c>
      <c r="C800" s="2" t="s">
        <v>1225</v>
      </c>
      <c r="D800" s="2" t="s">
        <v>452</v>
      </c>
      <c r="E800" s="2" t="s">
        <v>1241</v>
      </c>
      <c r="F800" s="2" t="s">
        <v>1242</v>
      </c>
      <c r="G800" s="2" t="s">
        <v>1243</v>
      </c>
      <c r="H800" s="7"/>
      <c r="I800" s="2" t="s">
        <v>9</v>
      </c>
    </row>
    <row r="801" spans="1:9" ht="52" x14ac:dyDescent="0.3">
      <c r="A801" s="1" t="str">
        <f>HYPERLINK("https://ipmanager.doe.gov/IPManager//ExternalLink.aspx?6ibkph2k9yi6F%2B0Vz7YoTsTAnuFk5EoAMXWvs6j4%2BTY%3D","Link")</f>
        <v>Link</v>
      </c>
      <c r="B801" s="2" t="s">
        <v>2719</v>
      </c>
      <c r="C801" s="2" t="s">
        <v>2720</v>
      </c>
      <c r="D801" s="2" t="s">
        <v>1188</v>
      </c>
      <c r="E801" s="2" t="s">
        <v>2721</v>
      </c>
      <c r="F801" s="2" t="s">
        <v>2722</v>
      </c>
      <c r="G801" s="2" t="s">
        <v>2723</v>
      </c>
      <c r="H801" s="7">
        <v>10106826</v>
      </c>
      <c r="I801" s="2" t="s">
        <v>2724</v>
      </c>
    </row>
    <row r="802" spans="1:9" ht="39" x14ac:dyDescent="0.3">
      <c r="A802" s="1" t="str">
        <f>HYPERLINK("https://ipmanager.doe.gov/IPManager//ExternalLink.aspx?6ibkph2k9yi6F%2B0Vz7YoTr7J5I%2BY4foY%2FrduZ6dEcjg%3D","Link")</f>
        <v>Link</v>
      </c>
      <c r="B802" s="2" t="s">
        <v>4200</v>
      </c>
      <c r="C802" s="2" t="s">
        <v>4201</v>
      </c>
      <c r="D802" s="2" t="s">
        <v>452</v>
      </c>
      <c r="E802" s="2" t="s">
        <v>4202</v>
      </c>
      <c r="F802" s="2" t="s">
        <v>4203</v>
      </c>
      <c r="G802" s="2" t="s">
        <v>2091</v>
      </c>
      <c r="H802" s="7"/>
      <c r="I802" s="2" t="s">
        <v>9</v>
      </c>
    </row>
    <row r="803" spans="1:9" ht="65" x14ac:dyDescent="0.3">
      <c r="A803" s="1" t="str">
        <f>HYPERLINK("https://ipmanager.doe.gov/IPManager//ExternalLink.aspx?6ibkph2k9yi6F%2B0Vz7YoTipZ798QK%2BbP1RQ8J5adr%2Bk%3D","Link")</f>
        <v>Link</v>
      </c>
      <c r="B803" s="2" t="s">
        <v>2729</v>
      </c>
      <c r="C803" s="2" t="s">
        <v>2720</v>
      </c>
      <c r="D803" s="2" t="s">
        <v>2726</v>
      </c>
      <c r="E803" s="2" t="s">
        <v>2730</v>
      </c>
      <c r="F803" s="2"/>
      <c r="G803" s="2" t="s">
        <v>9</v>
      </c>
      <c r="H803" s="7"/>
      <c r="I803" s="2" t="s">
        <v>9</v>
      </c>
    </row>
    <row r="804" spans="1:9" ht="26" x14ac:dyDescent="0.3">
      <c r="A804" s="1" t="str">
        <f>HYPERLINK("https://ipmanager.doe.gov/IPManager//ExternalLink.aspx?6ibkph2k9yi6F%2B0Vz7YoTlNm8snv%2FZpHifOCqOM78bQ%3D","Link")</f>
        <v>Link</v>
      </c>
      <c r="B804" s="2" t="s">
        <v>4204</v>
      </c>
      <c r="C804" s="2" t="s">
        <v>4201</v>
      </c>
      <c r="D804" s="2" t="s">
        <v>452</v>
      </c>
      <c r="E804" s="2" t="s">
        <v>4205</v>
      </c>
      <c r="F804" s="2" t="s">
        <v>4206</v>
      </c>
      <c r="G804" s="2" t="s">
        <v>938</v>
      </c>
      <c r="H804" s="7"/>
      <c r="I804" s="2" t="s">
        <v>9</v>
      </c>
    </row>
    <row r="805" spans="1:9" ht="65" x14ac:dyDescent="0.3">
      <c r="A805" s="1" t="str">
        <f>HYPERLINK("https://ipmanager.doe.gov/IPManager//ExternalLink.aspx?6ibkph2k9yi6F%2B0Vz7YoTgZwfmYxrNyKRmczoOKTiwY%3D","Link")</f>
        <v>Link</v>
      </c>
      <c r="B805" s="2" t="s">
        <v>4216</v>
      </c>
      <c r="C805" s="2" t="s">
        <v>4201</v>
      </c>
      <c r="D805" s="2" t="s">
        <v>452</v>
      </c>
      <c r="E805" s="2" t="s">
        <v>4217</v>
      </c>
      <c r="F805" s="2" t="s">
        <v>4218</v>
      </c>
      <c r="G805" s="2" t="s">
        <v>916</v>
      </c>
      <c r="H805" s="7"/>
      <c r="I805" s="2" t="s">
        <v>9</v>
      </c>
    </row>
    <row r="806" spans="1:9" ht="52" x14ac:dyDescent="0.3">
      <c r="A806" s="1" t="str">
        <f>HYPERLINK("https://ipmanager.doe.gov/IPManager//ExternalLink.aspx?6ibkph2k9yi6F%2B0Vz7YoTjnDGhmGHGI7s0oPgkIPbpY%3D","Link")</f>
        <v>Link</v>
      </c>
      <c r="B806" s="2" t="s">
        <v>4221</v>
      </c>
      <c r="C806" s="2" t="s">
        <v>4201</v>
      </c>
      <c r="D806" s="2" t="s">
        <v>452</v>
      </c>
      <c r="E806" s="2" t="s">
        <v>4222</v>
      </c>
      <c r="F806" s="2" t="s">
        <v>4223</v>
      </c>
      <c r="G806" s="2" t="s">
        <v>938</v>
      </c>
      <c r="H806" s="7"/>
      <c r="I806" s="2" t="s">
        <v>9</v>
      </c>
    </row>
    <row r="807" spans="1:9" ht="26" x14ac:dyDescent="0.3">
      <c r="A807" s="1" t="str">
        <f>HYPERLINK("https://ipmanager.doe.gov/IPManager//ExternalLink.aspx?6ibkph2k9yi6F%2B0Vz7YoTjnDGhmGHGI7oaOyrgMdsOI%3D","Link")</f>
        <v>Link</v>
      </c>
      <c r="B807" s="2" t="s">
        <v>4225</v>
      </c>
      <c r="C807" s="2" t="s">
        <v>4201</v>
      </c>
      <c r="D807" s="2" t="s">
        <v>452</v>
      </c>
      <c r="E807" s="2" t="s">
        <v>4226</v>
      </c>
      <c r="F807" s="2" t="s">
        <v>4232</v>
      </c>
      <c r="G807" s="2" t="s">
        <v>2091</v>
      </c>
      <c r="H807" s="7"/>
      <c r="I807" s="2" t="s">
        <v>9</v>
      </c>
    </row>
    <row r="808" spans="1:9" ht="52" x14ac:dyDescent="0.3">
      <c r="A808" s="1" t="str">
        <f>HYPERLINK("https://ipmanager.doe.gov/IPManager//ExternalLink.aspx?6ibkph2k9yi6F%2B0Vz7YoTr7J5I%2BY4foYX8uDOPAvBUg%3D","Link")</f>
        <v>Link</v>
      </c>
      <c r="B808" s="2" t="s">
        <v>4235</v>
      </c>
      <c r="C808" s="2" t="s">
        <v>4201</v>
      </c>
      <c r="D808" s="2" t="s">
        <v>452</v>
      </c>
      <c r="E808" s="2" t="s">
        <v>4220</v>
      </c>
      <c r="F808" s="2" t="s">
        <v>4236</v>
      </c>
      <c r="G808" s="2" t="s">
        <v>4237</v>
      </c>
      <c r="H808" s="7"/>
      <c r="I808" s="2" t="s">
        <v>9</v>
      </c>
    </row>
    <row r="809" spans="1:9" ht="26" x14ac:dyDescent="0.3">
      <c r="A809" s="1" t="str">
        <f>HYPERLINK("https://ipmanager.doe.gov/IPManager//ExternalLink.aspx?6ibkph2k9yi6F%2B0Vz7YoTq6RR9BlGHHisx%2B%2B%2FNigKq0%3D","Link")</f>
        <v>Link</v>
      </c>
      <c r="B809" s="2" t="s">
        <v>2747</v>
      </c>
      <c r="C809" s="2" t="s">
        <v>2734</v>
      </c>
      <c r="D809" s="2" t="s">
        <v>1415</v>
      </c>
      <c r="E809" s="2" t="s">
        <v>2748</v>
      </c>
      <c r="F809" s="2"/>
      <c r="G809" s="2" t="s">
        <v>9</v>
      </c>
      <c r="H809" s="7"/>
      <c r="I809" s="2" t="s">
        <v>9</v>
      </c>
    </row>
    <row r="810" spans="1:9" ht="65" x14ac:dyDescent="0.3">
      <c r="A810" s="1" t="str">
        <f>HYPERLINK("https://ipmanager.doe.gov/IPManager//ExternalLink.aspx?6ibkph2k9yi6F%2B0Vz7YoTjnDGhmGHGI7Ew6q1V9mF5o%3D","Link")</f>
        <v>Link</v>
      </c>
      <c r="B810" s="2" t="s">
        <v>2749</v>
      </c>
      <c r="C810" s="2" t="s">
        <v>2750</v>
      </c>
      <c r="D810" s="2" t="s">
        <v>2751</v>
      </c>
      <c r="E810" s="2" t="s">
        <v>2752</v>
      </c>
      <c r="F810" s="2" t="s">
        <v>2753</v>
      </c>
      <c r="G810" s="2" t="s">
        <v>2754</v>
      </c>
      <c r="H810" s="7"/>
      <c r="I810" s="2" t="s">
        <v>9</v>
      </c>
    </row>
    <row r="811" spans="1:9" ht="52" x14ac:dyDescent="0.3">
      <c r="A811" s="1" t="str">
        <f>HYPERLINK("https://ipmanager.doe.gov/IPManager//ExternalLink.aspx?6ibkph2k9yi6F%2B0Vz7YoTr7J5I%2BY4foYKClyFQvisWk%3D","Link")</f>
        <v>Link</v>
      </c>
      <c r="B811" s="2" t="s">
        <v>2755</v>
      </c>
      <c r="C811" s="2" t="s">
        <v>2750</v>
      </c>
      <c r="D811" s="2" t="s">
        <v>1663</v>
      </c>
      <c r="E811" s="2" t="s">
        <v>2756</v>
      </c>
      <c r="F811" s="2"/>
      <c r="G811" s="2" t="s">
        <v>9</v>
      </c>
      <c r="H811" s="7"/>
      <c r="I811" s="2" t="s">
        <v>9</v>
      </c>
    </row>
    <row r="812" spans="1:9" ht="52" x14ac:dyDescent="0.3">
      <c r="A812" s="1" t="str">
        <f>HYPERLINK("https://ipmanager.doe.gov/IPManager//ExternalLink.aspx?6ibkph2k9yi6F%2B0Vz7YoTr7J5I%2BY4foY9xtKNXGDf%2FI%3D","Link")</f>
        <v>Link</v>
      </c>
      <c r="B812" s="2" t="s">
        <v>2757</v>
      </c>
      <c r="C812" s="2" t="s">
        <v>2750</v>
      </c>
      <c r="D812" s="2" t="s">
        <v>2758</v>
      </c>
      <c r="E812" s="2" t="s">
        <v>2759</v>
      </c>
      <c r="F812" s="2"/>
      <c r="G812" s="2" t="s">
        <v>9</v>
      </c>
      <c r="H812" s="7"/>
      <c r="I812" s="2" t="s">
        <v>9</v>
      </c>
    </row>
    <row r="813" spans="1:9" ht="39" x14ac:dyDescent="0.3">
      <c r="A813" s="1" t="str">
        <f>HYPERLINK("https://ipmanager.doe.gov/IPManager//ExternalLink.aspx?6ibkph2k9yi6F%2B0Vz7YoTipZ798QK%2BbPckVFXQxUTok%3D","Link")</f>
        <v>Link</v>
      </c>
      <c r="B813" s="2" t="s">
        <v>2760</v>
      </c>
      <c r="C813" s="2" t="s">
        <v>2750</v>
      </c>
      <c r="D813" s="2" t="s">
        <v>1415</v>
      </c>
      <c r="E813" s="2" t="s">
        <v>2761</v>
      </c>
      <c r="F813" s="2"/>
      <c r="G813" s="2" t="s">
        <v>9</v>
      </c>
      <c r="H813" s="7"/>
      <c r="I813" s="2" t="s">
        <v>9</v>
      </c>
    </row>
    <row r="814" spans="1:9" ht="52" x14ac:dyDescent="0.3">
      <c r="A814" s="1" t="str">
        <f>HYPERLINK("https://ipmanager.doe.gov/IPManager//ExternalLink.aspx?6ibkph2k9yi6F%2B0Vz7YoTk2BI6w%2FjZ2fxC14WG6esz8%3D","Link")</f>
        <v>Link</v>
      </c>
      <c r="B814" s="2" t="s">
        <v>2762</v>
      </c>
      <c r="C814" s="2" t="s">
        <v>2750</v>
      </c>
      <c r="D814" s="2" t="s">
        <v>2758</v>
      </c>
      <c r="E814" s="2" t="s">
        <v>2763</v>
      </c>
      <c r="F814" s="2"/>
      <c r="G814" s="2" t="s">
        <v>9</v>
      </c>
      <c r="H814" s="7"/>
      <c r="I814" s="2" t="s">
        <v>9</v>
      </c>
    </row>
    <row r="815" spans="1:9" ht="65" x14ac:dyDescent="0.3">
      <c r="A815" s="1" t="str">
        <f>HYPERLINK("https://ipmanager.doe.gov/IPManager//ExternalLink.aspx?6ibkph2k9yi6F%2B0Vz7YoTk2BI6w%2FjZ2fwLspEuzuFHY%3D","Link")</f>
        <v>Link</v>
      </c>
      <c r="B815" s="2" t="s">
        <v>2764</v>
      </c>
      <c r="C815" s="2" t="s">
        <v>2750</v>
      </c>
      <c r="D815" s="2" t="s">
        <v>1415</v>
      </c>
      <c r="E815" s="2" t="s">
        <v>2765</v>
      </c>
      <c r="F815" s="2"/>
      <c r="G815" s="2" t="s">
        <v>9</v>
      </c>
      <c r="H815" s="7"/>
      <c r="I815" s="2" t="s">
        <v>9</v>
      </c>
    </row>
    <row r="816" spans="1:9" ht="52" x14ac:dyDescent="0.3">
      <c r="A816" s="1" t="str">
        <f>HYPERLINK("https://ipmanager.doe.gov/IPManager//ExternalLink.aspx?6ibkph2k9yi6F%2B0Vz7YoTnXVN2REjGcWBN3JmTq6GWw%3D","Link")</f>
        <v>Link</v>
      </c>
      <c r="B816" s="2" t="s">
        <v>4238</v>
      </c>
      <c r="C816" s="2" t="s">
        <v>4201</v>
      </c>
      <c r="D816" s="2" t="s">
        <v>452</v>
      </c>
      <c r="E816" s="2" t="s">
        <v>4220</v>
      </c>
      <c r="F816" s="2" t="s">
        <v>4239</v>
      </c>
      <c r="G816" s="2" t="s">
        <v>167</v>
      </c>
      <c r="H816" s="7"/>
      <c r="I816" s="2" t="s">
        <v>9</v>
      </c>
    </row>
    <row r="817" spans="1:9" ht="26" x14ac:dyDescent="0.3">
      <c r="A817" s="1" t="str">
        <f>HYPERLINK("https://ipmanager.doe.gov/IPManager//ExternalLink.aspx?6ibkph2k9yi6F%2B0Vz7YoTgZwfmYxrNyKnX%2Bmg0Ds0ig%3D","Link")</f>
        <v>Link</v>
      </c>
      <c r="B817" s="2" t="s">
        <v>4463</v>
      </c>
      <c r="C817" s="2" t="s">
        <v>4464</v>
      </c>
      <c r="D817" s="2" t="s">
        <v>452</v>
      </c>
      <c r="E817" s="2" t="s">
        <v>4465</v>
      </c>
      <c r="F817" s="2" t="s">
        <v>4466</v>
      </c>
      <c r="G817" s="2" t="s">
        <v>3008</v>
      </c>
      <c r="H817" s="7"/>
      <c r="I817" s="2" t="s">
        <v>9</v>
      </c>
    </row>
    <row r="818" spans="1:9" ht="65" x14ac:dyDescent="0.3">
      <c r="A818" s="1" t="str">
        <f>HYPERLINK("https://ipmanager.doe.gov/IPManager//ExternalLink.aspx?6ibkph2k9yi6F%2B0Vz7YoTr7J5I%2BY4foY8Oa3RAyYT1E%3D","Link")</f>
        <v>Link</v>
      </c>
      <c r="B818" s="2" t="s">
        <v>2775</v>
      </c>
      <c r="C818" s="2" t="s">
        <v>2750</v>
      </c>
      <c r="D818" s="2" t="s">
        <v>1663</v>
      </c>
      <c r="E818" s="2" t="s">
        <v>2776</v>
      </c>
      <c r="F818" s="2"/>
      <c r="G818" s="2" t="s">
        <v>9</v>
      </c>
      <c r="H818" s="7"/>
      <c r="I818" s="2" t="s">
        <v>9</v>
      </c>
    </row>
    <row r="819" spans="1:9" ht="26" x14ac:dyDescent="0.3">
      <c r="A819" s="1" t="str">
        <f>HYPERLINK("https://ipmanager.doe.gov/IPManager//ExternalLink.aspx?6ibkph2k9yi6F%2B0Vz7YoTnXVN2REjGcW9R8oMp1SZWQ%3D","Link")</f>
        <v>Link</v>
      </c>
      <c r="B819" s="2" t="s">
        <v>4469</v>
      </c>
      <c r="C819" s="2" t="s">
        <v>4464</v>
      </c>
      <c r="D819" s="2" t="s">
        <v>452</v>
      </c>
      <c r="E819" s="2" t="s">
        <v>4470</v>
      </c>
      <c r="F819" s="2" t="s">
        <v>4471</v>
      </c>
      <c r="G819" s="2" t="s">
        <v>4472</v>
      </c>
      <c r="H819" s="7"/>
      <c r="I819" s="2" t="s">
        <v>9</v>
      </c>
    </row>
    <row r="820" spans="1:9" ht="26" x14ac:dyDescent="0.3">
      <c r="A820" s="1" t="str">
        <f>HYPERLINK("https://ipmanager.doe.gov/IPManager//ExternalLink.aspx?6ibkph2k9yi6F%2B0Vz7YoTvE8yjoHgvp6e8lXK97KbFE%3D","Link")</f>
        <v>Link</v>
      </c>
      <c r="B820" s="2" t="s">
        <v>2781</v>
      </c>
      <c r="C820" s="2" t="s">
        <v>2750</v>
      </c>
      <c r="D820" s="2" t="s">
        <v>2758</v>
      </c>
      <c r="E820" s="2" t="s">
        <v>2782</v>
      </c>
      <c r="F820" s="2" t="s">
        <v>2783</v>
      </c>
      <c r="G820" s="2" t="s">
        <v>2784</v>
      </c>
      <c r="H820" s="7">
        <v>9394503</v>
      </c>
      <c r="I820" s="2" t="s">
        <v>1067</v>
      </c>
    </row>
    <row r="821" spans="1:9" ht="26" x14ac:dyDescent="0.3">
      <c r="A821" s="1" t="str">
        <f>HYPERLINK("https://ipmanager.doe.gov/IPManager//ExternalLink.aspx?6ibkph2k9yi6F%2B0Vz7YoTp68px7nSN2gKQgxk8FqWb4%3D","Link")</f>
        <v>Link</v>
      </c>
      <c r="B821" s="2" t="s">
        <v>4473</v>
      </c>
      <c r="C821" s="2" t="s">
        <v>4464</v>
      </c>
      <c r="D821" s="2" t="s">
        <v>452</v>
      </c>
      <c r="E821" s="2" t="s">
        <v>4465</v>
      </c>
      <c r="F821" s="2" t="s">
        <v>4467</v>
      </c>
      <c r="G821" s="2" t="s">
        <v>4474</v>
      </c>
      <c r="H821" s="7"/>
      <c r="I821" s="2" t="s">
        <v>9</v>
      </c>
    </row>
    <row r="822" spans="1:9" ht="39" x14ac:dyDescent="0.3">
      <c r="A822" s="1" t="str">
        <f>HYPERLINK("https://ipmanager.doe.gov/IPManager//ExternalLink.aspx?6ibkph2k9yi6F%2B0Vz7YoTp68px7nSN2gPP7FDcf2070%3D","Link")</f>
        <v>Link</v>
      </c>
      <c r="B822" s="2" t="s">
        <v>4475</v>
      </c>
      <c r="C822" s="2" t="s">
        <v>4464</v>
      </c>
      <c r="D822" s="2" t="s">
        <v>452</v>
      </c>
      <c r="E822" s="2" t="s">
        <v>4476</v>
      </c>
      <c r="F822" s="2" t="s">
        <v>4477</v>
      </c>
      <c r="G822" s="2" t="s">
        <v>4478</v>
      </c>
      <c r="H822" s="7"/>
      <c r="I822" s="2" t="s">
        <v>9</v>
      </c>
    </row>
    <row r="823" spans="1:9" ht="26" x14ac:dyDescent="0.3">
      <c r="A823" s="1" t="str">
        <f>HYPERLINK("https://ipmanager.doe.gov/IPManager//ExternalLink.aspx?6ibkph2k9yi6F%2B0Vz7YoTjnDGhmGHGI7TYMv2qw2d%2BY%3D","Link")</f>
        <v>Link</v>
      </c>
      <c r="B823" s="2" t="s">
        <v>4479</v>
      </c>
      <c r="C823" s="2" t="s">
        <v>4464</v>
      </c>
      <c r="D823" s="2" t="s">
        <v>452</v>
      </c>
      <c r="E823" s="2" t="s">
        <v>4480</v>
      </c>
      <c r="F823" s="2" t="s">
        <v>4481</v>
      </c>
      <c r="G823" s="2" t="s">
        <v>1218</v>
      </c>
      <c r="H823" s="7"/>
      <c r="I823" s="2" t="s">
        <v>9</v>
      </c>
    </row>
    <row r="824" spans="1:9" ht="91" x14ac:dyDescent="0.3">
      <c r="A824" s="1" t="str">
        <f>HYPERLINK("https://ipmanager.doe.gov/IPManager//ExternalLink.aspx?6ibkph2k9yi6F%2B0Vz7YoTvE8yjoHgvp6NGqUf0gBUDI%3D","Link")</f>
        <v>Link</v>
      </c>
      <c r="B824" s="2" t="s">
        <v>4482</v>
      </c>
      <c r="C824" s="2" t="s">
        <v>4464</v>
      </c>
      <c r="D824" s="2" t="s">
        <v>452</v>
      </c>
      <c r="E824" s="2" t="s">
        <v>4483</v>
      </c>
      <c r="F824" s="2" t="s">
        <v>4484</v>
      </c>
      <c r="G824" s="2" t="s">
        <v>1426</v>
      </c>
      <c r="H824" s="7"/>
      <c r="I824" s="2" t="s">
        <v>9</v>
      </c>
    </row>
    <row r="825" spans="1:9" ht="39" x14ac:dyDescent="0.3">
      <c r="A825" s="1" t="str">
        <f>HYPERLINK("https://ipmanager.doe.gov/IPManager//ExternalLink.aspx?6ibkph2k9yi6F%2B0Vz7YoTnXVN2REjGcWRsMlga2yWx0%3D","Link")</f>
        <v>Link</v>
      </c>
      <c r="B825" s="2" t="s">
        <v>2802</v>
      </c>
      <c r="C825" s="2" t="s">
        <v>2786</v>
      </c>
      <c r="D825" s="2" t="s">
        <v>1246</v>
      </c>
      <c r="E825" s="2" t="s">
        <v>2803</v>
      </c>
      <c r="F825" s="2"/>
      <c r="G825" s="2" t="s">
        <v>9</v>
      </c>
      <c r="H825" s="7"/>
      <c r="I825" s="2" t="s">
        <v>9</v>
      </c>
    </row>
    <row r="826" spans="1:9" ht="26" x14ac:dyDescent="0.3">
      <c r="A826" s="1" t="str">
        <f>HYPERLINK("https://ipmanager.doe.gov/IPManager//ExternalLink.aspx?6ibkph2k9yi6F%2B0Vz7YoTq6RR9BlGHHiLrOv6KLjvig%3D","Link")</f>
        <v>Link</v>
      </c>
      <c r="B826" s="2" t="s">
        <v>4487</v>
      </c>
      <c r="C826" s="2" t="s">
        <v>4464</v>
      </c>
      <c r="D826" s="2" t="s">
        <v>452</v>
      </c>
      <c r="E826" s="2" t="s">
        <v>4480</v>
      </c>
      <c r="F826" s="2" t="s">
        <v>4488</v>
      </c>
      <c r="G826" s="2" t="s">
        <v>1073</v>
      </c>
      <c r="H826" s="7"/>
      <c r="I826" s="2" t="s">
        <v>9</v>
      </c>
    </row>
    <row r="827" spans="1:9" ht="39" x14ac:dyDescent="0.3">
      <c r="A827" s="1" t="str">
        <f>HYPERLINK("https://ipmanager.doe.gov/IPManager//ExternalLink.aspx?6ibkph2k9yi6F%2B0Vz7YoTipZ798QK%2BbPuoQTcObwIOg%3D","Link")</f>
        <v>Link</v>
      </c>
      <c r="B827" s="2" t="s">
        <v>4494</v>
      </c>
      <c r="C827" s="2" t="s">
        <v>4464</v>
      </c>
      <c r="D827" s="2" t="s">
        <v>452</v>
      </c>
      <c r="E827" s="2" t="s">
        <v>4495</v>
      </c>
      <c r="F827" s="2" t="s">
        <v>4496</v>
      </c>
      <c r="G827" s="2" t="s">
        <v>3023</v>
      </c>
      <c r="H827" s="7"/>
      <c r="I827" s="2" t="s">
        <v>9</v>
      </c>
    </row>
    <row r="828" spans="1:9" ht="26" x14ac:dyDescent="0.3">
      <c r="A828" s="1" t="str">
        <f>HYPERLINK("https://ipmanager.doe.gov/IPManager//ExternalLink.aspx?6ibkph2k9yi6F%2B0Vz7YoTgZwfmYxrNyKX3HxLY6fk%2Bs%3D","Link")</f>
        <v>Link</v>
      </c>
      <c r="B828" s="2" t="s">
        <v>5607</v>
      </c>
      <c r="C828" s="2" t="s">
        <v>5608</v>
      </c>
      <c r="D828" s="2" t="s">
        <v>5538</v>
      </c>
      <c r="E828" s="2" t="s">
        <v>5609</v>
      </c>
      <c r="F828" s="2" t="s">
        <v>7631</v>
      </c>
      <c r="G828" s="2" t="s">
        <v>5610</v>
      </c>
      <c r="H828" s="7"/>
      <c r="I828" s="2" t="s">
        <v>9</v>
      </c>
    </row>
    <row r="829" spans="1:9" ht="39" x14ac:dyDescent="0.3">
      <c r="A829" s="1" t="str">
        <f>HYPERLINK("https://ipmanager.doe.gov/IPManager//ExternalLink.aspx?6ibkph2k9yi6F%2B0Vz7YoTq6RR9BlGHHiyBikogFFYnI%3D","Link")</f>
        <v>Link</v>
      </c>
      <c r="B829" s="2" t="s">
        <v>5278</v>
      </c>
      <c r="C829" s="2" t="s">
        <v>5273</v>
      </c>
      <c r="D829" s="2" t="s">
        <v>1787</v>
      </c>
      <c r="E829" s="2" t="s">
        <v>5279</v>
      </c>
      <c r="F829" s="2" t="s">
        <v>7632</v>
      </c>
      <c r="G829" s="2" t="s">
        <v>5280</v>
      </c>
      <c r="H829" s="7"/>
      <c r="I829" s="2" t="s">
        <v>9</v>
      </c>
    </row>
    <row r="830" spans="1:9" ht="65" x14ac:dyDescent="0.3">
      <c r="A830" s="1" t="str">
        <f>HYPERLINK("https://ipmanager.doe.gov/IPManager//ExternalLink.aspx?6ibkph2k9yi6F%2B0Vz7YoTnXVN2REjGcWOtQWjrQ43Ck%3D","Link")</f>
        <v>Link</v>
      </c>
      <c r="B830" s="2" t="s">
        <v>5241</v>
      </c>
      <c r="C830" s="2" t="s">
        <v>5242</v>
      </c>
      <c r="D830" s="2" t="s">
        <v>5243</v>
      </c>
      <c r="E830" s="2" t="s">
        <v>5244</v>
      </c>
      <c r="F830" s="2" t="s">
        <v>5245</v>
      </c>
      <c r="G830" s="2" t="s">
        <v>837</v>
      </c>
      <c r="H830" s="7"/>
      <c r="I830" s="2" t="s">
        <v>9</v>
      </c>
    </row>
    <row r="831" spans="1:9" ht="65" x14ac:dyDescent="0.3">
      <c r="A831" s="1" t="str">
        <f>HYPERLINK("https://ipmanager.doe.gov/IPManager//ExternalLink.aspx?6ibkph2k9yi6F%2B0Vz7YoTnXVN2REjGcWAeWEV8744FU%3D","Link")</f>
        <v>Link</v>
      </c>
      <c r="B831" s="2" t="s">
        <v>2816</v>
      </c>
      <c r="C831" s="2" t="s">
        <v>2786</v>
      </c>
      <c r="D831" s="2" t="s">
        <v>154</v>
      </c>
      <c r="E831" s="2" t="s">
        <v>2817</v>
      </c>
      <c r="F831" s="2"/>
      <c r="G831" s="2" t="s">
        <v>9</v>
      </c>
      <c r="H831" s="7"/>
      <c r="I831" s="2" t="s">
        <v>9</v>
      </c>
    </row>
    <row r="832" spans="1:9" ht="39" x14ac:dyDescent="0.3">
      <c r="A832" s="1" t="str">
        <f>HYPERLINK("https://ipmanager.doe.gov/IPManager//ExternalLink.aspx?6ibkph2k9yi6F%2B0Vz7YoTipZ798QK%2BbPzYmjXks2iFU%3D","Link")</f>
        <v>Link</v>
      </c>
      <c r="B832" s="2" t="s">
        <v>2818</v>
      </c>
      <c r="C832" s="2" t="s">
        <v>2786</v>
      </c>
      <c r="D832" s="2" t="s">
        <v>154</v>
      </c>
      <c r="E832" s="2" t="s">
        <v>2787</v>
      </c>
      <c r="F832" s="2"/>
      <c r="G832" s="2" t="s">
        <v>9</v>
      </c>
      <c r="H832" s="7"/>
      <c r="I832" s="2" t="s">
        <v>9</v>
      </c>
    </row>
    <row r="833" spans="1:9" ht="52" x14ac:dyDescent="0.3">
      <c r="A833" s="1" t="str">
        <f>HYPERLINK("https://ipmanager.doe.gov/IPManager//ExternalLink.aspx?6ibkph2k9yi6F%2B0Vz7YoTgZwfmYxrNyKj1ZZ%2BStrwPk%3D","Link")</f>
        <v>Link</v>
      </c>
      <c r="B833" s="2" t="s">
        <v>2819</v>
      </c>
      <c r="C833" s="2" t="s">
        <v>2786</v>
      </c>
      <c r="D833" s="2" t="s">
        <v>154</v>
      </c>
      <c r="E833" s="2" t="s">
        <v>2820</v>
      </c>
      <c r="F833" s="2"/>
      <c r="G833" s="2" t="s">
        <v>9</v>
      </c>
      <c r="H833" s="7"/>
      <c r="I833" s="2" t="s">
        <v>9</v>
      </c>
    </row>
    <row r="834" spans="1:9" ht="91" x14ac:dyDescent="0.3">
      <c r="A834" s="1" t="str">
        <f>HYPERLINK("https://ipmanager.doe.gov/IPManager//ExternalLink.aspx?6ibkph2k9yi6F%2B0Vz7YoTgZwfmYxrNyKHr6ebw4YYV0%3D","Link")</f>
        <v>Link</v>
      </c>
      <c r="B834" s="2" t="s">
        <v>2821</v>
      </c>
      <c r="C834" s="2" t="s">
        <v>2786</v>
      </c>
      <c r="D834" s="2" t="s">
        <v>1246</v>
      </c>
      <c r="E834" s="2" t="s">
        <v>2822</v>
      </c>
      <c r="F834" s="2"/>
      <c r="G834" s="2" t="s">
        <v>9</v>
      </c>
      <c r="H834" s="7"/>
      <c r="I834" s="2" t="s">
        <v>9</v>
      </c>
    </row>
    <row r="835" spans="1:9" ht="39" x14ac:dyDescent="0.3">
      <c r="A835" s="1" t="str">
        <f>HYPERLINK("https://ipmanager.doe.gov/IPManager//ExternalLink.aspx?6ibkph2k9yi6F%2B0Vz7YoTgZwfmYxrNyKRrRBadSjjzg%3D","Link")</f>
        <v>Link</v>
      </c>
      <c r="B835" s="2" t="s">
        <v>2823</v>
      </c>
      <c r="C835" s="2" t="s">
        <v>2786</v>
      </c>
      <c r="D835" s="2" t="s">
        <v>1246</v>
      </c>
      <c r="E835" s="2" t="s">
        <v>2824</v>
      </c>
      <c r="F835" s="2"/>
      <c r="G835" s="2" t="s">
        <v>9</v>
      </c>
      <c r="H835" s="7"/>
      <c r="I835" s="2" t="s">
        <v>9</v>
      </c>
    </row>
    <row r="836" spans="1:9" ht="39" x14ac:dyDescent="0.3">
      <c r="A836" s="1" t="str">
        <f>HYPERLINK("https://ipmanager.doe.gov/IPManager//ExternalLink.aspx?6ibkph2k9yi6F%2B0Vz7YoTr7J5I%2BY4foYZVnBxD921ZI%3D","Link")</f>
        <v>Link</v>
      </c>
      <c r="B836" s="2" t="s">
        <v>2825</v>
      </c>
      <c r="C836" s="2" t="s">
        <v>2786</v>
      </c>
      <c r="D836" s="2" t="s">
        <v>1246</v>
      </c>
      <c r="E836" s="2" t="s">
        <v>2826</v>
      </c>
      <c r="F836" s="2"/>
      <c r="G836" s="2" t="s">
        <v>9</v>
      </c>
      <c r="H836" s="7"/>
      <c r="I836" s="2" t="s">
        <v>9</v>
      </c>
    </row>
    <row r="837" spans="1:9" ht="65" x14ac:dyDescent="0.3">
      <c r="A837" s="1" t="str">
        <f>HYPERLINK("https://ipmanager.doe.gov/IPManager//ExternalLink.aspx?6ibkph2k9yi6F%2B0Vz7YoTkqAgjuWMa9QI8sPkIVSfgM%3D","Link")</f>
        <v>Link</v>
      </c>
      <c r="B837" s="2" t="s">
        <v>2827</v>
      </c>
      <c r="C837" s="2" t="s">
        <v>2786</v>
      </c>
      <c r="D837" s="2" t="s">
        <v>154</v>
      </c>
      <c r="E837" s="2" t="s">
        <v>2828</v>
      </c>
      <c r="F837" s="2"/>
      <c r="G837" s="2" t="s">
        <v>9</v>
      </c>
      <c r="H837" s="7"/>
      <c r="I837" s="2" t="s">
        <v>9</v>
      </c>
    </row>
    <row r="838" spans="1:9" ht="52" x14ac:dyDescent="0.3">
      <c r="A838" s="1" t="str">
        <f>HYPERLINK("https://ipmanager.doe.gov/IPManager//ExternalLink.aspx?6ibkph2k9yi6F%2B0Vz7YoTipZ798QK%2BbP3m%2BDdQpYtJo%3D","Link")</f>
        <v>Link</v>
      </c>
      <c r="B838" s="2" t="s">
        <v>2829</v>
      </c>
      <c r="C838" s="2" t="s">
        <v>2786</v>
      </c>
      <c r="D838" s="2" t="s">
        <v>154</v>
      </c>
      <c r="E838" s="2" t="s">
        <v>2830</v>
      </c>
      <c r="F838" s="2"/>
      <c r="G838" s="2" t="s">
        <v>9</v>
      </c>
      <c r="H838" s="7"/>
      <c r="I838" s="2" t="s">
        <v>9</v>
      </c>
    </row>
    <row r="839" spans="1:9" ht="39" x14ac:dyDescent="0.3">
      <c r="A839" s="1" t="str">
        <f>HYPERLINK("https://ipmanager.doe.gov/IPManager//ExternalLink.aspx?6ibkph2k9yi6F%2B0Vz7YoTipZ798QK%2BbPRkOqGMJNkNY%3D","Link")</f>
        <v>Link</v>
      </c>
      <c r="B839" s="2" t="s">
        <v>2831</v>
      </c>
      <c r="C839" s="2" t="s">
        <v>2832</v>
      </c>
      <c r="D839" s="2" t="s">
        <v>8</v>
      </c>
      <c r="E839" s="2" t="s">
        <v>2833</v>
      </c>
      <c r="F839" s="2"/>
      <c r="G839" s="2" t="s">
        <v>9</v>
      </c>
      <c r="H839" s="7"/>
      <c r="I839" s="2" t="s">
        <v>9</v>
      </c>
    </row>
    <row r="840" spans="1:9" ht="39" x14ac:dyDescent="0.3">
      <c r="A840" s="1" t="str">
        <f>HYPERLINK("https://ipmanager.doe.gov/IPManager//ExternalLink.aspx?6ibkph2k9yi6F%2B0Vz7YoTnXVN2REjGcWXFB9cK3AQ6E%3D","Link")</f>
        <v>Link</v>
      </c>
      <c r="B840" s="2" t="s">
        <v>5247</v>
      </c>
      <c r="C840" s="2" t="s">
        <v>5242</v>
      </c>
      <c r="D840" s="2" t="s">
        <v>5243</v>
      </c>
      <c r="E840" s="2" t="s">
        <v>5248</v>
      </c>
      <c r="F840" s="2" t="s">
        <v>5249</v>
      </c>
      <c r="G840" s="2" t="s">
        <v>5246</v>
      </c>
      <c r="H840" s="7"/>
      <c r="I840" s="2" t="s">
        <v>9</v>
      </c>
    </row>
    <row r="841" spans="1:9" ht="39" x14ac:dyDescent="0.3">
      <c r="A841" s="1" t="str">
        <f>HYPERLINK("https://ipmanager.doe.gov/IPManager//ExternalLink.aspx?6ibkph2k9yi6F%2B0Vz7YoTvPUg%2FVZPl3igkfKBt8px80%3D","Link")</f>
        <v>Link</v>
      </c>
      <c r="B841" s="2" t="s">
        <v>5253</v>
      </c>
      <c r="C841" s="2" t="s">
        <v>5242</v>
      </c>
      <c r="D841" s="2" t="s">
        <v>5243</v>
      </c>
      <c r="E841" s="2" t="s">
        <v>5254</v>
      </c>
      <c r="F841" s="2" t="s">
        <v>5255</v>
      </c>
      <c r="G841" s="2" t="s">
        <v>5256</v>
      </c>
      <c r="H841" s="7"/>
      <c r="I841" s="2" t="s">
        <v>9</v>
      </c>
    </row>
    <row r="842" spans="1:9" ht="65" x14ac:dyDescent="0.3">
      <c r="A842" s="1" t="str">
        <f>HYPERLINK("https://ipmanager.doe.gov/IPManager//ExternalLink.aspx?6ibkph2k9yi6F%2B0Vz7YoTvPUg%2FVZPl3iQs%2FHHaXMWrg%3D","Link")</f>
        <v>Link</v>
      </c>
      <c r="B842" s="2" t="s">
        <v>5257</v>
      </c>
      <c r="C842" s="2" t="s">
        <v>5242</v>
      </c>
      <c r="D842" s="2" t="s">
        <v>5243</v>
      </c>
      <c r="E842" s="2" t="s">
        <v>5244</v>
      </c>
      <c r="F842" s="2" t="s">
        <v>5258</v>
      </c>
      <c r="G842" s="2" t="s">
        <v>5259</v>
      </c>
      <c r="H842" s="7"/>
      <c r="I842" s="2" t="s">
        <v>9</v>
      </c>
    </row>
    <row r="843" spans="1:9" ht="39" x14ac:dyDescent="0.3">
      <c r="A843" s="1" t="str">
        <f>HYPERLINK("https://ipmanager.doe.gov/IPManager//ExternalLink.aspx?6ibkph2k9yi6F%2B0Vz7YoTvPUg%2FVZPl3ip%2B6zDV4Y%2BwY%3D","Link")</f>
        <v>Link</v>
      </c>
      <c r="B843" s="2" t="s">
        <v>5260</v>
      </c>
      <c r="C843" s="2" t="s">
        <v>5242</v>
      </c>
      <c r="D843" s="2" t="s">
        <v>5243</v>
      </c>
      <c r="E843" s="2" t="s">
        <v>5261</v>
      </c>
      <c r="F843" s="2" t="s">
        <v>5262</v>
      </c>
      <c r="G843" s="2" t="s">
        <v>5246</v>
      </c>
      <c r="H843" s="7"/>
      <c r="I843" s="2" t="s">
        <v>9</v>
      </c>
    </row>
    <row r="844" spans="1:9" ht="65" x14ac:dyDescent="0.3">
      <c r="A844" s="1" t="str">
        <f>HYPERLINK("https://ipmanager.doe.gov/IPManager//ExternalLink.aspx?6ibkph2k9yi6F%2B0Vz7YoTvPUg%2FVZPl3iyxXbGb6NJLo%3D","Link")</f>
        <v>Link</v>
      </c>
      <c r="B844" s="2" t="s">
        <v>5263</v>
      </c>
      <c r="C844" s="2" t="s">
        <v>5242</v>
      </c>
      <c r="D844" s="2" t="s">
        <v>5243</v>
      </c>
      <c r="E844" s="2" t="s">
        <v>5264</v>
      </c>
      <c r="F844" s="2" t="s">
        <v>5258</v>
      </c>
      <c r="G844" s="2" t="s">
        <v>5259</v>
      </c>
      <c r="H844" s="7"/>
      <c r="I844" s="2" t="s">
        <v>9</v>
      </c>
    </row>
    <row r="845" spans="1:9" ht="39" x14ac:dyDescent="0.3">
      <c r="A845" s="1" t="str">
        <f>HYPERLINK("https://ipmanager.doe.gov/IPManager//ExternalLink.aspx?6ibkph2k9yi6F%2B0Vz7YoTipZ798QK%2BbPqXQ0R9waJSk%3D","Link")</f>
        <v>Link</v>
      </c>
      <c r="B845" s="2" t="s">
        <v>2853</v>
      </c>
      <c r="C845" s="2" t="s">
        <v>2854</v>
      </c>
      <c r="D845" s="2" t="s">
        <v>1663</v>
      </c>
      <c r="E845" s="2" t="s">
        <v>2855</v>
      </c>
      <c r="F845" s="2"/>
      <c r="G845" s="2" t="s">
        <v>9</v>
      </c>
      <c r="H845" s="7"/>
      <c r="I845" s="2" t="s">
        <v>9</v>
      </c>
    </row>
    <row r="846" spans="1:9" ht="39" x14ac:dyDescent="0.3">
      <c r="A846" s="1" t="str">
        <f>HYPERLINK("https://ipmanager.doe.gov/IPManager//ExternalLink.aspx?6ibkph2k9yi6F%2B0Vz7YoTipZ798QK%2BbPGAcDNo5%2BsvM%3D","Link")</f>
        <v>Link</v>
      </c>
      <c r="B846" s="2" t="s">
        <v>2856</v>
      </c>
      <c r="C846" s="2" t="s">
        <v>2857</v>
      </c>
      <c r="D846" s="2" t="s">
        <v>2858</v>
      </c>
      <c r="E846" s="2" t="s">
        <v>2859</v>
      </c>
      <c r="F846" s="2" t="s">
        <v>2860</v>
      </c>
      <c r="G846" s="2" t="s">
        <v>2861</v>
      </c>
      <c r="H846" s="7">
        <v>9337767</v>
      </c>
      <c r="I846" s="2" t="s">
        <v>2862</v>
      </c>
    </row>
    <row r="847" spans="1:9" ht="26" x14ac:dyDescent="0.3">
      <c r="A847" s="1" t="str">
        <f>HYPERLINK("https://ipmanager.doe.gov/IPManager//ExternalLink.aspx?6ibkph2k9yi6F%2B0Vz7YoTr7J5I%2BY4foYCgL9VHx%2BJko%3D","Link")</f>
        <v>Link</v>
      </c>
      <c r="B847" s="2" t="s">
        <v>2863</v>
      </c>
      <c r="C847" s="2" t="s">
        <v>2857</v>
      </c>
      <c r="D847" s="2" t="s">
        <v>2858</v>
      </c>
      <c r="E847" s="2" t="s">
        <v>2864</v>
      </c>
      <c r="F847" s="2"/>
      <c r="G847" s="2" t="s">
        <v>9</v>
      </c>
      <c r="H847" s="7"/>
      <c r="I847" s="2" t="s">
        <v>9</v>
      </c>
    </row>
    <row r="848" spans="1:9" ht="52" x14ac:dyDescent="0.3">
      <c r="A848" s="1" t="str">
        <f>HYPERLINK("https://ipmanager.doe.gov/IPManager//ExternalLink.aspx?6ibkph2k9yi6F%2B0Vz7YoTipZ798QK%2BbPhetcfsRNkcs%3D","Link")</f>
        <v>Link</v>
      </c>
      <c r="B848" s="2" t="s">
        <v>2865</v>
      </c>
      <c r="C848" s="2" t="s">
        <v>2857</v>
      </c>
      <c r="D848" s="2" t="s">
        <v>2858</v>
      </c>
      <c r="E848" s="2" t="s">
        <v>2866</v>
      </c>
      <c r="F848" s="2"/>
      <c r="G848" s="2" t="s">
        <v>9</v>
      </c>
      <c r="H848" s="7"/>
      <c r="I848" s="2" t="s">
        <v>9</v>
      </c>
    </row>
    <row r="849" spans="1:9" ht="26" x14ac:dyDescent="0.3">
      <c r="A849" s="1" t="str">
        <f>HYPERLINK("https://ipmanager.doe.gov/IPManager//ExternalLink.aspx?6ibkph2k9yi6F%2B0Vz7YoTq6RR9BlGHHirJAqyvxE7GI%3D","Link")</f>
        <v>Link</v>
      </c>
      <c r="B849" s="2" t="s">
        <v>2870</v>
      </c>
      <c r="C849" s="2" t="s">
        <v>2867</v>
      </c>
      <c r="D849" s="2" t="s">
        <v>1763</v>
      </c>
      <c r="E849" s="2" t="s">
        <v>2871</v>
      </c>
      <c r="F849" s="2" t="s">
        <v>2872</v>
      </c>
      <c r="G849" s="2" t="s">
        <v>746</v>
      </c>
      <c r="H849" s="7">
        <v>9087718</v>
      </c>
      <c r="I849" s="2" t="s">
        <v>2873</v>
      </c>
    </row>
    <row r="850" spans="1:9" ht="26" x14ac:dyDescent="0.3">
      <c r="A850" s="1" t="str">
        <f>HYPERLINK("https://ipmanager.doe.gov/IPManager//ExternalLink.aspx?6ibkph2k9yi6F%2B0Vz7YoTq6RR9BlGHHivzNOVS3QbOE%3D","Link")</f>
        <v>Link</v>
      </c>
      <c r="B850" s="2" t="s">
        <v>2874</v>
      </c>
      <c r="C850" s="2" t="s">
        <v>2867</v>
      </c>
      <c r="D850" s="2" t="s">
        <v>1763</v>
      </c>
      <c r="E850" s="2" t="s">
        <v>2871</v>
      </c>
      <c r="F850" s="2" t="s">
        <v>2875</v>
      </c>
      <c r="G850" s="2" t="s">
        <v>2876</v>
      </c>
      <c r="H850" s="7">
        <v>9590060</v>
      </c>
      <c r="I850" s="2" t="s">
        <v>270</v>
      </c>
    </row>
    <row r="851" spans="1:9" ht="26" x14ac:dyDescent="0.3">
      <c r="A851" s="1" t="str">
        <f>HYPERLINK("https://ipmanager.doe.gov/IPManager//ExternalLink.aspx?6ibkph2k9yi6F%2B0Vz7YoTjnDGhmGHGI71mrzXQSPVIg%3D","Link")</f>
        <v>Link</v>
      </c>
      <c r="B851" s="2" t="s">
        <v>2877</v>
      </c>
      <c r="C851" s="2" t="s">
        <v>2867</v>
      </c>
      <c r="D851" s="2" t="s">
        <v>1763</v>
      </c>
      <c r="E851" s="2" t="s">
        <v>2868</v>
      </c>
      <c r="F851" s="2" t="s">
        <v>2869</v>
      </c>
      <c r="G851" s="2" t="s">
        <v>1628</v>
      </c>
      <c r="H851" s="7">
        <v>9318593</v>
      </c>
      <c r="I851" s="2" t="s">
        <v>352</v>
      </c>
    </row>
    <row r="852" spans="1:9" ht="65" x14ac:dyDescent="0.3">
      <c r="A852" s="1" t="str">
        <f>HYPERLINK("https://ipmanager.doe.gov/IPManager//ExternalLink.aspx?6ibkph2k9yi6F%2B0Vz7YoTo7DPLa3%2F%2FGgrlG8ASlygJ0%3D","Link")</f>
        <v>Link</v>
      </c>
      <c r="B852" s="2" t="s">
        <v>5265</v>
      </c>
      <c r="C852" s="2" t="s">
        <v>5242</v>
      </c>
      <c r="D852" s="2" t="s">
        <v>5243</v>
      </c>
      <c r="E852" s="2" t="s">
        <v>5264</v>
      </c>
      <c r="F852" s="2" t="s">
        <v>5258</v>
      </c>
      <c r="G852" s="2" t="s">
        <v>5259</v>
      </c>
      <c r="H852" s="7"/>
      <c r="I852" s="2" t="s">
        <v>9</v>
      </c>
    </row>
    <row r="853" spans="1:9" ht="65" x14ac:dyDescent="0.3">
      <c r="A853" s="1" t="str">
        <f>HYPERLINK("https://ipmanager.doe.gov/IPManager//ExternalLink.aspx?6ibkph2k9yi6F%2B0Vz7YoTo7DPLa3%2F%2FGgJL6icGJlbSo%3D","Link")</f>
        <v>Link</v>
      </c>
      <c r="B853" s="2" t="s">
        <v>5263</v>
      </c>
      <c r="C853" s="2" t="s">
        <v>5242</v>
      </c>
      <c r="D853" s="2" t="s">
        <v>5243</v>
      </c>
      <c r="E853" s="2" t="s">
        <v>5264</v>
      </c>
      <c r="F853" s="2" t="s">
        <v>5245</v>
      </c>
      <c r="G853" s="2" t="s">
        <v>837</v>
      </c>
      <c r="H853" s="7"/>
      <c r="I853" s="2" t="s">
        <v>9</v>
      </c>
    </row>
    <row r="854" spans="1:9" ht="26" x14ac:dyDescent="0.3">
      <c r="A854" s="1" t="str">
        <f>HYPERLINK("https://ipmanager.doe.gov/IPManager//ExternalLink.aspx?6ibkph2k9yi6F%2B0Vz7YoTnXVN2REjGcW9%2FcGfmGbwNA%3D","Link")</f>
        <v>Link</v>
      </c>
      <c r="B854" s="2" t="s">
        <v>5269</v>
      </c>
      <c r="C854" s="2" t="s">
        <v>5242</v>
      </c>
      <c r="D854" s="2" t="s">
        <v>5243</v>
      </c>
      <c r="E854" s="2" t="s">
        <v>5267</v>
      </c>
      <c r="F854" s="2" t="s">
        <v>5258</v>
      </c>
      <c r="G854" s="2" t="s">
        <v>5259</v>
      </c>
      <c r="H854" s="7"/>
      <c r="I854" s="2" t="s">
        <v>9</v>
      </c>
    </row>
    <row r="855" spans="1:9" ht="26" x14ac:dyDescent="0.3">
      <c r="A855" s="1" t="str">
        <f>HYPERLINK("https://ipmanager.doe.gov/IPManager//ExternalLink.aspx?6ibkph2k9yi6F%2B0Vz7YoTo7DPLa3%2F%2FGgLXeZ8MBMJE8%3D","Link")</f>
        <v>Link</v>
      </c>
      <c r="B855" s="2" t="s">
        <v>5270</v>
      </c>
      <c r="C855" s="2" t="s">
        <v>5242</v>
      </c>
      <c r="D855" s="2" t="s">
        <v>5243</v>
      </c>
      <c r="E855" s="2" t="s">
        <v>5267</v>
      </c>
      <c r="F855" s="2" t="s">
        <v>5271</v>
      </c>
      <c r="G855" s="2" t="s">
        <v>5268</v>
      </c>
      <c r="H855" s="7"/>
      <c r="I855" s="2" t="s">
        <v>9</v>
      </c>
    </row>
    <row r="856" spans="1:9" ht="39" x14ac:dyDescent="0.3">
      <c r="A856" s="1" t="str">
        <f>HYPERLINK("https://ipmanager.doe.gov/IPManager//ExternalLink.aspx?6ibkph2k9yi6F%2B0Vz7YoTo7DPLa3%2F%2FGg%2BV%2BoJ9JN8Zw%3D","Link")</f>
        <v>Link</v>
      </c>
      <c r="B856" s="2" t="s">
        <v>5260</v>
      </c>
      <c r="C856" s="2" t="s">
        <v>5242</v>
      </c>
      <c r="D856" s="2" t="s">
        <v>5243</v>
      </c>
      <c r="E856" s="2" t="s">
        <v>5248</v>
      </c>
      <c r="F856" s="2" t="s">
        <v>5249</v>
      </c>
      <c r="G856" s="2" t="s">
        <v>5246</v>
      </c>
      <c r="H856" s="7"/>
      <c r="I856" s="2" t="s">
        <v>9</v>
      </c>
    </row>
    <row r="857" spans="1:9" ht="39" x14ac:dyDescent="0.3">
      <c r="A857" s="1" t="str">
        <f>HYPERLINK("https://ipmanager.doe.gov/IPManager//ExternalLink.aspx?6ibkph2k9yi6F%2B0Vz7YoTgZwfmYxrNyK4HlAt1oL0d8%3D","Link")</f>
        <v>Link</v>
      </c>
      <c r="B857" s="2" t="s">
        <v>2899</v>
      </c>
      <c r="C857" s="2" t="s">
        <v>2891</v>
      </c>
      <c r="D857" s="2" t="s">
        <v>2758</v>
      </c>
      <c r="E857" s="2" t="s">
        <v>2900</v>
      </c>
      <c r="F857" s="2" t="s">
        <v>2901</v>
      </c>
      <c r="G857" s="2" t="s">
        <v>1723</v>
      </c>
      <c r="H857" s="7"/>
      <c r="I857" s="2" t="s">
        <v>9</v>
      </c>
    </row>
    <row r="858" spans="1:9" ht="26" x14ac:dyDescent="0.3">
      <c r="A858" s="1" t="str">
        <f>HYPERLINK("https://ipmanager.doe.gov/IPManager//ExternalLink.aspx?6ibkph2k9yi6F%2B0Vz7YoTsTAnuFk5EoAZwBJwVbe4E4%3D","Link")</f>
        <v>Link</v>
      </c>
      <c r="B858" s="2" t="s">
        <v>7196</v>
      </c>
      <c r="C858" s="2" t="s">
        <v>7197</v>
      </c>
      <c r="D858" s="2" t="s">
        <v>7198</v>
      </c>
      <c r="E858" s="2" t="s">
        <v>7199</v>
      </c>
      <c r="F858" s="2" t="s">
        <v>7200</v>
      </c>
      <c r="G858" s="2" t="s">
        <v>7201</v>
      </c>
      <c r="H858" s="7"/>
      <c r="I858" s="2" t="s">
        <v>9</v>
      </c>
    </row>
    <row r="859" spans="1:9" ht="52" x14ac:dyDescent="0.3">
      <c r="A859" s="1" t="str">
        <f>HYPERLINK("https://ipmanager.doe.gov/IPManager//ExternalLink.aspx?6ibkph2k9yi6F%2B0Vz7YoTipZ798QK%2BbPikTPz6mpm9E%3D","Link")</f>
        <v>Link</v>
      </c>
      <c r="B859" s="2" t="s">
        <v>2906</v>
      </c>
      <c r="C859" s="2" t="s">
        <v>2907</v>
      </c>
      <c r="D859" s="2" t="s">
        <v>2908</v>
      </c>
      <c r="E859" s="2" t="s">
        <v>2909</v>
      </c>
      <c r="F859" s="2"/>
      <c r="G859" s="2" t="s">
        <v>9</v>
      </c>
      <c r="H859" s="7"/>
      <c r="I859" s="2" t="s">
        <v>9</v>
      </c>
    </row>
    <row r="860" spans="1:9" ht="52" x14ac:dyDescent="0.3">
      <c r="A860" s="1" t="str">
        <f>HYPERLINK("https://ipmanager.doe.gov/IPManager//ExternalLink.aspx?6ibkph2k9yi6F%2B0Vz7YoTvPUg%2FVZPl3idNyBzsj%2F56E%3D","Link")</f>
        <v>Link</v>
      </c>
      <c r="B860" s="2" t="s">
        <v>4302</v>
      </c>
      <c r="C860" s="2" t="s">
        <v>4303</v>
      </c>
      <c r="D860" s="2" t="s">
        <v>4304</v>
      </c>
      <c r="E860" s="2" t="s">
        <v>4305</v>
      </c>
      <c r="F860" s="2" t="s">
        <v>4306</v>
      </c>
      <c r="G860" s="2" t="s">
        <v>4307</v>
      </c>
      <c r="H860" s="7"/>
      <c r="I860" s="2" t="s">
        <v>9</v>
      </c>
    </row>
    <row r="861" spans="1:9" ht="78" x14ac:dyDescent="0.3">
      <c r="A861" s="1" t="str">
        <f>HYPERLINK("https://ipmanager.doe.gov/IPManager//ExternalLink.aspx?6ibkph2k9yi6F%2B0Vz7YoTvPUg%2FVZPl3imtqyqAmqQjs%3D","Link")</f>
        <v>Link</v>
      </c>
      <c r="B861" s="2" t="s">
        <v>4308</v>
      </c>
      <c r="C861" s="2" t="s">
        <v>4303</v>
      </c>
      <c r="D861" s="2" t="s">
        <v>4304</v>
      </c>
      <c r="E861" s="2" t="s">
        <v>4309</v>
      </c>
      <c r="F861" s="2" t="s">
        <v>4310</v>
      </c>
      <c r="G861" s="2" t="s">
        <v>4311</v>
      </c>
      <c r="H861" s="7"/>
      <c r="I861" s="2" t="s">
        <v>9</v>
      </c>
    </row>
    <row r="862" spans="1:9" ht="52" x14ac:dyDescent="0.3">
      <c r="A862" s="1" t="str">
        <f>HYPERLINK("https://ipmanager.doe.gov/IPManager//ExternalLink.aspx?6ibkph2k9yi6F%2B0Vz7YoTp68px7nSN2gHjlaWalnw0s%3D","Link")</f>
        <v>Link</v>
      </c>
      <c r="B862" s="2" t="s">
        <v>2918</v>
      </c>
      <c r="C862" s="2" t="s">
        <v>2907</v>
      </c>
      <c r="D862" s="2" t="s">
        <v>2911</v>
      </c>
      <c r="E862" s="2" t="s">
        <v>2919</v>
      </c>
      <c r="F862" s="2"/>
      <c r="G862" s="2" t="s">
        <v>9</v>
      </c>
      <c r="H862" s="7"/>
      <c r="I862" s="2" t="s">
        <v>9</v>
      </c>
    </row>
    <row r="863" spans="1:9" ht="65" x14ac:dyDescent="0.3">
      <c r="A863" s="1" t="str">
        <f>HYPERLINK("https://ipmanager.doe.gov/IPManager//ExternalLink.aspx?6ibkph2k9yi6F%2B0Vz7YoTp68px7nSN2gn0Bzs8mIiOg%3D","Link")</f>
        <v>Link</v>
      </c>
      <c r="B863" s="2" t="s">
        <v>2920</v>
      </c>
      <c r="C863" s="2" t="s">
        <v>2907</v>
      </c>
      <c r="D863" s="2" t="s">
        <v>2911</v>
      </c>
      <c r="E863" s="2" t="s">
        <v>2921</v>
      </c>
      <c r="F863" s="2"/>
      <c r="G863" s="2" t="s">
        <v>9</v>
      </c>
      <c r="H863" s="7"/>
      <c r="I863" s="2" t="s">
        <v>9</v>
      </c>
    </row>
    <row r="864" spans="1:9" ht="39" x14ac:dyDescent="0.3">
      <c r="A864" s="1" t="str">
        <f>HYPERLINK("https://ipmanager.doe.gov/IPManager//ExternalLink.aspx?6ibkph2k9yi6F%2B0Vz7YoTo7DPLa3%2F%2FGgWg6njC3i3so%3D","Link")</f>
        <v>Link</v>
      </c>
      <c r="B864" s="2" t="s">
        <v>4984</v>
      </c>
      <c r="C864" s="2" t="s">
        <v>4985</v>
      </c>
      <c r="D864" s="2" t="s">
        <v>4986</v>
      </c>
      <c r="E864" s="2" t="s">
        <v>4987</v>
      </c>
      <c r="F864" s="2" t="s">
        <v>4988</v>
      </c>
      <c r="G864" s="2" t="s">
        <v>4989</v>
      </c>
      <c r="H864" s="7"/>
      <c r="I864" s="2" t="s">
        <v>9</v>
      </c>
    </row>
    <row r="865" spans="1:9" ht="39" x14ac:dyDescent="0.3">
      <c r="A865" s="1" t="str">
        <f>HYPERLINK("https://ipmanager.doe.gov/IPManager//ExternalLink.aspx?6ibkph2k9yi6F%2B0Vz7YoTo7DPLa3%2F%2FGgxBtTmc%2Bpi34%3D","Link")</f>
        <v>Link</v>
      </c>
      <c r="B865" s="2" t="s">
        <v>4990</v>
      </c>
      <c r="C865" s="2" t="s">
        <v>4985</v>
      </c>
      <c r="D865" s="2" t="s">
        <v>4986</v>
      </c>
      <c r="E865" s="2" t="s">
        <v>4987</v>
      </c>
      <c r="F865" s="2" t="s">
        <v>4991</v>
      </c>
      <c r="G865" s="2" t="s">
        <v>1270</v>
      </c>
      <c r="H865" s="7"/>
      <c r="I865" s="2" t="s">
        <v>9</v>
      </c>
    </row>
    <row r="866" spans="1:9" ht="52" x14ac:dyDescent="0.3">
      <c r="A866" s="1" t="str">
        <f>HYPERLINK("https://ipmanager.doe.gov/IPManager//ExternalLink.aspx?6ibkph2k9yi6F%2B0Vz7YoTo7DPLa3%2F%2FGgMvPiwdx6%2Fpg%3D","Link")</f>
        <v>Link</v>
      </c>
      <c r="B866" s="2" t="s">
        <v>4992</v>
      </c>
      <c r="C866" s="2" t="s">
        <v>4985</v>
      </c>
      <c r="D866" s="2" t="s">
        <v>4986</v>
      </c>
      <c r="E866" s="2" t="s">
        <v>4993</v>
      </c>
      <c r="F866" s="2" t="s">
        <v>4994</v>
      </c>
      <c r="G866" s="2" t="s">
        <v>2550</v>
      </c>
      <c r="H866" s="7"/>
      <c r="I866" s="2" t="s">
        <v>9</v>
      </c>
    </row>
    <row r="867" spans="1:9" ht="65" x14ac:dyDescent="0.3">
      <c r="A867" s="1" t="str">
        <f>HYPERLINK("https://ipmanager.doe.gov/IPManager//ExternalLink.aspx?6ibkph2k9yi6F%2B0Vz7YoTjnDGhmGHGI7%2BFEj%2BU1wkcE%3D","Link")</f>
        <v>Link</v>
      </c>
      <c r="B867" s="2" t="s">
        <v>4997</v>
      </c>
      <c r="C867" s="2" t="s">
        <v>4985</v>
      </c>
      <c r="D867" s="2" t="s">
        <v>4986</v>
      </c>
      <c r="E867" s="2" t="s">
        <v>4998</v>
      </c>
      <c r="F867" s="2" t="s">
        <v>4999</v>
      </c>
      <c r="G867" s="2" t="s">
        <v>2409</v>
      </c>
      <c r="H867" s="7"/>
      <c r="I867" s="2" t="s">
        <v>9</v>
      </c>
    </row>
    <row r="868" spans="1:9" ht="65" x14ac:dyDescent="0.3">
      <c r="A868" s="1" t="str">
        <f>HYPERLINK("https://ipmanager.doe.gov/IPManager//ExternalLink.aspx?6ibkph2k9yi6F%2B0Vz7YoTr7J5I%2BY4foYod%2F0kThfO0Y%3D","Link")</f>
        <v>Link</v>
      </c>
      <c r="B868" s="2" t="s">
        <v>2937</v>
      </c>
      <c r="C868" s="2" t="s">
        <v>2923</v>
      </c>
      <c r="D868" s="2" t="s">
        <v>12</v>
      </c>
      <c r="E868" s="2" t="s">
        <v>2938</v>
      </c>
      <c r="F868" s="2" t="s">
        <v>2939</v>
      </c>
      <c r="G868" s="2" t="s">
        <v>2197</v>
      </c>
      <c r="H868" s="7"/>
      <c r="I868" s="2" t="s">
        <v>9</v>
      </c>
    </row>
    <row r="869" spans="1:9" ht="39" x14ac:dyDescent="0.3">
      <c r="A869" s="1" t="str">
        <f>HYPERLINK("https://ipmanager.doe.gov/IPManager//ExternalLink.aspx?6ibkph2k9yi6F%2B0Vz7YoTjnDGhmGHGI7pdgXNLNuhsY%3D","Link")</f>
        <v>Link</v>
      </c>
      <c r="B869" s="2" t="s">
        <v>5000</v>
      </c>
      <c r="C869" s="2" t="s">
        <v>4985</v>
      </c>
      <c r="D869" s="2" t="s">
        <v>4986</v>
      </c>
      <c r="E869" s="2" t="s">
        <v>5001</v>
      </c>
      <c r="F869" s="2" t="s">
        <v>5002</v>
      </c>
      <c r="G869" s="2" t="s">
        <v>4095</v>
      </c>
      <c r="H869" s="7"/>
      <c r="I869" s="2" t="s">
        <v>9</v>
      </c>
    </row>
    <row r="870" spans="1:9" ht="65" x14ac:dyDescent="0.3">
      <c r="A870" s="1" t="str">
        <f>HYPERLINK("https://ipmanager.doe.gov/IPManager//ExternalLink.aspx?6ibkph2k9yi6F%2B0Vz7YoTp68px7nSN2gqZiVIYa%2F%2Fb4%3D","Link")</f>
        <v>Link</v>
      </c>
      <c r="B870" s="2" t="s">
        <v>6582</v>
      </c>
      <c r="C870" s="2" t="s">
        <v>6583</v>
      </c>
      <c r="D870" s="2" t="s">
        <v>4986</v>
      </c>
      <c r="E870" s="2" t="s">
        <v>6584</v>
      </c>
      <c r="F870" s="2" t="s">
        <v>6585</v>
      </c>
      <c r="G870" s="2" t="s">
        <v>6586</v>
      </c>
      <c r="H870" s="7"/>
      <c r="I870" s="2" t="s">
        <v>9</v>
      </c>
    </row>
    <row r="871" spans="1:9" ht="52" x14ac:dyDescent="0.3">
      <c r="A871" s="1" t="str">
        <f>HYPERLINK("https://ipmanager.doe.gov/IPManager//ExternalLink.aspx?6ibkph2k9yi6F%2B0Vz7YoTnXVN2REjGcWC7DlUfygoao%3D","Link")</f>
        <v>Link</v>
      </c>
      <c r="B871" s="2" t="s">
        <v>2945</v>
      </c>
      <c r="C871" s="2" t="s">
        <v>2942</v>
      </c>
      <c r="D871" s="2" t="s">
        <v>1285</v>
      </c>
      <c r="E871" s="2" t="s">
        <v>2946</v>
      </c>
      <c r="F871" s="2" t="s">
        <v>2947</v>
      </c>
      <c r="G871" s="2" t="s">
        <v>2586</v>
      </c>
      <c r="H871" s="7">
        <v>9407157</v>
      </c>
      <c r="I871" s="2" t="s">
        <v>2948</v>
      </c>
    </row>
    <row r="872" spans="1:9" ht="26" x14ac:dyDescent="0.3">
      <c r="A872" s="1" t="str">
        <f>HYPERLINK("https://ipmanager.doe.gov/IPManager//ExternalLink.aspx?6ibkph2k9yi6F%2B0Vz7YoTvPUg%2FVZPl3ikDbvnOcyJG4%3D","Link")</f>
        <v>Link</v>
      </c>
      <c r="B872" s="2" t="s">
        <v>4058</v>
      </c>
      <c r="C872" s="2" t="s">
        <v>4059</v>
      </c>
      <c r="D872" s="2" t="s">
        <v>4060</v>
      </c>
      <c r="E872" s="2" t="s">
        <v>4061</v>
      </c>
      <c r="F872" s="2" t="s">
        <v>4062</v>
      </c>
      <c r="G872" s="2" t="s">
        <v>1765</v>
      </c>
      <c r="H872" s="7"/>
      <c r="I872" s="2" t="s">
        <v>9</v>
      </c>
    </row>
    <row r="873" spans="1:9" ht="65" x14ac:dyDescent="0.3">
      <c r="A873" s="1" t="str">
        <f>HYPERLINK("https://ipmanager.doe.gov/IPManager//ExternalLink.aspx?6ibkph2k9yi6F%2B0Vz7YoTk2BI6w%2FjZ2fpDy8RGcuzP4%3D","Link")</f>
        <v>Link</v>
      </c>
      <c r="B873" s="2" t="s">
        <v>2952</v>
      </c>
      <c r="C873" s="2" t="s">
        <v>2942</v>
      </c>
      <c r="D873" s="2" t="s">
        <v>154</v>
      </c>
      <c r="E873" s="2" t="s">
        <v>2953</v>
      </c>
      <c r="F873" s="2"/>
      <c r="G873" s="2" t="s">
        <v>9</v>
      </c>
      <c r="H873" s="7"/>
      <c r="I873" s="2" t="s">
        <v>9</v>
      </c>
    </row>
    <row r="874" spans="1:9" ht="52" x14ac:dyDescent="0.3">
      <c r="A874" s="1" t="str">
        <f>HYPERLINK("https://ipmanager.doe.gov/IPManager//ExternalLink.aspx?6ibkph2k9yi6F%2B0Vz7YoTk2BI6w%2FjZ2fO10IHU09evg%3D","Link")</f>
        <v>Link</v>
      </c>
      <c r="B874" s="2" t="s">
        <v>2954</v>
      </c>
      <c r="C874" s="2" t="s">
        <v>2942</v>
      </c>
      <c r="D874" s="2" t="s">
        <v>1285</v>
      </c>
      <c r="E874" s="2" t="s">
        <v>2955</v>
      </c>
      <c r="F874" s="2"/>
      <c r="G874" s="2" t="s">
        <v>9</v>
      </c>
      <c r="H874" s="7"/>
      <c r="I874" s="2" t="s">
        <v>9</v>
      </c>
    </row>
    <row r="875" spans="1:9" ht="78" x14ac:dyDescent="0.3">
      <c r="A875" s="1" t="str">
        <f>HYPERLINK("https://ipmanager.doe.gov/IPManager//ExternalLink.aspx?6ibkph2k9yi6F%2B0Vz7YoTipZ798QK%2BbPbeYog4U93Mk%3D","Link")</f>
        <v>Link</v>
      </c>
      <c r="B875" s="2" t="s">
        <v>115</v>
      </c>
      <c r="C875" s="2" t="s">
        <v>116</v>
      </c>
      <c r="D875" s="2" t="s">
        <v>117</v>
      </c>
      <c r="E875" s="2" t="s">
        <v>118</v>
      </c>
      <c r="F875" s="2" t="s">
        <v>119</v>
      </c>
      <c r="G875" s="2" t="s">
        <v>120</v>
      </c>
      <c r="H875" s="7"/>
      <c r="I875" s="2" t="s">
        <v>9</v>
      </c>
    </row>
    <row r="876" spans="1:9" ht="39" x14ac:dyDescent="0.3">
      <c r="A876" s="1" t="str">
        <f>HYPERLINK("https://ipmanager.doe.gov/IPManager//ExternalLink.aspx?6ibkph2k9yi6F%2B0Vz7YoTvE8yjoHgvp6LLr4ydvJxsM%3D","Link")</f>
        <v>Link</v>
      </c>
      <c r="B876" s="2" t="s">
        <v>1262</v>
      </c>
      <c r="C876" s="2" t="s">
        <v>7315</v>
      </c>
      <c r="D876" s="2" t="s">
        <v>117</v>
      </c>
      <c r="E876" s="2" t="s">
        <v>1263</v>
      </c>
      <c r="F876" s="2" t="s">
        <v>1264</v>
      </c>
      <c r="G876" s="2" t="s">
        <v>1265</v>
      </c>
      <c r="H876" s="7"/>
      <c r="I876" s="2" t="s">
        <v>9</v>
      </c>
    </row>
    <row r="877" spans="1:9" ht="39" x14ac:dyDescent="0.3">
      <c r="A877" s="1" t="str">
        <f>HYPERLINK("https://ipmanager.doe.gov/IPManager//ExternalLink.aspx?6ibkph2k9yi6F%2B0Vz7YoTgZwfmYxrNyKzjE0cB7o5Xs%3D","Link")</f>
        <v>Link</v>
      </c>
      <c r="B877" s="2" t="s">
        <v>2963</v>
      </c>
      <c r="C877" s="2" t="s">
        <v>2942</v>
      </c>
      <c r="D877" s="2" t="s">
        <v>1285</v>
      </c>
      <c r="E877" s="2" t="s">
        <v>2964</v>
      </c>
      <c r="F877" s="2"/>
      <c r="G877" s="2" t="s">
        <v>9</v>
      </c>
      <c r="H877" s="7"/>
      <c r="I877" s="2" t="s">
        <v>9</v>
      </c>
    </row>
    <row r="878" spans="1:9" ht="52" x14ac:dyDescent="0.3">
      <c r="A878" s="1" t="str">
        <f>HYPERLINK("https://ipmanager.doe.gov/IPManager//ExternalLink.aspx?6ibkph2k9yi6F%2B0Vz7YoTgZwfmYxrNyK%2BliHMKdr4%2BE%3D","Link")</f>
        <v>Link</v>
      </c>
      <c r="B878" s="2" t="s">
        <v>2965</v>
      </c>
      <c r="C878" s="2" t="s">
        <v>2942</v>
      </c>
      <c r="D878" s="2" t="s">
        <v>1285</v>
      </c>
      <c r="E878" s="2" t="s">
        <v>2966</v>
      </c>
      <c r="F878" s="2"/>
      <c r="G878" s="2" t="s">
        <v>9</v>
      </c>
      <c r="H878" s="7"/>
      <c r="I878" s="2" t="s">
        <v>9</v>
      </c>
    </row>
    <row r="879" spans="1:9" ht="65" x14ac:dyDescent="0.3">
      <c r="A879" s="1" t="str">
        <f>HYPERLINK("https://ipmanager.doe.gov/IPManager//ExternalLink.aspx?6ibkph2k9yi6F%2B0Vz7YoTlNm8snv%2FZpHpZwzIOgDqXU%3D","Link")</f>
        <v>Link</v>
      </c>
      <c r="B879" s="2" t="s">
        <v>2967</v>
      </c>
      <c r="C879" s="2" t="s">
        <v>2942</v>
      </c>
      <c r="D879" s="2" t="s">
        <v>1285</v>
      </c>
      <c r="E879" s="2" t="s">
        <v>2968</v>
      </c>
      <c r="F879" s="2" t="s">
        <v>2969</v>
      </c>
      <c r="G879" s="2" t="s">
        <v>35</v>
      </c>
      <c r="H879" s="7">
        <v>9306391</v>
      </c>
      <c r="I879" s="2" t="s">
        <v>160</v>
      </c>
    </row>
    <row r="880" spans="1:9" ht="26" x14ac:dyDescent="0.3">
      <c r="A880" s="1" t="str">
        <f>HYPERLINK("https://ipmanager.doe.gov/IPManager//ExternalLink.aspx?6ibkph2k9yi6F%2B0Vz7YoTgZwfmYxrNyK61Xaog5RkZI%3D","Link")</f>
        <v>Link</v>
      </c>
      <c r="B880" s="2" t="s">
        <v>2970</v>
      </c>
      <c r="C880" s="2" t="s">
        <v>2971</v>
      </c>
      <c r="D880" s="2" t="s">
        <v>308</v>
      </c>
      <c r="E880" s="2" t="s">
        <v>2972</v>
      </c>
      <c r="F880" s="2"/>
      <c r="G880" s="2" t="s">
        <v>9</v>
      </c>
      <c r="H880" s="7"/>
      <c r="I880" s="2" t="s">
        <v>9</v>
      </c>
    </row>
    <row r="881" spans="1:9" ht="52" x14ac:dyDescent="0.3">
      <c r="A881" s="1" t="str">
        <f>HYPERLINK("https://ipmanager.doe.gov/IPManager//ExternalLink.aspx?6ibkph2k9yi6F%2B0Vz7YoTlNm8snv%2FZpHsFQH34USVec%3D","Link")</f>
        <v>Link</v>
      </c>
      <c r="B881" s="2" t="s">
        <v>2973</v>
      </c>
      <c r="C881" s="2" t="s">
        <v>2974</v>
      </c>
      <c r="D881" s="2" t="s">
        <v>348</v>
      </c>
      <c r="E881" s="2" t="s">
        <v>2975</v>
      </c>
      <c r="F881" s="2"/>
      <c r="G881" s="2" t="s">
        <v>9</v>
      </c>
      <c r="H881" s="7"/>
      <c r="I881" s="2" t="s">
        <v>9</v>
      </c>
    </row>
    <row r="882" spans="1:9" ht="39" x14ac:dyDescent="0.3">
      <c r="A882" s="1" t="str">
        <f>HYPERLINK("https://ipmanager.doe.gov/IPManager//ExternalLink.aspx?6ibkph2k9yi6F%2B0Vz7YoTipZ798QK%2BbPGtCZe2MrfaI%3D","Link")</f>
        <v>Link</v>
      </c>
      <c r="B882" s="2" t="s">
        <v>2976</v>
      </c>
      <c r="C882" s="2" t="s">
        <v>2974</v>
      </c>
      <c r="D882" s="2" t="s">
        <v>348</v>
      </c>
      <c r="E882" s="2" t="s">
        <v>2977</v>
      </c>
      <c r="F882" s="2"/>
      <c r="G882" s="2" t="s">
        <v>9</v>
      </c>
      <c r="H882" s="7"/>
      <c r="I882" s="2" t="s">
        <v>9</v>
      </c>
    </row>
    <row r="883" spans="1:9" ht="26" x14ac:dyDescent="0.3">
      <c r="A883" s="1" t="str">
        <f>HYPERLINK("https://ipmanager.doe.gov/IPManager//ExternalLink.aspx?6ibkph2k9yi6F%2B0Vz7YoTr7J5I%2BY4foYMal7mj0rX2g%3D","Link")</f>
        <v>Link</v>
      </c>
      <c r="B883" s="2" t="s">
        <v>2978</v>
      </c>
      <c r="C883" s="2" t="s">
        <v>2974</v>
      </c>
      <c r="D883" s="2" t="s">
        <v>348</v>
      </c>
      <c r="E883" s="2" t="s">
        <v>2979</v>
      </c>
      <c r="F883" s="2"/>
      <c r="G883" s="2" t="s">
        <v>9</v>
      </c>
      <c r="H883" s="7"/>
      <c r="I883" s="2" t="s">
        <v>9</v>
      </c>
    </row>
    <row r="884" spans="1:9" ht="39" x14ac:dyDescent="0.3">
      <c r="A884" s="1" t="str">
        <f>HYPERLINK("https://ipmanager.doe.gov/IPManager//ExternalLink.aspx?6ibkph2k9yi6F%2B0Vz7YoTr7J5I%2BY4foYBI3ZBAFf%2BGY%3D","Link")</f>
        <v>Link</v>
      </c>
      <c r="B884" s="2" t="s">
        <v>2980</v>
      </c>
      <c r="C884" s="2" t="s">
        <v>2974</v>
      </c>
      <c r="D884" s="2" t="s">
        <v>348</v>
      </c>
      <c r="E884" s="2" t="s">
        <v>2981</v>
      </c>
      <c r="F884" s="2"/>
      <c r="G884" s="2" t="s">
        <v>9</v>
      </c>
      <c r="H884" s="7"/>
      <c r="I884" s="2" t="s">
        <v>9</v>
      </c>
    </row>
    <row r="885" spans="1:9" ht="65" x14ac:dyDescent="0.3">
      <c r="A885" s="1" t="str">
        <f>HYPERLINK("https://ipmanager.doe.gov/IPManager//ExternalLink.aspx?6ibkph2k9yi6F%2B0Vz7YoTgZwfmYxrNyK1proIgEqJ9k%3D","Link")</f>
        <v>Link</v>
      </c>
      <c r="B885" s="2" t="s">
        <v>2982</v>
      </c>
      <c r="C885" s="2" t="s">
        <v>2974</v>
      </c>
      <c r="D885" s="2" t="s">
        <v>348</v>
      </c>
      <c r="E885" s="2" t="s">
        <v>2983</v>
      </c>
      <c r="F885" s="2"/>
      <c r="G885" s="2" t="s">
        <v>9</v>
      </c>
      <c r="H885" s="7"/>
      <c r="I885" s="2" t="s">
        <v>9</v>
      </c>
    </row>
    <row r="886" spans="1:9" ht="39" x14ac:dyDescent="0.3">
      <c r="A886" s="1" t="str">
        <f>HYPERLINK("https://ipmanager.doe.gov/IPManager//ExternalLink.aspx?6ibkph2k9yi6F%2B0Vz7YoTp68px7nSN2gqKoUeFEy0Ac%3D","Link")</f>
        <v>Link</v>
      </c>
      <c r="B886" s="2" t="s">
        <v>1267</v>
      </c>
      <c r="C886" s="2" t="s">
        <v>7315</v>
      </c>
      <c r="D886" s="2" t="s">
        <v>117</v>
      </c>
      <c r="E886" s="2" t="s">
        <v>1268</v>
      </c>
      <c r="F886" s="2" t="s">
        <v>1269</v>
      </c>
      <c r="G886" s="2" t="s">
        <v>1270</v>
      </c>
      <c r="H886" s="7"/>
      <c r="I886" s="2" t="s">
        <v>9</v>
      </c>
    </row>
    <row r="887" spans="1:9" ht="65" x14ac:dyDescent="0.3">
      <c r="A887" s="1" t="str">
        <f>HYPERLINK("https://ipmanager.doe.gov/IPManager//ExternalLink.aspx?6ibkph2k9yi6F%2B0Vz7YoTjnDGhmGHGI7hhPgEMlOd%2Fs%3D","Link")</f>
        <v>Link</v>
      </c>
      <c r="B887" s="2" t="s">
        <v>2982</v>
      </c>
      <c r="C887" s="2" t="s">
        <v>2974</v>
      </c>
      <c r="D887" s="2" t="s">
        <v>348</v>
      </c>
      <c r="E887" s="2" t="s">
        <v>2983</v>
      </c>
      <c r="F887" s="2"/>
      <c r="G887" s="2" t="s">
        <v>9</v>
      </c>
      <c r="H887" s="7"/>
      <c r="I887" s="2" t="s">
        <v>9</v>
      </c>
    </row>
    <row r="888" spans="1:9" ht="52" x14ac:dyDescent="0.3">
      <c r="A888" s="1" t="str">
        <f>HYPERLINK("https://ipmanager.doe.gov/IPManager//ExternalLink.aspx?6ibkph2k9yi6F%2B0Vz7YoTjnDGhmGHGI7F03aZWGxVZ4%3D","Link")</f>
        <v>Link</v>
      </c>
      <c r="B888" s="2" t="s">
        <v>2988</v>
      </c>
      <c r="C888" s="2" t="s">
        <v>2974</v>
      </c>
      <c r="D888" s="2" t="s">
        <v>348</v>
      </c>
      <c r="E888" s="2" t="s">
        <v>2989</v>
      </c>
      <c r="F888" s="2" t="s">
        <v>2990</v>
      </c>
      <c r="G888" s="2" t="s">
        <v>855</v>
      </c>
      <c r="H888" s="7">
        <v>10158229</v>
      </c>
      <c r="I888" s="2" t="s">
        <v>2991</v>
      </c>
    </row>
    <row r="889" spans="1:9" ht="65" x14ac:dyDescent="0.3">
      <c r="A889" s="1" t="str">
        <f>HYPERLINK("https://ipmanager.doe.gov/IPManager//ExternalLink.aspx?6ibkph2k9yi6F%2B0Vz7YoTjnDGhmGHGI7ezJiV9TeYwc%3D","Link")</f>
        <v>Link</v>
      </c>
      <c r="B889" s="2" t="s">
        <v>2993</v>
      </c>
      <c r="C889" s="2" t="s">
        <v>2974</v>
      </c>
      <c r="D889" s="2" t="s">
        <v>348</v>
      </c>
      <c r="E889" s="2" t="s">
        <v>2994</v>
      </c>
      <c r="F889" s="2"/>
      <c r="G889" s="2" t="s">
        <v>9</v>
      </c>
      <c r="H889" s="7"/>
      <c r="I889" s="2" t="s">
        <v>9</v>
      </c>
    </row>
    <row r="890" spans="1:9" ht="65" x14ac:dyDescent="0.3">
      <c r="A890" s="1" t="str">
        <f>HYPERLINK("https://ipmanager.doe.gov/IPManager//ExternalLink.aspx?6ibkph2k9yi6F%2B0Vz7YoTjnDGhmGHGI7TBYNhiXHy%2B8%3D","Link")</f>
        <v>Link</v>
      </c>
      <c r="B890" s="2" t="s">
        <v>2980</v>
      </c>
      <c r="C890" s="2" t="s">
        <v>2974</v>
      </c>
      <c r="D890" s="2" t="s">
        <v>348</v>
      </c>
      <c r="E890" s="2" t="s">
        <v>2994</v>
      </c>
      <c r="F890" s="2"/>
      <c r="G890" s="2" t="s">
        <v>9</v>
      </c>
      <c r="H890" s="7"/>
      <c r="I890" s="2" t="s">
        <v>9</v>
      </c>
    </row>
    <row r="891" spans="1:9" ht="26" x14ac:dyDescent="0.3">
      <c r="A891" s="1" t="str">
        <f>HYPERLINK("https://ipmanager.doe.gov/IPManager//ExternalLink.aspx?6ibkph2k9yi6F%2B0Vz7YoTjnDGhmGHGI7wsmNcc163VM%3D","Link")</f>
        <v>Link</v>
      </c>
      <c r="B891" s="2" t="s">
        <v>2995</v>
      </c>
      <c r="C891" s="2" t="s">
        <v>2974</v>
      </c>
      <c r="D891" s="2" t="s">
        <v>348</v>
      </c>
      <c r="E891" s="2" t="s">
        <v>2996</v>
      </c>
      <c r="F891" s="2"/>
      <c r="G891" s="2" t="s">
        <v>9</v>
      </c>
      <c r="H891" s="7"/>
      <c r="I891" s="2" t="s">
        <v>9</v>
      </c>
    </row>
    <row r="892" spans="1:9" ht="52" x14ac:dyDescent="0.3">
      <c r="A892" s="1" t="str">
        <f>HYPERLINK("https://ipmanager.doe.gov/IPManager//ExternalLink.aspx?6ibkph2k9yi6F%2B0Vz7YoTipZ798QK%2BbPdt%2BH1Erq4Kw%3D","Link")</f>
        <v>Link</v>
      </c>
      <c r="B892" s="2" t="s">
        <v>3313</v>
      </c>
      <c r="C892" s="2" t="s">
        <v>3314</v>
      </c>
      <c r="D892" s="2" t="s">
        <v>3315</v>
      </c>
      <c r="E892" s="2" t="s">
        <v>3316</v>
      </c>
      <c r="F892" s="2" t="s">
        <v>3317</v>
      </c>
      <c r="G892" s="2" t="s">
        <v>3318</v>
      </c>
      <c r="H892" s="7"/>
      <c r="I892" s="2" t="s">
        <v>9</v>
      </c>
    </row>
    <row r="893" spans="1:9" ht="39" x14ac:dyDescent="0.3">
      <c r="A893" s="1" t="str">
        <f>HYPERLINK("https://ipmanager.doe.gov/IPManager//ExternalLink.aspx?6ibkph2k9yi6F%2B0Vz7YoThEBhkR3uHVrOD74H%2BSHPvE%3D","Link")</f>
        <v>Link</v>
      </c>
      <c r="B893" s="2" t="s">
        <v>6643</v>
      </c>
      <c r="C893" s="2" t="s">
        <v>6641</v>
      </c>
      <c r="D893" s="2" t="s">
        <v>6200</v>
      </c>
      <c r="E893" s="2" t="s">
        <v>6644</v>
      </c>
      <c r="F893" s="2" t="s">
        <v>6645</v>
      </c>
      <c r="G893" s="2" t="s">
        <v>6646</v>
      </c>
      <c r="H893" s="7"/>
      <c r="I893" s="2" t="s">
        <v>9</v>
      </c>
    </row>
    <row r="894" spans="1:9" ht="52" x14ac:dyDescent="0.3">
      <c r="A894" s="1" t="str">
        <f>HYPERLINK("https://ipmanager.doe.gov/IPManager//ExternalLink.aspx?6ibkph2k9yi6F%2B0Vz7YoThEBhkR3uHVrMgcw1mmMrVY%3D","Link")</f>
        <v>Link</v>
      </c>
      <c r="B894" s="2" t="s">
        <v>6647</v>
      </c>
      <c r="C894" s="2" t="s">
        <v>6641</v>
      </c>
      <c r="D894" s="2" t="s">
        <v>6200</v>
      </c>
      <c r="E894" s="2" t="s">
        <v>6648</v>
      </c>
      <c r="F894" s="2" t="s">
        <v>6649</v>
      </c>
      <c r="G894" s="2" t="s">
        <v>6650</v>
      </c>
      <c r="H894" s="7"/>
      <c r="I894" s="2" t="s">
        <v>9</v>
      </c>
    </row>
    <row r="895" spans="1:9" ht="26" x14ac:dyDescent="0.3">
      <c r="A895" s="1" t="str">
        <f>HYPERLINK("https://ipmanager.doe.gov/IPManager//ExternalLink.aspx?6ibkph2k9yi6F%2B0Vz7YoTkqAgjuWMa9Qg9WtqWzfS%2Bg%3D","Link")</f>
        <v>Link</v>
      </c>
      <c r="B895" s="2" t="s">
        <v>3009</v>
      </c>
      <c r="C895" s="2" t="s">
        <v>3004</v>
      </c>
      <c r="D895" s="2" t="s">
        <v>3005</v>
      </c>
      <c r="E895" s="2" t="s">
        <v>3010</v>
      </c>
      <c r="F895" s="2" t="s">
        <v>3011</v>
      </c>
      <c r="G895" s="2" t="s">
        <v>3012</v>
      </c>
      <c r="H895" s="8">
        <v>9197065</v>
      </c>
      <c r="I895" s="2" t="s">
        <v>455</v>
      </c>
    </row>
    <row r="896" spans="1:9" ht="39" x14ac:dyDescent="0.3">
      <c r="A896" s="1" t="str">
        <f>HYPERLINK("https://ipmanager.doe.gov/IPManager//ExternalLink.aspx?6ibkph2k9yi6F%2B0Vz7YoTo7DPLa3%2F%2FGgzDubQPk25wU%3D","Link")</f>
        <v>Link</v>
      </c>
      <c r="B896" s="2" t="s">
        <v>3013</v>
      </c>
      <c r="C896" s="2" t="s">
        <v>3004</v>
      </c>
      <c r="D896" s="2" t="s">
        <v>3005</v>
      </c>
      <c r="E896" s="2" t="s">
        <v>1689</v>
      </c>
      <c r="F896" s="2" t="s">
        <v>1690</v>
      </c>
      <c r="G896" s="2" t="s">
        <v>2211</v>
      </c>
      <c r="H896" s="7"/>
      <c r="I896" s="2" t="s">
        <v>9</v>
      </c>
    </row>
    <row r="897" spans="1:9" ht="26" x14ac:dyDescent="0.3">
      <c r="A897" s="1" t="str">
        <f>HYPERLINK("https://ipmanager.doe.gov/IPManager//ExternalLink.aspx?6ibkph2k9yi6F%2B0Vz7YoTjnDGhmGHGI7O2xa6kbW8tc%3D","Link")</f>
        <v>Link</v>
      </c>
      <c r="B897" s="2" t="s">
        <v>3014</v>
      </c>
      <c r="C897" s="2" t="s">
        <v>3004</v>
      </c>
      <c r="D897" s="2" t="s">
        <v>3005</v>
      </c>
      <c r="E897" s="2" t="s">
        <v>3015</v>
      </c>
      <c r="F897" s="2" t="s">
        <v>3016</v>
      </c>
      <c r="G897" s="2" t="s">
        <v>3017</v>
      </c>
      <c r="H897" s="7">
        <v>9590421</v>
      </c>
      <c r="I897" s="2" t="s">
        <v>270</v>
      </c>
    </row>
    <row r="898" spans="1:9" ht="52" x14ac:dyDescent="0.3">
      <c r="A898" s="1" t="str">
        <f>HYPERLINK("https://ipmanager.doe.gov/IPManager//ExternalLink.aspx?6ibkph2k9yi6F%2B0Vz7YoTsTAnuFk5EoALE4OrScshok%3D","Link")</f>
        <v>Link</v>
      </c>
      <c r="B898" s="2" t="s">
        <v>6651</v>
      </c>
      <c r="C898" s="2" t="s">
        <v>6641</v>
      </c>
      <c r="D898" s="2" t="s">
        <v>6200</v>
      </c>
      <c r="E898" s="2" t="s">
        <v>6648</v>
      </c>
      <c r="F898" s="2" t="s">
        <v>6652</v>
      </c>
      <c r="G898" s="2" t="s">
        <v>4674</v>
      </c>
      <c r="H898" s="7"/>
      <c r="I898" s="2" t="s">
        <v>9</v>
      </c>
    </row>
    <row r="899" spans="1:9" ht="52" x14ac:dyDescent="0.3">
      <c r="A899" s="1" t="str">
        <f>HYPERLINK("https://ipmanager.doe.gov/IPManager//ExternalLink.aspx?6ibkph2k9yi6F%2B0Vz7YoTvPUg%2FVZPl3i1bM6Jmm%2BadQ%3D","Link")</f>
        <v>Link</v>
      </c>
      <c r="B899" s="2" t="s">
        <v>3024</v>
      </c>
      <c r="C899" s="2" t="s">
        <v>3025</v>
      </c>
      <c r="D899" s="2" t="s">
        <v>2908</v>
      </c>
      <c r="E899" s="2" t="s">
        <v>3026</v>
      </c>
      <c r="F899" s="2"/>
      <c r="G899" s="2" t="s">
        <v>9</v>
      </c>
      <c r="H899" s="7"/>
      <c r="I899" s="2" t="s">
        <v>9</v>
      </c>
    </row>
    <row r="900" spans="1:9" ht="65" x14ac:dyDescent="0.3">
      <c r="A900" s="1" t="str">
        <f>HYPERLINK("https://ipmanager.doe.gov/IPManager//ExternalLink.aspx?6ibkph2k9yi6F%2B0Vz7YoThEBhkR3uHVrdr70TyqSOe4%3D","Link")</f>
        <v>Link</v>
      </c>
      <c r="B900" s="2" t="s">
        <v>7277</v>
      </c>
      <c r="C900" s="2" t="s">
        <v>7278</v>
      </c>
      <c r="D900" s="2" t="s">
        <v>6200</v>
      </c>
      <c r="E900" s="2" t="s">
        <v>7279</v>
      </c>
      <c r="F900" s="2" t="s">
        <v>7280</v>
      </c>
      <c r="G900" s="2" t="s">
        <v>6480</v>
      </c>
      <c r="H900" s="7"/>
      <c r="I900" s="2" t="s">
        <v>9</v>
      </c>
    </row>
    <row r="901" spans="1:9" ht="26" x14ac:dyDescent="0.3">
      <c r="A901" s="1" t="str">
        <f>HYPERLINK("https://ipmanager.doe.gov/IPManager//ExternalLink.aspx?6ibkph2k9yi6F%2B0Vz7YoTjnDGhmGHGI7I08kC5%2FJGxc%3D","Link")</f>
        <v>Link</v>
      </c>
      <c r="B901" s="2" t="s">
        <v>3029</v>
      </c>
      <c r="C901" s="2" t="s">
        <v>3030</v>
      </c>
      <c r="D901" s="2" t="s">
        <v>3031</v>
      </c>
      <c r="E901" s="2" t="s">
        <v>3032</v>
      </c>
      <c r="F901" s="2" t="s">
        <v>3033</v>
      </c>
      <c r="G901" s="2" t="s">
        <v>3034</v>
      </c>
      <c r="H901" s="8">
        <v>9054530</v>
      </c>
      <c r="I901" s="2" t="s">
        <v>3035</v>
      </c>
    </row>
    <row r="902" spans="1:9" ht="26" x14ac:dyDescent="0.3">
      <c r="A902" s="1" t="str">
        <f>HYPERLINK("https://ipmanager.doe.gov/IPManager//ExternalLink.aspx?6ibkph2k9yi6F%2B0Vz7YoTo7DPLa3%2F%2FGgdqgSLhZRGMg%3D","Link")</f>
        <v>Link</v>
      </c>
      <c r="B902" s="2" t="s">
        <v>1954</v>
      </c>
      <c r="C902" s="2" t="s">
        <v>1951</v>
      </c>
      <c r="D902" s="2" t="s">
        <v>1952</v>
      </c>
      <c r="E902" s="2" t="s">
        <v>1955</v>
      </c>
      <c r="F902" s="2" t="s">
        <v>1956</v>
      </c>
      <c r="G902" s="2" t="s">
        <v>1957</v>
      </c>
      <c r="H902" s="7"/>
      <c r="I902" s="2" t="s">
        <v>9</v>
      </c>
    </row>
    <row r="903" spans="1:9" ht="26" x14ac:dyDescent="0.3">
      <c r="A903" s="1" t="str">
        <f>HYPERLINK("https://ipmanager.doe.gov/IPManager//ExternalLink.aspx?6ibkph2k9yi6F%2B0Vz7YoTp68px7nSN2gZLxOtB%2Bws1k%3D","Link")</f>
        <v>Link</v>
      </c>
      <c r="B903" s="2" t="s">
        <v>1958</v>
      </c>
      <c r="C903" s="2" t="s">
        <v>1951</v>
      </c>
      <c r="D903" s="2" t="s">
        <v>1952</v>
      </c>
      <c r="E903" s="2" t="s">
        <v>1959</v>
      </c>
      <c r="F903" s="2" t="s">
        <v>1960</v>
      </c>
      <c r="G903" s="2" t="s">
        <v>1957</v>
      </c>
      <c r="H903" s="7"/>
      <c r="I903" s="2" t="s">
        <v>9</v>
      </c>
    </row>
    <row r="904" spans="1:9" ht="26" x14ac:dyDescent="0.3">
      <c r="A904" s="1" t="str">
        <f>HYPERLINK("https://ipmanager.doe.gov/IPManager//ExternalLink.aspx?6ibkph2k9yi6F%2B0Vz7YoTgZwfmYxrNyK8HQnvzWGqmM%3D","Link")</f>
        <v>Link</v>
      </c>
      <c r="B904" s="2" t="s">
        <v>1963</v>
      </c>
      <c r="C904" s="2" t="s">
        <v>1951</v>
      </c>
      <c r="D904" s="2" t="s">
        <v>1952</v>
      </c>
      <c r="E904" s="2" t="s">
        <v>1955</v>
      </c>
      <c r="F904" s="2" t="s">
        <v>1964</v>
      </c>
      <c r="G904" s="2" t="s">
        <v>1965</v>
      </c>
      <c r="H904" s="7"/>
      <c r="I904" s="2" t="s">
        <v>9</v>
      </c>
    </row>
    <row r="905" spans="1:9" ht="26" x14ac:dyDescent="0.3">
      <c r="A905" s="1" t="str">
        <f>HYPERLINK("https://ipmanager.doe.gov/IPManager//ExternalLink.aspx?6ibkph2k9yi6F%2B0Vz7YoTk2BI6w%2FjZ2fUz5t10TeFz0%3D","Link")</f>
        <v>Link</v>
      </c>
      <c r="B905" s="2" t="s">
        <v>1974</v>
      </c>
      <c r="C905" s="2" t="s">
        <v>1951</v>
      </c>
      <c r="D905" s="2" t="s">
        <v>1952</v>
      </c>
      <c r="E905" s="2" t="s">
        <v>1959</v>
      </c>
      <c r="F905" s="2" t="s">
        <v>1975</v>
      </c>
      <c r="G905" s="2" t="s">
        <v>1965</v>
      </c>
      <c r="H905" s="7"/>
      <c r="I905" s="2" t="s">
        <v>9</v>
      </c>
    </row>
    <row r="906" spans="1:9" ht="26" x14ac:dyDescent="0.3">
      <c r="A906" s="1" t="str">
        <f>HYPERLINK("https://ipmanager.doe.gov/IPManager//ExternalLink.aspx?6ibkph2k9yi6F%2B0Vz7YoTipZ798QK%2BbP8IZ11RaTbZ0%3D","Link")</f>
        <v>Link</v>
      </c>
      <c r="B906" s="2" t="s">
        <v>1982</v>
      </c>
      <c r="C906" s="2" t="s">
        <v>1951</v>
      </c>
      <c r="D906" s="2" t="s">
        <v>1952</v>
      </c>
      <c r="E906" s="2" t="s">
        <v>1959</v>
      </c>
      <c r="F906" s="2" t="s">
        <v>1983</v>
      </c>
      <c r="G906" s="2" t="s">
        <v>1984</v>
      </c>
      <c r="H906" s="7"/>
      <c r="I906" s="2" t="s">
        <v>9</v>
      </c>
    </row>
    <row r="907" spans="1:9" ht="26" x14ac:dyDescent="0.3">
      <c r="A907" s="1" t="str">
        <f>HYPERLINK("https://ipmanager.doe.gov/IPManager//ExternalLink.aspx?6ibkph2k9yi6F%2B0Vz7YoTjnDGhmGHGI7%2F4x2KOhICjM%3D","Link")</f>
        <v>Link</v>
      </c>
      <c r="B907" s="2" t="s">
        <v>3053</v>
      </c>
      <c r="C907" s="2" t="s">
        <v>3054</v>
      </c>
      <c r="D907" s="2" t="s">
        <v>1807</v>
      </c>
      <c r="E907" s="2" t="s">
        <v>1815</v>
      </c>
      <c r="F907" s="2" t="s">
        <v>3055</v>
      </c>
      <c r="G907" s="2" t="s">
        <v>1652</v>
      </c>
      <c r="H907" s="7">
        <v>8888049</v>
      </c>
      <c r="I907" s="2" t="s">
        <v>3056</v>
      </c>
    </row>
    <row r="908" spans="1:9" ht="39" x14ac:dyDescent="0.3">
      <c r="A908" s="1" t="str">
        <f>HYPERLINK("https://ipmanager.doe.gov/IPManager//ExternalLink.aspx?6ibkph2k9yi6F%2B0Vz7YoTjnDGhmGHGI7zSZDp9gD00w%3D","Link")</f>
        <v>Link</v>
      </c>
      <c r="B908" s="2" t="s">
        <v>3057</v>
      </c>
      <c r="C908" s="2" t="s">
        <v>3058</v>
      </c>
      <c r="D908" s="2" t="s">
        <v>3059</v>
      </c>
      <c r="E908" s="2" t="s">
        <v>3060</v>
      </c>
      <c r="F908" s="2"/>
      <c r="G908" s="2" t="s">
        <v>9</v>
      </c>
      <c r="H908" s="7"/>
      <c r="I908" s="2" t="s">
        <v>9</v>
      </c>
    </row>
    <row r="909" spans="1:9" ht="39" x14ac:dyDescent="0.3">
      <c r="A909" s="1" t="str">
        <f>HYPERLINK("https://ipmanager.doe.gov/IPManager//ExternalLink.aspx?6ibkph2k9yi6F%2B0Vz7YoTq6RR9BlGHHiFOc4li1J8g0%3D","Link")</f>
        <v>Link</v>
      </c>
      <c r="B909" s="2" t="s">
        <v>3061</v>
      </c>
      <c r="C909" s="2" t="s">
        <v>3058</v>
      </c>
      <c r="D909" s="2" t="s">
        <v>3062</v>
      </c>
      <c r="E909" s="2" t="s">
        <v>3063</v>
      </c>
      <c r="F909" s="2" t="s">
        <v>3064</v>
      </c>
      <c r="G909" s="2" t="s">
        <v>1407</v>
      </c>
      <c r="H909" s="7">
        <v>9249934</v>
      </c>
      <c r="I909" s="2" t="s">
        <v>577</v>
      </c>
    </row>
    <row r="910" spans="1:9" ht="39" x14ac:dyDescent="0.3">
      <c r="A910" s="1" t="str">
        <f>HYPERLINK("https://ipmanager.doe.gov/IPManager//ExternalLink.aspx?6ibkph2k9yi6F%2B0Vz7YoTipZ798QK%2BbPzcxonETd%2FpY%3D","Link")</f>
        <v>Link</v>
      </c>
      <c r="B910" s="2" t="s">
        <v>3065</v>
      </c>
      <c r="C910" s="2" t="s">
        <v>3058</v>
      </c>
      <c r="D910" s="2" t="s">
        <v>3066</v>
      </c>
      <c r="E910" s="2" t="s">
        <v>3067</v>
      </c>
      <c r="F910" s="2"/>
      <c r="G910" s="2" t="s">
        <v>9</v>
      </c>
      <c r="H910" s="7"/>
      <c r="I910" s="2" t="s">
        <v>9</v>
      </c>
    </row>
    <row r="911" spans="1:9" ht="52" x14ac:dyDescent="0.3">
      <c r="A911" s="1" t="str">
        <f>HYPERLINK("https://ipmanager.doe.gov/IPManager//ExternalLink.aspx?6ibkph2k9yi6F%2B0Vz7YoTgZwfmYxrNyKp6Y19uC5QJo%3D","Link")</f>
        <v>Link</v>
      </c>
      <c r="B911" s="2" t="s">
        <v>3068</v>
      </c>
      <c r="C911" s="2" t="s">
        <v>3058</v>
      </c>
      <c r="D911" s="2" t="s">
        <v>3062</v>
      </c>
      <c r="E911" s="2" t="s">
        <v>3069</v>
      </c>
      <c r="F911" s="2"/>
      <c r="G911" s="2" t="s">
        <v>9</v>
      </c>
      <c r="H911" s="7"/>
      <c r="I911" s="2" t="s">
        <v>9</v>
      </c>
    </row>
    <row r="912" spans="1:9" ht="52" x14ac:dyDescent="0.3">
      <c r="A912" s="1" t="str">
        <f>HYPERLINK("https://ipmanager.doe.gov/IPManager//ExternalLink.aspx?6ibkph2k9yi6F%2B0Vz7YoTjnDGhmGHGI7wpg4lAHZmqA%3D","Link")</f>
        <v>Link</v>
      </c>
      <c r="B912" s="2" t="s">
        <v>3070</v>
      </c>
      <c r="C912" s="2" t="s">
        <v>3058</v>
      </c>
      <c r="D912" s="2" t="s">
        <v>3062</v>
      </c>
      <c r="E912" s="2" t="s">
        <v>3071</v>
      </c>
      <c r="F912" s="2"/>
      <c r="G912" s="2" t="s">
        <v>9</v>
      </c>
      <c r="H912" s="7"/>
      <c r="I912" s="2" t="s">
        <v>9</v>
      </c>
    </row>
    <row r="913" spans="1:9" ht="52" x14ac:dyDescent="0.3">
      <c r="A913" s="1" t="str">
        <f>HYPERLINK("https://ipmanager.doe.gov/IPManager//ExternalLink.aspx?6ibkph2k9yi6F%2B0Vz7YoTlNm8snv%2FZpHPOn2m1gvpPY%3D","Link")</f>
        <v>Link</v>
      </c>
      <c r="B913" s="2" t="s">
        <v>3072</v>
      </c>
      <c r="C913" s="2" t="s">
        <v>3058</v>
      </c>
      <c r="D913" s="2" t="s">
        <v>3062</v>
      </c>
      <c r="E913" s="2" t="s">
        <v>3071</v>
      </c>
      <c r="F913" s="2"/>
      <c r="G913" s="2" t="s">
        <v>9</v>
      </c>
      <c r="H913" s="7"/>
      <c r="I913" s="2" t="s">
        <v>9</v>
      </c>
    </row>
    <row r="914" spans="1:9" ht="78" x14ac:dyDescent="0.3">
      <c r="A914" s="1" t="str">
        <f>HYPERLINK("https://ipmanager.doe.gov/IPManager//ExternalLink.aspx?6ibkph2k9yi6F%2B0Vz7YoTlNm8snv%2FZpHsoCSDHsZAMc%3D","Link")</f>
        <v>Link</v>
      </c>
      <c r="B914" s="2" t="s">
        <v>3073</v>
      </c>
      <c r="C914" s="2" t="s">
        <v>3074</v>
      </c>
      <c r="D914" s="2" t="s">
        <v>3075</v>
      </c>
      <c r="E914" s="2" t="s">
        <v>3076</v>
      </c>
      <c r="F914" s="2" t="s">
        <v>3077</v>
      </c>
      <c r="G914" s="2" t="s">
        <v>1217</v>
      </c>
      <c r="H914" s="7">
        <v>9724668</v>
      </c>
      <c r="I914" s="2" t="s">
        <v>3078</v>
      </c>
    </row>
    <row r="915" spans="1:9" ht="78" x14ac:dyDescent="0.3">
      <c r="A915" s="1" t="str">
        <f>HYPERLINK("https://ipmanager.doe.gov/IPManager//ExternalLink.aspx?6ibkph2k9yi6F%2B0Vz7YoTlNm8snv%2FZpHANMUgPnFZHY%3D","Link")</f>
        <v>Link</v>
      </c>
      <c r="B915" s="2" t="s">
        <v>3079</v>
      </c>
      <c r="C915" s="2" t="s">
        <v>3074</v>
      </c>
      <c r="D915" s="2" t="s">
        <v>1188</v>
      </c>
      <c r="E915" s="2" t="s">
        <v>3080</v>
      </c>
      <c r="F915" s="2" t="s">
        <v>3081</v>
      </c>
      <c r="G915" s="2" t="s">
        <v>3082</v>
      </c>
      <c r="H915" s="7"/>
      <c r="I915" s="2" t="s">
        <v>9</v>
      </c>
    </row>
    <row r="916" spans="1:9" ht="52" x14ac:dyDescent="0.3">
      <c r="A916" s="1" t="str">
        <f>HYPERLINK("https://ipmanager.doe.gov/IPManager//ExternalLink.aspx?6ibkph2k9yi6F%2B0Vz7YoTjnDGhmGHGI7rW96PEZ99dI%3D","Link")</f>
        <v>Link</v>
      </c>
      <c r="B916" s="2" t="s">
        <v>5586</v>
      </c>
      <c r="C916" s="2" t="s">
        <v>5587</v>
      </c>
      <c r="D916" s="2" t="s">
        <v>1952</v>
      </c>
      <c r="E916" s="2" t="s">
        <v>5588</v>
      </c>
      <c r="F916" s="2" t="s">
        <v>5589</v>
      </c>
      <c r="G916" s="2" t="s">
        <v>5590</v>
      </c>
      <c r="H916" s="7"/>
      <c r="I916" s="2" t="s">
        <v>9</v>
      </c>
    </row>
    <row r="917" spans="1:9" ht="52" x14ac:dyDescent="0.3">
      <c r="A917" s="1" t="str">
        <f>HYPERLINK("https://ipmanager.doe.gov/IPManager//ExternalLink.aspx?6ibkph2k9yi6F%2B0Vz7YoTq6RR9BlGHHi%2BrLoP1W7fLs%3D","Link")</f>
        <v>Link</v>
      </c>
      <c r="B917" s="2" t="s">
        <v>5591</v>
      </c>
      <c r="C917" s="2" t="s">
        <v>5587</v>
      </c>
      <c r="D917" s="2" t="s">
        <v>1952</v>
      </c>
      <c r="E917" s="2" t="s">
        <v>5588</v>
      </c>
      <c r="F917" s="2" t="s">
        <v>5592</v>
      </c>
      <c r="G917" s="2" t="s">
        <v>1266</v>
      </c>
      <c r="H917" s="7"/>
      <c r="I917" s="2" t="s">
        <v>9</v>
      </c>
    </row>
    <row r="918" spans="1:9" ht="78" x14ac:dyDescent="0.3">
      <c r="A918" s="1" t="str">
        <f>HYPERLINK("https://ipmanager.doe.gov/IPManager//ExternalLink.aspx?6ibkph2k9yi6F%2B0Vz7YoTvPUg%2FVZPl3iVbq6lbjzFek%3D","Link")</f>
        <v>Link</v>
      </c>
      <c r="B918" s="2" t="s">
        <v>3087</v>
      </c>
      <c r="C918" s="2" t="s">
        <v>3074</v>
      </c>
      <c r="D918" s="2" t="s">
        <v>3075</v>
      </c>
      <c r="E918" s="2" t="s">
        <v>3076</v>
      </c>
      <c r="F918" s="2" t="s">
        <v>1216</v>
      </c>
      <c r="G918" s="2" t="s">
        <v>1217</v>
      </c>
      <c r="H918" s="7">
        <v>9102691</v>
      </c>
      <c r="I918" s="2" t="s">
        <v>1218</v>
      </c>
    </row>
    <row r="919" spans="1:9" ht="78" x14ac:dyDescent="0.3">
      <c r="A919" s="1" t="str">
        <f>HYPERLINK("https://ipmanager.doe.gov/IPManager//ExternalLink.aspx?6ibkph2k9yi6F%2B0Vz7YoThEBhkR3uHVrGAe4gSe6wF4%3D","Link")</f>
        <v>Link</v>
      </c>
      <c r="B919" s="2" t="s">
        <v>3088</v>
      </c>
      <c r="C919" s="2" t="s">
        <v>3074</v>
      </c>
      <c r="D919" s="2" t="s">
        <v>3075</v>
      </c>
      <c r="E919" s="2" t="s">
        <v>3076</v>
      </c>
      <c r="F919" s="2" t="s">
        <v>3089</v>
      </c>
      <c r="G919" s="2" t="s">
        <v>3082</v>
      </c>
      <c r="H919" s="7">
        <v>9102691</v>
      </c>
      <c r="I919" s="2" t="s">
        <v>1218</v>
      </c>
    </row>
    <row r="920" spans="1:9" ht="78" x14ac:dyDescent="0.3">
      <c r="A920" s="1" t="str">
        <f>HYPERLINK("https://ipmanager.doe.gov/IPManager//ExternalLink.aspx?6ibkph2k9yi6F%2B0Vz7YoThEBhkR3uHVrPvCDG%2FczYYY%3D","Link")</f>
        <v>Link</v>
      </c>
      <c r="B920" s="2" t="s">
        <v>3090</v>
      </c>
      <c r="C920" s="2" t="s">
        <v>3074</v>
      </c>
      <c r="D920" s="2" t="s">
        <v>3075</v>
      </c>
      <c r="E920" s="2" t="s">
        <v>3091</v>
      </c>
      <c r="F920" s="2"/>
      <c r="G920" s="2" t="s">
        <v>9</v>
      </c>
      <c r="H920" s="7"/>
      <c r="I920" s="2" t="s">
        <v>9</v>
      </c>
    </row>
    <row r="921" spans="1:9" ht="39" x14ac:dyDescent="0.3">
      <c r="A921" s="1" t="str">
        <f>HYPERLINK("https://ipmanager.doe.gov/IPManager//ExternalLink.aspx?6ibkph2k9yi6F%2B0Vz7YoThEBhkR3uHVra4DWi7Wl%2Fd8%3D","Link")</f>
        <v>Link</v>
      </c>
      <c r="B921" s="2" t="s">
        <v>3092</v>
      </c>
      <c r="C921" s="2" t="s">
        <v>3093</v>
      </c>
      <c r="D921" s="2" t="s">
        <v>3094</v>
      </c>
      <c r="E921" s="2" t="s">
        <v>3095</v>
      </c>
      <c r="F921" s="2" t="s">
        <v>3096</v>
      </c>
      <c r="G921" s="2" t="s">
        <v>3097</v>
      </c>
      <c r="H921" s="7">
        <v>9452380</v>
      </c>
      <c r="I921" s="2" t="s">
        <v>2649</v>
      </c>
    </row>
    <row r="922" spans="1:9" ht="65" x14ac:dyDescent="0.3">
      <c r="A922" s="1" t="str">
        <f>HYPERLINK("https://ipmanager.doe.gov/IPManager//ExternalLink.aspx?6ibkph2k9yi6F%2B0Vz7YoTjnDGhmGHGI7ung9ffD4ocI%3D","Link")</f>
        <v>Link</v>
      </c>
      <c r="B922" s="2" t="s">
        <v>3098</v>
      </c>
      <c r="C922" s="2" t="s">
        <v>3099</v>
      </c>
      <c r="D922" s="2" t="s">
        <v>1336</v>
      </c>
      <c r="E922" s="2" t="s">
        <v>3100</v>
      </c>
      <c r="F922" s="2" t="s">
        <v>3101</v>
      </c>
      <c r="G922" s="2" t="s">
        <v>3102</v>
      </c>
      <c r="H922" s="7">
        <v>10035127</v>
      </c>
      <c r="I922" s="2" t="s">
        <v>3103</v>
      </c>
    </row>
    <row r="923" spans="1:9" ht="39" x14ac:dyDescent="0.3">
      <c r="A923" s="1" t="str">
        <f>HYPERLINK("https://ipmanager.doe.gov/IPManager//ExternalLink.aspx?6ibkph2k9yi6F%2B0Vz7YoTvPUg%2FVZPl3i%2F25up2zE4xQ%3D","Link")</f>
        <v>Link</v>
      </c>
      <c r="B923" s="2" t="s">
        <v>3104</v>
      </c>
      <c r="C923" s="2" t="s">
        <v>3099</v>
      </c>
      <c r="D923" s="2" t="s">
        <v>1336</v>
      </c>
      <c r="E923" s="2" t="s">
        <v>3105</v>
      </c>
      <c r="F923" s="2"/>
      <c r="G923" s="2" t="s">
        <v>9</v>
      </c>
      <c r="H923" s="7"/>
      <c r="I923" s="2" t="s">
        <v>9</v>
      </c>
    </row>
    <row r="924" spans="1:9" ht="26" x14ac:dyDescent="0.3">
      <c r="A924" s="1" t="str">
        <f>HYPERLINK("https://ipmanager.doe.gov/IPManager//ExternalLink.aspx?6ibkph2k9yi6F%2B0Vz7YoTgZwfmYxrNyKZd0L0XLfwYY%3D","Link")</f>
        <v>Link</v>
      </c>
      <c r="B924" s="2" t="s">
        <v>5985</v>
      </c>
      <c r="C924" s="2" t="s">
        <v>5986</v>
      </c>
      <c r="D924" s="2" t="s">
        <v>1952</v>
      </c>
      <c r="E924" s="2" t="s">
        <v>5987</v>
      </c>
      <c r="F924" s="2" t="s">
        <v>5988</v>
      </c>
      <c r="G924" s="2" t="s">
        <v>2442</v>
      </c>
      <c r="H924" s="7"/>
      <c r="I924" s="2" t="s">
        <v>9</v>
      </c>
    </row>
    <row r="925" spans="1:9" ht="26" x14ac:dyDescent="0.3">
      <c r="A925" s="1" t="str">
        <f>HYPERLINK("https://ipmanager.doe.gov/IPManager//ExternalLink.aspx?6ibkph2k9yi6F%2B0Vz7YoTnXVN2REjGcWfmMzy%2Fte0xk%3D","Link")</f>
        <v>Link</v>
      </c>
      <c r="B925" s="2" t="s">
        <v>5990</v>
      </c>
      <c r="C925" s="2" t="s">
        <v>5986</v>
      </c>
      <c r="D925" s="2" t="s">
        <v>1952</v>
      </c>
      <c r="E925" s="2" t="s">
        <v>5987</v>
      </c>
      <c r="F925" s="2" t="s">
        <v>5989</v>
      </c>
      <c r="G925" s="2" t="s">
        <v>3339</v>
      </c>
      <c r="H925" s="7"/>
      <c r="I925" s="2" t="s">
        <v>9</v>
      </c>
    </row>
    <row r="926" spans="1:9" ht="52" x14ac:dyDescent="0.3">
      <c r="A926" s="1" t="str">
        <f>HYPERLINK("https://ipmanager.doe.gov/IPManager//ExternalLink.aspx?6ibkph2k9yi6F%2B0Vz7YoTvPUg%2FVZPl3iuc5j%2BOxOkFQ%3D","Link")</f>
        <v>Link</v>
      </c>
      <c r="B926" s="2" t="s">
        <v>6686</v>
      </c>
      <c r="C926" s="2" t="s">
        <v>6687</v>
      </c>
      <c r="D926" s="2" t="s">
        <v>1952</v>
      </c>
      <c r="E926" s="2" t="s">
        <v>6688</v>
      </c>
      <c r="F926" s="2" t="s">
        <v>6689</v>
      </c>
      <c r="G926" s="2" t="s">
        <v>6690</v>
      </c>
      <c r="H926" s="7"/>
      <c r="I926" s="2" t="s">
        <v>9</v>
      </c>
    </row>
    <row r="927" spans="1:9" ht="52" x14ac:dyDescent="0.3">
      <c r="A927" s="1" t="str">
        <f>HYPERLINK("https://ipmanager.doe.gov/IPManager//ExternalLink.aspx?6ibkph2k9yi6F%2B0Vz7YoTp68px7nSN2g4XSkSFVkEpU%3D","Link")</f>
        <v>Link</v>
      </c>
      <c r="B927" s="2" t="s">
        <v>6693</v>
      </c>
      <c r="C927" s="2" t="s">
        <v>6687</v>
      </c>
      <c r="D927" s="2" t="s">
        <v>1952</v>
      </c>
      <c r="E927" s="2" t="s">
        <v>6694</v>
      </c>
      <c r="F927" s="2" t="s">
        <v>6695</v>
      </c>
      <c r="G927" s="2" t="s">
        <v>6696</v>
      </c>
      <c r="H927" s="7"/>
      <c r="I927" s="2" t="s">
        <v>9</v>
      </c>
    </row>
    <row r="928" spans="1:9" ht="39" x14ac:dyDescent="0.3">
      <c r="A928" s="1" t="str">
        <f>HYPERLINK("https://ipmanager.doe.gov/IPManager//ExternalLink.aspx?6ibkph2k9yi6F%2B0Vz7YoTvPUg%2FVZPl3iVunLzPzx8v4%3D","Link")</f>
        <v>Link</v>
      </c>
      <c r="B928" s="2" t="s">
        <v>3118</v>
      </c>
      <c r="C928" s="2" t="s">
        <v>3099</v>
      </c>
      <c r="D928" s="2" t="s">
        <v>1336</v>
      </c>
      <c r="E928" s="2" t="s">
        <v>3119</v>
      </c>
      <c r="F928" s="2"/>
      <c r="G928" s="2" t="s">
        <v>9</v>
      </c>
      <c r="H928" s="7"/>
      <c r="I928" s="2" t="s">
        <v>9</v>
      </c>
    </row>
    <row r="929" spans="1:9" ht="39" x14ac:dyDescent="0.3">
      <c r="A929" s="1" t="str">
        <f>HYPERLINK("https://ipmanager.doe.gov/IPManager//ExternalLink.aspx?6ibkph2k9yi6F%2B0Vz7YoTvE8yjoHgvp6%2BFPF22ucEVY%3D","Link")</f>
        <v>Link</v>
      </c>
      <c r="B929" s="2" t="s">
        <v>3120</v>
      </c>
      <c r="C929" s="2" t="s">
        <v>3121</v>
      </c>
      <c r="D929" s="2" t="s">
        <v>2933</v>
      </c>
      <c r="E929" s="2" t="s">
        <v>3122</v>
      </c>
      <c r="F929" s="2" t="s">
        <v>3123</v>
      </c>
      <c r="G929" s="2" t="s">
        <v>3124</v>
      </c>
      <c r="H929" s="7">
        <v>9550341</v>
      </c>
      <c r="I929" s="2" t="s">
        <v>3125</v>
      </c>
    </row>
    <row r="930" spans="1:9" ht="26" x14ac:dyDescent="0.3">
      <c r="A930" s="1" t="str">
        <f>HYPERLINK("https://ipmanager.doe.gov/IPManager//ExternalLink.aspx?6ibkph2k9yi6F%2B0Vz7YoTipZ798QK%2BbPU%2BHr31tPnwg%3D","Link")</f>
        <v>Link</v>
      </c>
      <c r="B930" s="2" t="s">
        <v>340</v>
      </c>
      <c r="C930" s="2" t="s">
        <v>341</v>
      </c>
      <c r="D930" s="2" t="s">
        <v>342</v>
      </c>
      <c r="E930" s="2" t="s">
        <v>343</v>
      </c>
      <c r="F930" s="2" t="s">
        <v>344</v>
      </c>
      <c r="G930" s="2" t="s">
        <v>345</v>
      </c>
      <c r="H930" s="7"/>
      <c r="I930" s="2" t="s">
        <v>9</v>
      </c>
    </row>
    <row r="931" spans="1:9" ht="52" x14ac:dyDescent="0.3">
      <c r="A931" s="1" t="str">
        <f>HYPERLINK("https://ipmanager.doe.gov/IPManager//ExternalLink.aspx?6ibkph2k9yi6F%2B0Vz7YoTo7DPLa3%2F%2FGgTBzBpUWl%2BQM%3D","Link")</f>
        <v>Link</v>
      </c>
      <c r="B931" s="2" t="s">
        <v>4866</v>
      </c>
      <c r="C931" s="2" t="s">
        <v>4853</v>
      </c>
      <c r="D931" s="2" t="s">
        <v>4854</v>
      </c>
      <c r="E931" s="2" t="s">
        <v>4867</v>
      </c>
      <c r="F931" s="2" t="s">
        <v>4868</v>
      </c>
      <c r="G931" s="2" t="s">
        <v>2197</v>
      </c>
      <c r="H931" s="7"/>
      <c r="I931" s="2" t="s">
        <v>9</v>
      </c>
    </row>
    <row r="932" spans="1:9" x14ac:dyDescent="0.3">
      <c r="A932" s="1" t="str">
        <f>HYPERLINK("https://ipmanager.doe.gov/IPManager//ExternalLink.aspx?6ibkph2k9yi6F%2B0Vz7YoTvPUg%2FVZPl3iMDSJG5YlfOg%3D","Link")</f>
        <v>Link</v>
      </c>
      <c r="B932" s="2" t="s">
        <v>3132</v>
      </c>
      <c r="C932" s="2" t="s">
        <v>3121</v>
      </c>
      <c r="D932" s="2" t="s">
        <v>2933</v>
      </c>
      <c r="E932" s="2" t="s">
        <v>3133</v>
      </c>
      <c r="F932" s="2" t="s">
        <v>3134</v>
      </c>
      <c r="G932" s="2" t="s">
        <v>3135</v>
      </c>
      <c r="H932" s="7">
        <v>8075827</v>
      </c>
      <c r="I932" s="2" t="s">
        <v>3136</v>
      </c>
    </row>
    <row r="933" spans="1:9" ht="52" x14ac:dyDescent="0.3">
      <c r="A933" s="1" t="str">
        <f>HYPERLINK("https://ipmanager.doe.gov/IPManager//ExternalLink.aspx?6ibkph2k9yi6F%2B0Vz7YoTvPUg%2FVZPl3iPJcM1l0FdJ0%3D","Link")</f>
        <v>Link</v>
      </c>
      <c r="B933" s="2" t="s">
        <v>5806</v>
      </c>
      <c r="C933" s="2" t="s">
        <v>5807</v>
      </c>
      <c r="D933" s="2" t="s">
        <v>5808</v>
      </c>
      <c r="E933" s="2" t="s">
        <v>5809</v>
      </c>
      <c r="F933" s="2" t="s">
        <v>5810</v>
      </c>
      <c r="G933" s="2" t="s">
        <v>5811</v>
      </c>
      <c r="H933" s="7"/>
      <c r="I933" s="2" t="s">
        <v>9</v>
      </c>
    </row>
    <row r="934" spans="1:9" ht="52" x14ac:dyDescent="0.3">
      <c r="A934" s="1" t="str">
        <f>HYPERLINK("https://ipmanager.doe.gov/IPManager//ExternalLink.aspx?6ibkph2k9yi6F%2B0Vz7YoTvPUg%2FVZPl3isEThnOBAmzM%3D","Link")</f>
        <v>Link</v>
      </c>
      <c r="B934" s="2" t="s">
        <v>3142</v>
      </c>
      <c r="C934" s="2" t="s">
        <v>3138</v>
      </c>
      <c r="D934" s="2" t="s">
        <v>2019</v>
      </c>
      <c r="E934" s="2" t="s">
        <v>3143</v>
      </c>
      <c r="F934" s="2"/>
      <c r="G934" s="2" t="s">
        <v>9</v>
      </c>
      <c r="H934" s="7"/>
      <c r="I934" s="2" t="s">
        <v>9</v>
      </c>
    </row>
    <row r="935" spans="1:9" ht="52" x14ac:dyDescent="0.3">
      <c r="A935" s="1" t="str">
        <f>HYPERLINK("https://ipmanager.doe.gov/IPManager//ExternalLink.aspx?6ibkph2k9yi6F%2B0Vz7YoTp68px7nSN2gk3aP1cBE%2BjU%3D","Link")</f>
        <v>Link</v>
      </c>
      <c r="B935" s="2" t="s">
        <v>5813</v>
      </c>
      <c r="C935" s="2" t="s">
        <v>5807</v>
      </c>
      <c r="D935" s="2" t="s">
        <v>5808</v>
      </c>
      <c r="E935" s="2" t="s">
        <v>5809</v>
      </c>
      <c r="F935" s="2" t="s">
        <v>5812</v>
      </c>
      <c r="G935" s="2" t="s">
        <v>3738</v>
      </c>
      <c r="H935" s="7"/>
      <c r="I935" s="2" t="s">
        <v>9</v>
      </c>
    </row>
    <row r="936" spans="1:9" ht="39" x14ac:dyDescent="0.3">
      <c r="A936" s="1" t="str">
        <f>HYPERLINK("https://ipmanager.doe.gov/IPManager//ExternalLink.aspx?6ibkph2k9yi6F%2B0Vz7YoTipZ798QK%2BbPuun3YMyF2OQ%3D","Link")</f>
        <v>Link</v>
      </c>
      <c r="B936" s="2" t="s">
        <v>774</v>
      </c>
      <c r="C936" s="2" t="s">
        <v>769</v>
      </c>
      <c r="D936" s="2" t="s">
        <v>770</v>
      </c>
      <c r="E936" s="2" t="s">
        <v>775</v>
      </c>
      <c r="F936" s="2" t="s">
        <v>776</v>
      </c>
      <c r="G936" s="2" t="s">
        <v>45</v>
      </c>
      <c r="H936" s="7"/>
      <c r="I936" s="2" t="s">
        <v>9</v>
      </c>
    </row>
    <row r="937" spans="1:9" ht="39" x14ac:dyDescent="0.3">
      <c r="A937" s="1" t="str">
        <f>HYPERLINK("https://ipmanager.doe.gov/IPManager//ExternalLink.aspx?6ibkph2k9yi6F%2B0Vz7YoTp68px7nSN2g7uKl0kjcsDs%3D","Link")</f>
        <v>Link</v>
      </c>
      <c r="B937" s="2" t="s">
        <v>3152</v>
      </c>
      <c r="C937" s="2" t="s">
        <v>3138</v>
      </c>
      <c r="D937" s="2" t="s">
        <v>2019</v>
      </c>
      <c r="E937" s="2" t="s">
        <v>3153</v>
      </c>
      <c r="F937" s="2"/>
      <c r="G937" s="2" t="s">
        <v>9</v>
      </c>
      <c r="H937" s="7"/>
      <c r="I937" s="2" t="s">
        <v>9</v>
      </c>
    </row>
    <row r="938" spans="1:9" ht="52" x14ac:dyDescent="0.3">
      <c r="A938" s="1" t="str">
        <f>HYPERLINK("https://ipmanager.doe.gov/IPManager//ExternalLink.aspx?6ibkph2k9yi6F%2B0Vz7YoTgZwfmYxrNyKQFmIHHErfxI%3D","Link")</f>
        <v>Link</v>
      </c>
      <c r="B938" s="2" t="s">
        <v>3154</v>
      </c>
      <c r="C938" s="2" t="s">
        <v>3138</v>
      </c>
      <c r="D938" s="2" t="s">
        <v>2019</v>
      </c>
      <c r="E938" s="2" t="s">
        <v>3148</v>
      </c>
      <c r="F938" s="2"/>
      <c r="G938" s="2" t="s">
        <v>9</v>
      </c>
      <c r="H938" s="7"/>
      <c r="I938" s="2" t="s">
        <v>9</v>
      </c>
    </row>
    <row r="939" spans="1:9" ht="39" x14ac:dyDescent="0.3">
      <c r="A939" s="1" t="str">
        <f>HYPERLINK("https://ipmanager.doe.gov/IPManager//ExternalLink.aspx?6ibkph2k9yi6F%2B0Vz7YoTjnDGhmGHGI76ONfKG%2BwSHc%3D","Link")</f>
        <v>Link</v>
      </c>
      <c r="B939" s="2" t="s">
        <v>3155</v>
      </c>
      <c r="C939" s="2" t="s">
        <v>3138</v>
      </c>
      <c r="D939" s="2" t="s">
        <v>2019</v>
      </c>
      <c r="E939" s="2" t="s">
        <v>3156</v>
      </c>
      <c r="F939" s="2"/>
      <c r="G939" s="2" t="s">
        <v>9</v>
      </c>
      <c r="H939" s="7"/>
      <c r="I939" s="2" t="s">
        <v>9</v>
      </c>
    </row>
    <row r="940" spans="1:9" ht="52" x14ac:dyDescent="0.3">
      <c r="A940" s="1" t="str">
        <f>HYPERLINK("https://ipmanager.doe.gov/IPManager//ExternalLink.aspx?6ibkph2k9yi6F%2B0Vz7YoTgZwfmYxrNyKLw%2F8xMB0c%2BY%3D","Link")</f>
        <v>Link</v>
      </c>
      <c r="B940" s="2" t="s">
        <v>3157</v>
      </c>
      <c r="C940" s="2" t="s">
        <v>3138</v>
      </c>
      <c r="D940" s="2" t="s">
        <v>2019</v>
      </c>
      <c r="E940" s="2" t="s">
        <v>3158</v>
      </c>
      <c r="F940" s="2"/>
      <c r="G940" s="2" t="s">
        <v>9</v>
      </c>
      <c r="H940" s="7"/>
      <c r="I940" s="2" t="s">
        <v>9</v>
      </c>
    </row>
    <row r="941" spans="1:9" ht="39" x14ac:dyDescent="0.3">
      <c r="A941" s="1" t="str">
        <f>HYPERLINK("https://ipmanager.doe.gov/IPManager//ExternalLink.aspx?6ibkph2k9yi6F%2B0Vz7YoTgZwfmYxrNyKIA46VUufmTA%3D","Link")</f>
        <v>Link</v>
      </c>
      <c r="B941" s="2" t="s">
        <v>3159</v>
      </c>
      <c r="C941" s="2" t="s">
        <v>3138</v>
      </c>
      <c r="D941" s="2" t="s">
        <v>2019</v>
      </c>
      <c r="E941" s="2" t="s">
        <v>3160</v>
      </c>
      <c r="F941" s="2"/>
      <c r="G941" s="2" t="s">
        <v>9</v>
      </c>
      <c r="H941" s="7"/>
      <c r="I941" s="2" t="s">
        <v>9</v>
      </c>
    </row>
    <row r="942" spans="1:9" ht="39" x14ac:dyDescent="0.3">
      <c r="A942" s="1" t="str">
        <f>HYPERLINK("https://ipmanager.doe.gov/IPManager//ExternalLink.aspx?6ibkph2k9yi6F%2B0Vz7YoTipZ798QK%2BbP6dNi1H%2BsER0%3D","Link")</f>
        <v>Link</v>
      </c>
      <c r="B942" s="2" t="s">
        <v>795</v>
      </c>
      <c r="C942" s="2" t="s">
        <v>769</v>
      </c>
      <c r="D942" s="2" t="s">
        <v>770</v>
      </c>
      <c r="E942" s="2" t="s">
        <v>796</v>
      </c>
      <c r="F942" s="2" t="s">
        <v>797</v>
      </c>
      <c r="G942" s="2" t="s">
        <v>798</v>
      </c>
      <c r="H942" s="7"/>
      <c r="I942" s="2" t="s">
        <v>9</v>
      </c>
    </row>
    <row r="943" spans="1:9" ht="39" x14ac:dyDescent="0.3">
      <c r="A943" s="1" t="str">
        <f>HYPERLINK("https://ipmanager.doe.gov/IPManager//ExternalLink.aspx?6ibkph2k9yi6F%2B0Vz7YoTo7DPLa3%2F%2FGgIsbMVd1OMmc%3D","Link")</f>
        <v>Link</v>
      </c>
      <c r="B943" s="2" t="s">
        <v>3164</v>
      </c>
      <c r="C943" s="2" t="s">
        <v>3138</v>
      </c>
      <c r="D943" s="2" t="s">
        <v>2019</v>
      </c>
      <c r="E943" s="2" t="s">
        <v>3165</v>
      </c>
      <c r="F943" s="2" t="s">
        <v>3166</v>
      </c>
      <c r="G943" s="2" t="s">
        <v>1253</v>
      </c>
      <c r="H943" s="7">
        <v>9476546</v>
      </c>
      <c r="I943" s="2" t="s">
        <v>3167</v>
      </c>
    </row>
    <row r="944" spans="1:9" ht="39" x14ac:dyDescent="0.3">
      <c r="A944" s="1" t="str">
        <f>HYPERLINK("https://ipmanager.doe.gov/IPManager//ExternalLink.aspx?6ibkph2k9yi6F%2B0Vz7YoTgZwfmYxrNyK40emg8pKwJ8%3D","Link")</f>
        <v>Link</v>
      </c>
      <c r="B944" s="2" t="s">
        <v>3168</v>
      </c>
      <c r="C944" s="2" t="s">
        <v>3138</v>
      </c>
      <c r="D944" s="2" t="s">
        <v>2019</v>
      </c>
      <c r="E944" s="2" t="s">
        <v>3169</v>
      </c>
      <c r="F944" s="2"/>
      <c r="G944" s="2" t="s">
        <v>9</v>
      </c>
      <c r="H944" s="7"/>
      <c r="I944" s="2" t="s">
        <v>9</v>
      </c>
    </row>
    <row r="945" spans="1:9" ht="52" x14ac:dyDescent="0.3">
      <c r="A945" s="1" t="str">
        <f>HYPERLINK("https://ipmanager.doe.gov/IPManager//ExternalLink.aspx?6ibkph2k9yi6F%2B0Vz7YoTgZwfmYxrNyKNnTiHItcXuw%3D","Link")</f>
        <v>Link</v>
      </c>
      <c r="B945" s="2" t="s">
        <v>3171</v>
      </c>
      <c r="C945" s="2" t="s">
        <v>3138</v>
      </c>
      <c r="D945" s="2" t="s">
        <v>2019</v>
      </c>
      <c r="E945" s="2" t="s">
        <v>3172</v>
      </c>
      <c r="F945" s="2"/>
      <c r="G945" s="2" t="s">
        <v>9</v>
      </c>
      <c r="H945" s="7"/>
      <c r="I945" s="2" t="s">
        <v>9</v>
      </c>
    </row>
    <row r="946" spans="1:9" ht="39" x14ac:dyDescent="0.3">
      <c r="A946" s="1" t="str">
        <f>HYPERLINK("https://ipmanager.doe.gov/IPManager//ExternalLink.aspx?6ibkph2k9yi6F%2B0Vz7YoTipZ798QK%2BbPxnawDS7m7ww%3D","Link")</f>
        <v>Link</v>
      </c>
      <c r="B946" s="2" t="s">
        <v>799</v>
      </c>
      <c r="C946" s="2" t="s">
        <v>769</v>
      </c>
      <c r="D946" s="2" t="s">
        <v>770</v>
      </c>
      <c r="E946" s="2" t="s">
        <v>800</v>
      </c>
      <c r="F946" s="2" t="s">
        <v>801</v>
      </c>
      <c r="G946" s="2" t="s">
        <v>802</v>
      </c>
      <c r="H946" s="7"/>
      <c r="I946" s="2" t="s">
        <v>9</v>
      </c>
    </row>
    <row r="947" spans="1:9" ht="39" x14ac:dyDescent="0.3">
      <c r="A947" s="1" t="str">
        <f>HYPERLINK("https://ipmanager.doe.gov/IPManager//ExternalLink.aspx?6ibkph2k9yi6F%2B0Vz7YoTlNm8snv%2FZpH6Hq%2Bl2hBeAM%3D","Link")</f>
        <v>Link</v>
      </c>
      <c r="B947" s="2" t="s">
        <v>3177</v>
      </c>
      <c r="C947" s="2" t="s">
        <v>3138</v>
      </c>
      <c r="D947" s="2" t="s">
        <v>2019</v>
      </c>
      <c r="E947" s="2" t="s">
        <v>3174</v>
      </c>
      <c r="F947" s="2"/>
      <c r="G947" s="2" t="s">
        <v>3176</v>
      </c>
      <c r="H947" s="7"/>
      <c r="I947" s="2" t="s">
        <v>9</v>
      </c>
    </row>
    <row r="948" spans="1:9" ht="39" x14ac:dyDescent="0.3">
      <c r="A948" s="1" t="str">
        <f>HYPERLINK("https://ipmanager.doe.gov/IPManager//ExternalLink.aspx?6ibkph2k9yi6F%2B0Vz7YoTr7J5I%2BY4foYU1A76lPuIP8%3D","Link")</f>
        <v>Link</v>
      </c>
      <c r="B948" s="2" t="s">
        <v>804</v>
      </c>
      <c r="C948" s="2" t="s">
        <v>769</v>
      </c>
      <c r="D948" s="2" t="s">
        <v>770</v>
      </c>
      <c r="E948" s="2" t="s">
        <v>805</v>
      </c>
      <c r="F948" s="2" t="s">
        <v>806</v>
      </c>
      <c r="G948" s="2" t="s">
        <v>807</v>
      </c>
      <c r="H948" s="7"/>
      <c r="I948" s="2" t="s">
        <v>9</v>
      </c>
    </row>
    <row r="949" spans="1:9" ht="39" x14ac:dyDescent="0.3">
      <c r="A949" s="1" t="str">
        <f>HYPERLINK("https://ipmanager.doe.gov/IPManager//ExternalLink.aspx?6ibkph2k9yi6F%2B0Vz7YoTjnDGhmGHGI7D1R9dYh5G%2BI%3D","Link")</f>
        <v>Link</v>
      </c>
      <c r="B949" s="2" t="s">
        <v>809</v>
      </c>
      <c r="C949" s="2" t="s">
        <v>769</v>
      </c>
      <c r="D949" s="2" t="s">
        <v>770</v>
      </c>
      <c r="E949" s="2" t="s">
        <v>771</v>
      </c>
      <c r="F949" s="2" t="s">
        <v>810</v>
      </c>
      <c r="G949" s="2" t="s">
        <v>773</v>
      </c>
      <c r="H949" s="7"/>
      <c r="I949" s="2" t="s">
        <v>9</v>
      </c>
    </row>
    <row r="950" spans="1:9" ht="26" x14ac:dyDescent="0.3">
      <c r="A950" s="1" t="str">
        <f>HYPERLINK("https://ipmanager.doe.gov/IPManager//ExternalLink.aspx?6ibkph2k9yi6F%2B0Vz7YoTjnDGhmGHGI7I4axgiUX998%3D","Link")</f>
        <v>Link</v>
      </c>
      <c r="B950" s="2" t="s">
        <v>3188</v>
      </c>
      <c r="C950" s="2" t="s">
        <v>3183</v>
      </c>
      <c r="D950" s="2" t="s">
        <v>3184</v>
      </c>
      <c r="E950" s="2" t="s">
        <v>3189</v>
      </c>
      <c r="F950" s="2" t="s">
        <v>3190</v>
      </c>
      <c r="G950" s="2" t="s">
        <v>1422</v>
      </c>
      <c r="H950" s="7">
        <v>9217538</v>
      </c>
      <c r="I950" s="2" t="s">
        <v>249</v>
      </c>
    </row>
    <row r="951" spans="1:9" ht="39" x14ac:dyDescent="0.3">
      <c r="A951" s="1" t="str">
        <f>HYPERLINK("https://ipmanager.doe.gov/IPManager//ExternalLink.aspx?6ibkph2k9yi6F%2B0Vz7YoTjnDGhmGHGI7KpciLpWKXYM%3D","Link")</f>
        <v>Link</v>
      </c>
      <c r="B951" s="2" t="s">
        <v>811</v>
      </c>
      <c r="C951" s="2" t="s">
        <v>769</v>
      </c>
      <c r="D951" s="2" t="s">
        <v>770</v>
      </c>
      <c r="E951" s="2" t="s">
        <v>812</v>
      </c>
      <c r="F951" s="2" t="s">
        <v>813</v>
      </c>
      <c r="G951" s="2" t="s">
        <v>814</v>
      </c>
      <c r="H951" s="7"/>
      <c r="I951" s="2" t="s">
        <v>9</v>
      </c>
    </row>
    <row r="952" spans="1:9" ht="39" x14ac:dyDescent="0.3">
      <c r="A952" s="1" t="str">
        <f>HYPERLINK("https://ipmanager.doe.gov/IPManager//ExternalLink.aspx?6ibkph2k9yi6F%2B0Vz7YoTjnDGhmGHGI78pkCNDRao%2B0%3D","Link")</f>
        <v>Link</v>
      </c>
      <c r="B952" s="2" t="s">
        <v>799</v>
      </c>
      <c r="C952" s="2" t="s">
        <v>769</v>
      </c>
      <c r="D952" s="2" t="s">
        <v>770</v>
      </c>
      <c r="E952" s="2" t="s">
        <v>800</v>
      </c>
      <c r="F952" s="2" t="s">
        <v>815</v>
      </c>
      <c r="G952" s="2" t="s">
        <v>802</v>
      </c>
      <c r="H952" s="7"/>
      <c r="I952" s="2" t="s">
        <v>9</v>
      </c>
    </row>
    <row r="953" spans="1:9" ht="26" x14ac:dyDescent="0.3">
      <c r="A953" s="1" t="str">
        <f>HYPERLINK("https://ipmanager.doe.gov/IPManager//ExternalLink.aspx?6ibkph2k9yi6F%2B0Vz7YoTgZwfmYxrNyKAdBSFy19p7c%3D","Link")</f>
        <v>Link</v>
      </c>
      <c r="B953" s="2" t="s">
        <v>3199</v>
      </c>
      <c r="C953" s="2" t="s">
        <v>3183</v>
      </c>
      <c r="D953" s="2" t="s">
        <v>3184</v>
      </c>
      <c r="E953" s="2" t="s">
        <v>3200</v>
      </c>
      <c r="F953" s="2" t="s">
        <v>3194</v>
      </c>
      <c r="G953" s="2" t="s">
        <v>1054</v>
      </c>
      <c r="H953" s="7"/>
      <c r="I953" s="2" t="s">
        <v>9</v>
      </c>
    </row>
    <row r="954" spans="1:9" ht="39" x14ac:dyDescent="0.3">
      <c r="A954" s="1" t="str">
        <f>HYPERLINK("https://ipmanager.doe.gov/IPManager//ExternalLink.aspx?6ibkph2k9yi6F%2B0Vz7YoTu0g4zH%2BOsvyBkMxC%2F5tp6k%3D","Link")</f>
        <v>Link</v>
      </c>
      <c r="B954" s="2" t="s">
        <v>816</v>
      </c>
      <c r="C954" s="2" t="s">
        <v>769</v>
      </c>
      <c r="D954" s="2" t="s">
        <v>770</v>
      </c>
      <c r="E954" s="2" t="s">
        <v>805</v>
      </c>
      <c r="F954" s="2" t="s">
        <v>817</v>
      </c>
      <c r="G954" s="2" t="s">
        <v>818</v>
      </c>
      <c r="H954" s="7"/>
      <c r="I954" s="2" t="s">
        <v>9</v>
      </c>
    </row>
    <row r="955" spans="1:9" ht="39" x14ac:dyDescent="0.3">
      <c r="A955" s="1" t="str">
        <f>HYPERLINK("https://ipmanager.doe.gov/IPManager//ExternalLink.aspx?6ibkph2k9yi6F%2B0Vz7YoTjnDGhmGHGI7jtsCzyBK9X8%3D","Link")</f>
        <v>Link</v>
      </c>
      <c r="B955" s="2" t="s">
        <v>3203</v>
      </c>
      <c r="C955" s="2" t="s">
        <v>3183</v>
      </c>
      <c r="D955" s="2" t="s">
        <v>3184</v>
      </c>
      <c r="E955" s="2" t="s">
        <v>3204</v>
      </c>
      <c r="F955" s="2"/>
      <c r="G955" s="2" t="s">
        <v>9</v>
      </c>
      <c r="H955" s="7"/>
      <c r="I955" s="2" t="s">
        <v>9</v>
      </c>
    </row>
    <row r="956" spans="1:9" ht="52" x14ac:dyDescent="0.3">
      <c r="A956" s="1" t="str">
        <f>HYPERLINK("https://ipmanager.doe.gov/IPManager//ExternalLink.aspx?6ibkph2k9yi6F%2B0Vz7YoThEBhkR3uHVrj2eHVV3xGJg%3D","Link")</f>
        <v>Link</v>
      </c>
      <c r="B956" s="2" t="s">
        <v>838</v>
      </c>
      <c r="C956" s="2" t="s">
        <v>831</v>
      </c>
      <c r="D956" s="2" t="s">
        <v>770</v>
      </c>
      <c r="E956" s="2" t="s">
        <v>839</v>
      </c>
      <c r="F956" s="2" t="s">
        <v>840</v>
      </c>
      <c r="G956" s="2" t="s">
        <v>841</v>
      </c>
      <c r="H956" s="7"/>
      <c r="I956" s="2" t="s">
        <v>9</v>
      </c>
    </row>
    <row r="957" spans="1:9" ht="39" x14ac:dyDescent="0.3">
      <c r="A957" s="1" t="str">
        <f>HYPERLINK("https://ipmanager.doe.gov/IPManager//ExternalLink.aspx?6ibkph2k9yi6F%2B0Vz7YoTo7DPLa3%2F%2FGggwhzQVjsagk%3D","Link")</f>
        <v>Link</v>
      </c>
      <c r="B957" s="2" t="s">
        <v>3208</v>
      </c>
      <c r="C957" s="2" t="s">
        <v>3183</v>
      </c>
      <c r="D957" s="2" t="s">
        <v>3184</v>
      </c>
      <c r="E957" s="2" t="s">
        <v>3204</v>
      </c>
      <c r="F957" s="2" t="s">
        <v>3209</v>
      </c>
      <c r="G957" s="2" t="s">
        <v>1194</v>
      </c>
      <c r="H957" s="7"/>
      <c r="I957" s="2" t="s">
        <v>9</v>
      </c>
    </row>
    <row r="958" spans="1:9" ht="52" x14ac:dyDescent="0.3">
      <c r="A958" s="1" t="str">
        <f>HYPERLINK("https://ipmanager.doe.gov/IPManager//ExternalLink.aspx?6ibkph2k9yi6F%2B0Vz7YoTu0g4zH%2BOsvyJoa%2Bdv3Bhds%3D","Link")</f>
        <v>Link</v>
      </c>
      <c r="B958" s="2" t="s">
        <v>842</v>
      </c>
      <c r="C958" s="2" t="s">
        <v>831</v>
      </c>
      <c r="D958" s="2" t="s">
        <v>770</v>
      </c>
      <c r="E958" s="2" t="s">
        <v>843</v>
      </c>
      <c r="F958" s="2" t="s">
        <v>844</v>
      </c>
      <c r="G958" s="2" t="s">
        <v>845</v>
      </c>
      <c r="H958" s="7"/>
      <c r="I958" s="2" t="s">
        <v>9</v>
      </c>
    </row>
    <row r="959" spans="1:9" ht="39" x14ac:dyDescent="0.3">
      <c r="A959" s="1" t="str">
        <f>HYPERLINK("https://ipmanager.doe.gov/IPManager//ExternalLink.aspx?6ibkph2k9yi6F%2B0Vz7YoTnXVN2REjGcWuuQxIn3Fyls%3D","Link")</f>
        <v>Link</v>
      </c>
      <c r="B959" s="2" t="s">
        <v>3212</v>
      </c>
      <c r="C959" s="2" t="s">
        <v>3183</v>
      </c>
      <c r="D959" s="2" t="s">
        <v>3184</v>
      </c>
      <c r="E959" s="2" t="s">
        <v>3213</v>
      </c>
      <c r="F959" s="2"/>
      <c r="G959" s="2" t="s">
        <v>9</v>
      </c>
      <c r="H959" s="7"/>
      <c r="I959" s="2" t="s">
        <v>9</v>
      </c>
    </row>
    <row r="960" spans="1:9" ht="65" x14ac:dyDescent="0.3">
      <c r="A960" s="1" t="str">
        <f>HYPERLINK("https://ipmanager.doe.gov/IPManager//ExternalLink.aspx?6ibkph2k9yi6F%2B0Vz7YoTnXVN2REjGcW6jKXp3FrPO4%3D","Link")</f>
        <v>Link</v>
      </c>
      <c r="B960" s="2" t="s">
        <v>3214</v>
      </c>
      <c r="C960" s="2" t="s">
        <v>3215</v>
      </c>
      <c r="D960" s="2" t="s">
        <v>3216</v>
      </c>
      <c r="E960" s="2" t="s">
        <v>3217</v>
      </c>
      <c r="F960" s="2"/>
      <c r="G960" s="2" t="s">
        <v>9</v>
      </c>
      <c r="H960" s="7"/>
      <c r="I960" s="2" t="s">
        <v>9</v>
      </c>
    </row>
    <row r="961" spans="1:9" ht="39" x14ac:dyDescent="0.3">
      <c r="A961" s="1" t="str">
        <f>HYPERLINK("https://ipmanager.doe.gov/IPManager//ExternalLink.aspx?6ibkph2k9yi6F%2B0Vz7YoTgZwfmYxrNyKvAHzb0fQS38%3D","Link")</f>
        <v>Link</v>
      </c>
      <c r="B961" s="2" t="s">
        <v>3218</v>
      </c>
      <c r="C961" s="2" t="s">
        <v>3215</v>
      </c>
      <c r="D961" s="2" t="s">
        <v>3216</v>
      </c>
      <c r="E961" s="2" t="s">
        <v>3219</v>
      </c>
      <c r="F961" s="2"/>
      <c r="G961" s="2" t="s">
        <v>9</v>
      </c>
      <c r="H961" s="7"/>
      <c r="I961" s="2" t="s">
        <v>9</v>
      </c>
    </row>
    <row r="962" spans="1:9" ht="39" x14ac:dyDescent="0.3">
      <c r="A962" s="1" t="str">
        <f>HYPERLINK("https://ipmanager.doe.gov/IPManager//ExternalLink.aspx?6ibkph2k9yi6F%2B0Vz7YoTo7DPLa3%2F%2FGgJ5Ds5BtiAT0%3D","Link")</f>
        <v>Link</v>
      </c>
      <c r="B962" s="2" t="s">
        <v>3220</v>
      </c>
      <c r="C962" s="2" t="s">
        <v>3215</v>
      </c>
      <c r="D962" s="2" t="s">
        <v>3216</v>
      </c>
      <c r="E962" s="2" t="s">
        <v>3221</v>
      </c>
      <c r="F962" s="2"/>
      <c r="G962" s="2" t="s">
        <v>9</v>
      </c>
      <c r="H962" s="7"/>
      <c r="I962" s="2" t="s">
        <v>9</v>
      </c>
    </row>
    <row r="963" spans="1:9" ht="91" x14ac:dyDescent="0.3">
      <c r="A963" s="1" t="str">
        <f>HYPERLINK("https://ipmanager.doe.gov/IPManager//ExternalLink.aspx?6ibkph2k9yi6F%2B0Vz7YoTjnDGhmGHGI72Je8cT6v4EY%3D","Link")</f>
        <v>Link</v>
      </c>
      <c r="B963" s="2" t="s">
        <v>859</v>
      </c>
      <c r="C963" s="2" t="s">
        <v>831</v>
      </c>
      <c r="D963" s="2" t="s">
        <v>770</v>
      </c>
      <c r="E963" s="2" t="s">
        <v>860</v>
      </c>
      <c r="F963" s="2" t="s">
        <v>861</v>
      </c>
      <c r="G963" s="2" t="s">
        <v>841</v>
      </c>
      <c r="H963" s="7"/>
      <c r="I963" s="2" t="s">
        <v>9</v>
      </c>
    </row>
    <row r="964" spans="1:9" ht="52" x14ac:dyDescent="0.3">
      <c r="A964" s="1" t="str">
        <f>HYPERLINK("https://ipmanager.doe.gov/IPManager//ExternalLink.aspx?6ibkph2k9yi6F%2B0Vz7YoTjnDGhmGHGI7eNJYWfFL8h8%3D","Link")</f>
        <v>Link</v>
      </c>
      <c r="B964" s="2" t="s">
        <v>3226</v>
      </c>
      <c r="C964" s="2" t="s">
        <v>3223</v>
      </c>
      <c r="D964" s="2" t="s">
        <v>2271</v>
      </c>
      <c r="E964" s="2" t="s">
        <v>3224</v>
      </c>
      <c r="F964" s="2"/>
      <c r="G964" s="2" t="s">
        <v>9</v>
      </c>
      <c r="H964" s="7"/>
      <c r="I964" s="2" t="s">
        <v>9</v>
      </c>
    </row>
    <row r="965" spans="1:9" ht="39" x14ac:dyDescent="0.3">
      <c r="A965" s="1" t="str">
        <f>HYPERLINK("https://ipmanager.doe.gov/IPManager//ExternalLink.aspx?6ibkph2k9yi6F%2B0Vz7YoTjnDGhmGHGI7jbzA4rHCR40%3D","Link")</f>
        <v>Link</v>
      </c>
      <c r="B965" s="2" t="s">
        <v>862</v>
      </c>
      <c r="C965" s="2" t="s">
        <v>831</v>
      </c>
      <c r="D965" s="2" t="s">
        <v>770</v>
      </c>
      <c r="E965" s="2" t="s">
        <v>853</v>
      </c>
      <c r="F965" s="2" t="s">
        <v>863</v>
      </c>
      <c r="G965" s="2" t="s">
        <v>847</v>
      </c>
      <c r="H965" s="7"/>
      <c r="I965" s="2" t="s">
        <v>9</v>
      </c>
    </row>
    <row r="966" spans="1:9" ht="91" x14ac:dyDescent="0.3">
      <c r="A966" s="1" t="str">
        <f>HYPERLINK("https://ipmanager.doe.gov/IPManager//ExternalLink.aspx?6ibkph2k9yi6F%2B0Vz7YoTjnDGhmGHGI7viOUj9jn9ZE%3D","Link")</f>
        <v>Link</v>
      </c>
      <c r="B966" s="2" t="s">
        <v>864</v>
      </c>
      <c r="C966" s="2" t="s">
        <v>831</v>
      </c>
      <c r="D966" s="2" t="s">
        <v>770</v>
      </c>
      <c r="E966" s="2" t="s">
        <v>834</v>
      </c>
      <c r="F966" s="2" t="s">
        <v>865</v>
      </c>
      <c r="G966" s="2" t="s">
        <v>836</v>
      </c>
      <c r="H966" s="7"/>
      <c r="I966" s="2" t="s">
        <v>9</v>
      </c>
    </row>
    <row r="967" spans="1:9" ht="52" x14ac:dyDescent="0.3">
      <c r="A967" s="1" t="str">
        <f>HYPERLINK("https://ipmanager.doe.gov/IPManager//ExternalLink.aspx?6ibkph2k9yi6F%2B0Vz7YoTp68px7nSN2gdR0TC5vEoQA%3D","Link")</f>
        <v>Link</v>
      </c>
      <c r="B967" s="2" t="s">
        <v>868</v>
      </c>
      <c r="C967" s="2" t="s">
        <v>831</v>
      </c>
      <c r="D967" s="2" t="s">
        <v>770</v>
      </c>
      <c r="E967" s="2" t="s">
        <v>839</v>
      </c>
      <c r="F967" s="2" t="s">
        <v>869</v>
      </c>
      <c r="G967" s="2" t="s">
        <v>870</v>
      </c>
      <c r="H967" s="7"/>
      <c r="I967" s="2" t="s">
        <v>9</v>
      </c>
    </row>
    <row r="968" spans="1:9" ht="78" x14ac:dyDescent="0.3">
      <c r="A968" s="1" t="str">
        <f>HYPERLINK("https://ipmanager.doe.gov/IPManager//ExternalLink.aspx?6ibkph2k9yi6F%2B0Vz7YoTvPUg%2FVZPl3i1cxNaJbFFRU%3D","Link")</f>
        <v>Link</v>
      </c>
      <c r="B968" s="2" t="s">
        <v>3236</v>
      </c>
      <c r="C968" s="2" t="s">
        <v>3237</v>
      </c>
      <c r="D968" s="2" t="s">
        <v>3238</v>
      </c>
      <c r="E968" s="2" t="s">
        <v>3239</v>
      </c>
      <c r="F968" s="2"/>
      <c r="G968" s="2" t="s">
        <v>9</v>
      </c>
      <c r="H968" s="7"/>
      <c r="I968" s="2" t="s">
        <v>9</v>
      </c>
    </row>
    <row r="969" spans="1:9" ht="65" x14ac:dyDescent="0.3">
      <c r="A969" s="1" t="str">
        <f>HYPERLINK("https://ipmanager.doe.gov/IPManager//ExternalLink.aspx?6ibkph2k9yi6F%2B0Vz7YoTvPUg%2FVZPl3iTHZ18YCIROE%3D","Link")</f>
        <v>Link</v>
      </c>
      <c r="B969" s="2" t="s">
        <v>3240</v>
      </c>
      <c r="C969" s="2" t="s">
        <v>3237</v>
      </c>
      <c r="D969" s="2" t="s">
        <v>3238</v>
      </c>
      <c r="E969" s="2" t="s">
        <v>3241</v>
      </c>
      <c r="F969" s="2"/>
      <c r="G969" s="2" t="s">
        <v>9</v>
      </c>
      <c r="H969" s="7"/>
      <c r="I969" s="2" t="s">
        <v>9</v>
      </c>
    </row>
    <row r="970" spans="1:9" ht="52" x14ac:dyDescent="0.3">
      <c r="A970" s="1" t="str">
        <f>HYPERLINK("https://ipmanager.doe.gov/IPManager//ExternalLink.aspx?6ibkph2k9yi6F%2B0Vz7YoTjnDGhmGHGI747%2F2QDabcvg%3D","Link")</f>
        <v>Link</v>
      </c>
      <c r="B970" s="2" t="s">
        <v>3242</v>
      </c>
      <c r="C970" s="2" t="s">
        <v>3237</v>
      </c>
      <c r="D970" s="2" t="s">
        <v>3238</v>
      </c>
      <c r="E970" s="2" t="s">
        <v>3243</v>
      </c>
      <c r="F970" s="2"/>
      <c r="G970" s="2" t="s">
        <v>9</v>
      </c>
      <c r="H970" s="7"/>
      <c r="I970" s="2" t="s">
        <v>9</v>
      </c>
    </row>
    <row r="971" spans="1:9" ht="39" x14ac:dyDescent="0.3">
      <c r="A971" s="1" t="str">
        <f>HYPERLINK("https://ipmanager.doe.gov/IPManager//ExternalLink.aspx?6ibkph2k9yi6F%2B0Vz7YoTr7J5I%2BY4foYJYQa%2B1Fbn3I%3D","Link")</f>
        <v>Link</v>
      </c>
      <c r="B971" s="2" t="s">
        <v>3244</v>
      </c>
      <c r="C971" s="2" t="s">
        <v>3237</v>
      </c>
      <c r="D971" s="2" t="s">
        <v>3238</v>
      </c>
      <c r="E971" s="2" t="s">
        <v>3245</v>
      </c>
      <c r="F971" s="2"/>
      <c r="G971" s="2" t="s">
        <v>9</v>
      </c>
      <c r="H971" s="7"/>
      <c r="I971" s="2" t="s">
        <v>9</v>
      </c>
    </row>
    <row r="972" spans="1:9" ht="52" x14ac:dyDescent="0.3">
      <c r="A972" s="1" t="str">
        <f>HYPERLINK("https://ipmanager.doe.gov/IPManager//ExternalLink.aspx?6ibkph2k9yi6F%2B0Vz7YoTjnDGhmGHGI7N6Rlug7vipk%3D","Link")</f>
        <v>Link</v>
      </c>
      <c r="B972" s="2" t="s">
        <v>3246</v>
      </c>
      <c r="C972" s="2" t="s">
        <v>3237</v>
      </c>
      <c r="D972" s="2" t="s">
        <v>3238</v>
      </c>
      <c r="E972" s="2" t="s">
        <v>3247</v>
      </c>
      <c r="F972" s="2"/>
      <c r="G972" s="2" t="s">
        <v>9</v>
      </c>
      <c r="H972" s="7"/>
      <c r="I972" s="2" t="s">
        <v>9</v>
      </c>
    </row>
    <row r="973" spans="1:9" ht="52" x14ac:dyDescent="0.3">
      <c r="A973" s="1" t="str">
        <f>HYPERLINK("https://ipmanager.doe.gov/IPManager//ExternalLink.aspx?6ibkph2k9yi6F%2B0Vz7YoTjnDGhmGHGI7dm8iKNiyhJk%3D","Link")</f>
        <v>Link</v>
      </c>
      <c r="B973" s="2" t="s">
        <v>3248</v>
      </c>
      <c r="C973" s="2" t="s">
        <v>3237</v>
      </c>
      <c r="D973" s="2" t="s">
        <v>3238</v>
      </c>
      <c r="E973" s="2" t="s">
        <v>3249</v>
      </c>
      <c r="F973" s="2"/>
      <c r="G973" s="2" t="s">
        <v>9</v>
      </c>
      <c r="H973" s="7"/>
      <c r="I973" s="2" t="s">
        <v>9</v>
      </c>
    </row>
    <row r="974" spans="1:9" ht="52" x14ac:dyDescent="0.3">
      <c r="A974" s="1" t="str">
        <f>HYPERLINK("https://ipmanager.doe.gov/IPManager//ExternalLink.aspx?6ibkph2k9yi6F%2B0Vz7YoTgZwfmYxrNyKZ5WeVQ%2BCG0A%3D","Link")</f>
        <v>Link</v>
      </c>
      <c r="B974" s="2" t="s">
        <v>3250</v>
      </c>
      <c r="C974" s="2" t="s">
        <v>3237</v>
      </c>
      <c r="D974" s="2" t="s">
        <v>3238</v>
      </c>
      <c r="E974" s="2" t="s">
        <v>3251</v>
      </c>
      <c r="F974" s="2"/>
      <c r="G974" s="2" t="s">
        <v>9</v>
      </c>
      <c r="H974" s="7"/>
      <c r="I974" s="2" t="s">
        <v>9</v>
      </c>
    </row>
    <row r="975" spans="1:9" ht="52" x14ac:dyDescent="0.3">
      <c r="A975" s="1" t="str">
        <f>HYPERLINK("https://ipmanager.doe.gov/IPManager//ExternalLink.aspx?6ibkph2k9yi6F%2B0Vz7YoTgZwfmYxrNyKhyMe6laXUlA%3D","Link")</f>
        <v>Link</v>
      </c>
      <c r="B975" s="2" t="s">
        <v>3252</v>
      </c>
      <c r="C975" s="2" t="s">
        <v>3237</v>
      </c>
      <c r="D975" s="2" t="s">
        <v>3238</v>
      </c>
      <c r="E975" s="2" t="s">
        <v>3253</v>
      </c>
      <c r="F975" s="2"/>
      <c r="G975" s="2" t="s">
        <v>9</v>
      </c>
      <c r="H975" s="7"/>
      <c r="I975" s="2" t="s">
        <v>9</v>
      </c>
    </row>
    <row r="976" spans="1:9" ht="39" x14ac:dyDescent="0.3">
      <c r="A976" s="1" t="str">
        <f>HYPERLINK("https://ipmanager.doe.gov/IPManager//ExternalLink.aspx?6ibkph2k9yi6F%2B0Vz7YoTgZwfmYxrNyK%2BxPd%2Ff4WFpA%3D","Link")</f>
        <v>Link</v>
      </c>
      <c r="B976" s="2" t="s">
        <v>3255</v>
      </c>
      <c r="C976" s="2" t="s">
        <v>3237</v>
      </c>
      <c r="D976" s="2" t="s">
        <v>3238</v>
      </c>
      <c r="E976" s="2" t="s">
        <v>3245</v>
      </c>
      <c r="F976" s="2"/>
      <c r="G976" s="2" t="s">
        <v>9</v>
      </c>
      <c r="H976" s="7"/>
      <c r="I976" s="2" t="s">
        <v>9</v>
      </c>
    </row>
    <row r="977" spans="1:9" ht="26" x14ac:dyDescent="0.3">
      <c r="A977" s="1" t="str">
        <f>HYPERLINK("https://ipmanager.doe.gov/IPManager//ExternalLink.aspx?6ibkph2k9yi6F%2B0Vz7YoTjnDGhmGHGI7fCnkRFzPUZw%3D","Link")</f>
        <v>Link</v>
      </c>
      <c r="B977" s="2" t="s">
        <v>3256</v>
      </c>
      <c r="C977" s="2" t="s">
        <v>3237</v>
      </c>
      <c r="D977" s="2" t="s">
        <v>3238</v>
      </c>
      <c r="E977" s="2" t="s">
        <v>3257</v>
      </c>
      <c r="F977" s="2"/>
      <c r="G977" s="2" t="s">
        <v>9</v>
      </c>
      <c r="H977" s="7"/>
      <c r="I977" s="2" t="s">
        <v>9</v>
      </c>
    </row>
    <row r="978" spans="1:9" ht="39" x14ac:dyDescent="0.3">
      <c r="A978" s="1" t="str">
        <f>HYPERLINK("https://ipmanager.doe.gov/IPManager//ExternalLink.aspx?6ibkph2k9yi6F%2B0Vz7YoTjnDGhmGHGI7303ngyQFYM4%3D","Link")</f>
        <v>Link</v>
      </c>
      <c r="B978" s="2" t="s">
        <v>3258</v>
      </c>
      <c r="C978" s="2" t="s">
        <v>3237</v>
      </c>
      <c r="D978" s="2" t="s">
        <v>3238</v>
      </c>
      <c r="E978" s="2" t="s">
        <v>3259</v>
      </c>
      <c r="F978" s="2"/>
      <c r="G978" s="2" t="s">
        <v>9</v>
      </c>
      <c r="H978" s="7"/>
      <c r="I978" s="2" t="s">
        <v>9</v>
      </c>
    </row>
    <row r="979" spans="1:9" ht="39" x14ac:dyDescent="0.3">
      <c r="A979" s="1" t="str">
        <f>HYPERLINK("https://ipmanager.doe.gov/IPManager//ExternalLink.aspx?6ibkph2k9yi6F%2B0Vz7YoTlNm8snv%2FZpH24s56vPfQ1I%3D","Link")</f>
        <v>Link</v>
      </c>
      <c r="B979" s="2" t="s">
        <v>3260</v>
      </c>
      <c r="C979" s="2" t="s">
        <v>3237</v>
      </c>
      <c r="D979" s="2" t="s">
        <v>3238</v>
      </c>
      <c r="E979" s="2" t="s">
        <v>3261</v>
      </c>
      <c r="F979" s="2"/>
      <c r="G979" s="2" t="s">
        <v>9</v>
      </c>
      <c r="H979" s="7"/>
      <c r="I979" s="2" t="s">
        <v>9</v>
      </c>
    </row>
    <row r="980" spans="1:9" ht="52" x14ac:dyDescent="0.3">
      <c r="A980" s="1" t="str">
        <f>HYPERLINK("https://ipmanager.doe.gov/IPManager//ExternalLink.aspx?6ibkph2k9yi6F%2B0Vz7YoTlNm8snv%2FZpHro3UVo5p6Vw%3D","Link")</f>
        <v>Link</v>
      </c>
      <c r="B980" s="2" t="s">
        <v>3262</v>
      </c>
      <c r="C980" s="2" t="s">
        <v>3237</v>
      </c>
      <c r="D980" s="2" t="s">
        <v>3238</v>
      </c>
      <c r="E980" s="2" t="s">
        <v>3263</v>
      </c>
      <c r="F980" s="2"/>
      <c r="G980" s="2" t="s">
        <v>9</v>
      </c>
      <c r="H980" s="7"/>
      <c r="I980" s="2" t="s">
        <v>9</v>
      </c>
    </row>
    <row r="981" spans="1:9" ht="39" x14ac:dyDescent="0.3">
      <c r="A981" s="1" t="str">
        <f>HYPERLINK("https://ipmanager.doe.gov/IPManager//ExternalLink.aspx?6ibkph2k9yi6F%2B0Vz7YoTipZ798QK%2BbPpKmVHsguhpQ%3D","Link")</f>
        <v>Link</v>
      </c>
      <c r="B981" s="2" t="s">
        <v>3264</v>
      </c>
      <c r="C981" s="2" t="s">
        <v>3237</v>
      </c>
      <c r="D981" s="2" t="s">
        <v>3238</v>
      </c>
      <c r="E981" s="2" t="s">
        <v>3265</v>
      </c>
      <c r="F981" s="2"/>
      <c r="G981" s="2" t="s">
        <v>9</v>
      </c>
      <c r="H981" s="7"/>
      <c r="I981" s="2" t="s">
        <v>9</v>
      </c>
    </row>
    <row r="982" spans="1:9" ht="65" x14ac:dyDescent="0.3">
      <c r="A982" s="1" t="str">
        <f>HYPERLINK("https://ipmanager.doe.gov/IPManager//ExternalLink.aspx?6ibkph2k9yi6F%2B0Vz7YoTipZ798QK%2BbPAQG5%2FV%2FsFZw%3D","Link")</f>
        <v>Link</v>
      </c>
      <c r="B982" s="2" t="s">
        <v>3266</v>
      </c>
      <c r="C982" s="2" t="s">
        <v>3237</v>
      </c>
      <c r="D982" s="2" t="s">
        <v>3238</v>
      </c>
      <c r="E982" s="2" t="s">
        <v>3267</v>
      </c>
      <c r="F982" s="2"/>
      <c r="G982" s="2" t="s">
        <v>9</v>
      </c>
      <c r="H982" s="7"/>
      <c r="I982" s="2" t="s">
        <v>9</v>
      </c>
    </row>
    <row r="983" spans="1:9" ht="39" x14ac:dyDescent="0.3">
      <c r="A983" s="1" t="str">
        <f>HYPERLINK("https://ipmanager.doe.gov/IPManager//ExternalLink.aspx?6ibkph2k9yi6F%2B0Vz7YoTk2BI6w%2FjZ2flI8Lx5K6PCw%3D","Link")</f>
        <v>Link</v>
      </c>
      <c r="B983" s="2" t="s">
        <v>3268</v>
      </c>
      <c r="C983" s="2" t="s">
        <v>3237</v>
      </c>
      <c r="D983" s="2" t="s">
        <v>3238</v>
      </c>
      <c r="E983" s="2" t="s">
        <v>3269</v>
      </c>
      <c r="F983" s="2"/>
      <c r="G983" s="2" t="s">
        <v>9</v>
      </c>
      <c r="H983" s="7"/>
      <c r="I983" s="2" t="s">
        <v>9</v>
      </c>
    </row>
    <row r="984" spans="1:9" ht="39" x14ac:dyDescent="0.3">
      <c r="A984" s="1" t="str">
        <f>HYPERLINK("https://ipmanager.doe.gov/IPManager//ExternalLink.aspx?6ibkph2k9yi6F%2B0Vz7YoTipZ798QK%2BbPoC9u5tM5uH8%3D","Link")</f>
        <v>Link</v>
      </c>
      <c r="B984" s="2" t="s">
        <v>3270</v>
      </c>
      <c r="C984" s="2" t="s">
        <v>3237</v>
      </c>
      <c r="D984" s="2" t="s">
        <v>3238</v>
      </c>
      <c r="E984" s="2" t="s">
        <v>3271</v>
      </c>
      <c r="F984" s="2"/>
      <c r="G984" s="2" t="s">
        <v>9</v>
      </c>
      <c r="H984" s="7"/>
      <c r="I984" s="2" t="s">
        <v>9</v>
      </c>
    </row>
    <row r="985" spans="1:9" ht="39" x14ac:dyDescent="0.3">
      <c r="A985" s="1" t="str">
        <f>HYPERLINK("https://ipmanager.doe.gov/IPManager//ExternalLink.aspx?6ibkph2k9yi6F%2B0Vz7YoTvPUg%2FVZPl3iZxuOhrxRtwE%3D","Link")</f>
        <v>Link</v>
      </c>
      <c r="B985" s="2" t="s">
        <v>3272</v>
      </c>
      <c r="C985" s="2" t="s">
        <v>3237</v>
      </c>
      <c r="D985" s="2" t="s">
        <v>3238</v>
      </c>
      <c r="E985" s="2" t="s">
        <v>3273</v>
      </c>
      <c r="F985" s="2"/>
      <c r="G985" s="2" t="s">
        <v>9</v>
      </c>
      <c r="H985" s="7"/>
      <c r="I985" s="2" t="s">
        <v>9</v>
      </c>
    </row>
    <row r="986" spans="1:9" ht="39" x14ac:dyDescent="0.3">
      <c r="A986" s="1" t="str">
        <f>HYPERLINK("https://ipmanager.doe.gov/IPManager//ExternalLink.aspx?6ibkph2k9yi6F%2B0Vz7YoTvPUg%2FVZPl3iTiQV%2F8Pd6TE%3D","Link")</f>
        <v>Link</v>
      </c>
      <c r="B986" s="2" t="s">
        <v>3275</v>
      </c>
      <c r="C986" s="2" t="s">
        <v>3237</v>
      </c>
      <c r="D986" s="2" t="s">
        <v>3238</v>
      </c>
      <c r="E986" s="2" t="s">
        <v>3276</v>
      </c>
      <c r="F986" s="2"/>
      <c r="G986" s="2" t="s">
        <v>9</v>
      </c>
      <c r="H986" s="7"/>
      <c r="I986" s="2" t="s">
        <v>9</v>
      </c>
    </row>
    <row r="987" spans="1:9" ht="52" x14ac:dyDescent="0.3">
      <c r="A987" s="1" t="str">
        <f>HYPERLINK("https://ipmanager.doe.gov/IPManager//ExternalLink.aspx?6ibkph2k9yi6F%2B0Vz7YoTvPUg%2FVZPl3icoDv8I2FViU%3D","Link")</f>
        <v>Link</v>
      </c>
      <c r="B987" s="2" t="s">
        <v>3277</v>
      </c>
      <c r="C987" s="2" t="s">
        <v>3237</v>
      </c>
      <c r="D987" s="2" t="s">
        <v>3238</v>
      </c>
      <c r="E987" s="2" t="s">
        <v>3278</v>
      </c>
      <c r="F987" s="2"/>
      <c r="G987" s="2" t="s">
        <v>9</v>
      </c>
      <c r="H987" s="7"/>
      <c r="I987" s="2" t="s">
        <v>9</v>
      </c>
    </row>
    <row r="988" spans="1:9" ht="52" x14ac:dyDescent="0.3">
      <c r="A988" s="1" t="str">
        <f>HYPERLINK("https://ipmanager.doe.gov/IPManager//ExternalLink.aspx?6ibkph2k9yi6F%2B0Vz7YoTvPUg%2FVZPl3iLlK%2FzR%2F1uOk%3D","Link")</f>
        <v>Link</v>
      </c>
      <c r="B988" s="2" t="s">
        <v>3279</v>
      </c>
      <c r="C988" s="2" t="s">
        <v>3237</v>
      </c>
      <c r="D988" s="2" t="s">
        <v>3238</v>
      </c>
      <c r="E988" s="2" t="s">
        <v>3280</v>
      </c>
      <c r="F988" s="2"/>
      <c r="G988" s="2" t="s">
        <v>9</v>
      </c>
      <c r="H988" s="7"/>
      <c r="I988" s="2" t="s">
        <v>9</v>
      </c>
    </row>
    <row r="989" spans="1:9" ht="39" x14ac:dyDescent="0.3">
      <c r="A989" s="1" t="str">
        <f>HYPERLINK("https://ipmanager.doe.gov/IPManager//ExternalLink.aspx?6ibkph2k9yi6F%2B0Vz7YoTvPUg%2FVZPl3iGOx1%2FKdFSyM%3D","Link")</f>
        <v>Link</v>
      </c>
      <c r="B989" s="2" t="s">
        <v>3281</v>
      </c>
      <c r="C989" s="2" t="s">
        <v>3237</v>
      </c>
      <c r="D989" s="2" t="s">
        <v>3238</v>
      </c>
      <c r="E989" s="2" t="s">
        <v>3259</v>
      </c>
      <c r="F989" s="2"/>
      <c r="G989" s="2" t="s">
        <v>9</v>
      </c>
      <c r="H989" s="7"/>
      <c r="I989" s="2" t="s">
        <v>9</v>
      </c>
    </row>
    <row r="990" spans="1:9" ht="52" x14ac:dyDescent="0.3">
      <c r="A990" s="1" t="str">
        <f>HYPERLINK("https://ipmanager.doe.gov/IPManager//ExternalLink.aspx?6ibkph2k9yi6F%2B0Vz7YoTjnDGhmGHGI770zYOyWvQ1A%3D","Link")</f>
        <v>Link</v>
      </c>
      <c r="B990" s="2" t="s">
        <v>3283</v>
      </c>
      <c r="C990" s="2" t="s">
        <v>3284</v>
      </c>
      <c r="D990" s="2" t="s">
        <v>3285</v>
      </c>
      <c r="E990" s="2" t="s">
        <v>3286</v>
      </c>
      <c r="F990" s="2"/>
      <c r="G990" s="2" t="s">
        <v>9</v>
      </c>
      <c r="H990" s="7"/>
      <c r="I990" s="2" t="s">
        <v>9</v>
      </c>
    </row>
    <row r="991" spans="1:9" ht="52" x14ac:dyDescent="0.3">
      <c r="A991" s="1" t="str">
        <f>HYPERLINK("https://ipmanager.doe.gov/IPManager//ExternalLink.aspx?6ibkph2k9yi6F%2B0Vz7YoTjnDGhmGHGI7i4oOqGaC3ec%3D","Link")</f>
        <v>Link</v>
      </c>
      <c r="B991" s="2" t="s">
        <v>3287</v>
      </c>
      <c r="C991" s="2" t="s">
        <v>3284</v>
      </c>
      <c r="D991" s="2" t="s">
        <v>3285</v>
      </c>
      <c r="E991" s="2" t="s">
        <v>3288</v>
      </c>
      <c r="F991" s="2"/>
      <c r="G991" s="2" t="s">
        <v>9</v>
      </c>
      <c r="H991" s="7"/>
      <c r="I991" s="2" t="s">
        <v>9</v>
      </c>
    </row>
    <row r="992" spans="1:9" ht="78" x14ac:dyDescent="0.3">
      <c r="A992" s="1" t="str">
        <f>HYPERLINK("https://ipmanager.doe.gov/IPManager//ExternalLink.aspx?6ibkph2k9yi6F%2B0Vz7YoTr7J5I%2BY4foYuE9eLpJSUgo%3D","Link")</f>
        <v>Link</v>
      </c>
      <c r="B992" s="2" t="s">
        <v>3289</v>
      </c>
      <c r="C992" s="2" t="s">
        <v>3284</v>
      </c>
      <c r="D992" s="2" t="s">
        <v>3285</v>
      </c>
      <c r="E992" s="2" t="s">
        <v>3290</v>
      </c>
      <c r="F992" s="2"/>
      <c r="G992" s="2" t="s">
        <v>9</v>
      </c>
      <c r="H992" s="7"/>
      <c r="I992" s="2" t="s">
        <v>9</v>
      </c>
    </row>
    <row r="993" spans="1:9" ht="78" x14ac:dyDescent="0.3">
      <c r="A993" s="1" t="str">
        <f>HYPERLINK("https://ipmanager.doe.gov/IPManager//ExternalLink.aspx?6ibkph2k9yi6F%2B0Vz7YoTipZ798QK%2BbPojuGEiUs1gA%3D","Link")</f>
        <v>Link</v>
      </c>
      <c r="B993" s="2" t="s">
        <v>3291</v>
      </c>
      <c r="C993" s="2" t="s">
        <v>3284</v>
      </c>
      <c r="D993" s="2" t="s">
        <v>3285</v>
      </c>
      <c r="E993" s="2" t="s">
        <v>3292</v>
      </c>
      <c r="F993" s="2"/>
      <c r="G993" s="2" t="s">
        <v>9</v>
      </c>
      <c r="H993" s="7"/>
      <c r="I993" s="2" t="s">
        <v>9</v>
      </c>
    </row>
    <row r="994" spans="1:9" ht="78" x14ac:dyDescent="0.3">
      <c r="A994" s="1" t="str">
        <f>HYPERLINK("https://ipmanager.doe.gov/IPManager//ExternalLink.aspx?6ibkph2k9yi6F%2B0Vz7YoTipZ798QK%2BbPADA2CCZXH60%3D","Link")</f>
        <v>Link</v>
      </c>
      <c r="B994" s="2" t="s">
        <v>3293</v>
      </c>
      <c r="C994" s="2" t="s">
        <v>3284</v>
      </c>
      <c r="D994" s="2" t="s">
        <v>3285</v>
      </c>
      <c r="E994" s="2" t="s">
        <v>3294</v>
      </c>
      <c r="F994" s="2"/>
      <c r="G994" s="2" t="s">
        <v>9</v>
      </c>
      <c r="H994" s="7"/>
      <c r="I994" s="2" t="s">
        <v>9</v>
      </c>
    </row>
    <row r="995" spans="1:9" ht="78" x14ac:dyDescent="0.3">
      <c r="A995" s="1" t="str">
        <f>HYPERLINK("https://ipmanager.doe.gov/IPManager//ExternalLink.aspx?6ibkph2k9yi6F%2B0Vz7YoTipZ798QK%2BbPVuJUhmFHldg%3D","Link")</f>
        <v>Link</v>
      </c>
      <c r="B995" s="2" t="s">
        <v>3295</v>
      </c>
      <c r="C995" s="2" t="s">
        <v>3284</v>
      </c>
      <c r="D995" s="2" t="s">
        <v>3285</v>
      </c>
      <c r="E995" s="2" t="s">
        <v>3296</v>
      </c>
      <c r="F995" s="2"/>
      <c r="G995" s="2" t="s">
        <v>9</v>
      </c>
      <c r="H995" s="7"/>
      <c r="I995" s="2" t="s">
        <v>9</v>
      </c>
    </row>
    <row r="996" spans="1:9" ht="65" x14ac:dyDescent="0.3">
      <c r="A996" s="1" t="str">
        <f>HYPERLINK("https://ipmanager.doe.gov/IPManager//ExternalLink.aspx?6ibkph2k9yi6F%2B0Vz7YoTipZ798QK%2BbP9EXzKhKf%2BIk%3D","Link")</f>
        <v>Link</v>
      </c>
      <c r="B996" s="2" t="s">
        <v>3297</v>
      </c>
      <c r="C996" s="2" t="s">
        <v>3284</v>
      </c>
      <c r="D996" s="2" t="s">
        <v>3285</v>
      </c>
      <c r="E996" s="2" t="s">
        <v>3298</v>
      </c>
      <c r="F996" s="2"/>
      <c r="G996" s="2" t="s">
        <v>9</v>
      </c>
      <c r="H996" s="7"/>
      <c r="I996" s="2" t="s">
        <v>9</v>
      </c>
    </row>
    <row r="997" spans="1:9" ht="78" x14ac:dyDescent="0.3">
      <c r="A997" s="1" t="str">
        <f>HYPERLINK("https://ipmanager.doe.gov/IPManager//ExternalLink.aspx?6ibkph2k9yi6F%2B0Vz7YoTipZ798QK%2BbPSa1o0%2BDR9jA%3D","Link")</f>
        <v>Link</v>
      </c>
      <c r="B997" s="2" t="s">
        <v>3299</v>
      </c>
      <c r="C997" s="2" t="s">
        <v>3284</v>
      </c>
      <c r="D997" s="2" t="s">
        <v>3285</v>
      </c>
      <c r="E997" s="2" t="s">
        <v>3300</v>
      </c>
      <c r="F997" s="2"/>
      <c r="G997" s="2" t="s">
        <v>9</v>
      </c>
      <c r="H997" s="7"/>
      <c r="I997" s="2" t="s">
        <v>9</v>
      </c>
    </row>
    <row r="998" spans="1:9" ht="52" x14ac:dyDescent="0.3">
      <c r="A998" s="1" t="str">
        <f>HYPERLINK("https://ipmanager.doe.gov/IPManager//ExternalLink.aspx?6ibkph2k9yi6F%2B0Vz7YoTipZ798QK%2BbPgjCdSpjc%2BZs%3D","Link")</f>
        <v>Link</v>
      </c>
      <c r="B998" s="2" t="s">
        <v>3301</v>
      </c>
      <c r="C998" s="2" t="s">
        <v>3284</v>
      </c>
      <c r="D998" s="2" t="s">
        <v>3285</v>
      </c>
      <c r="E998" s="2" t="s">
        <v>3302</v>
      </c>
      <c r="F998" s="2"/>
      <c r="G998" s="2" t="s">
        <v>9</v>
      </c>
      <c r="H998" s="7"/>
      <c r="I998" s="2" t="s">
        <v>9</v>
      </c>
    </row>
    <row r="999" spans="1:9" ht="52" x14ac:dyDescent="0.3">
      <c r="A999" s="1" t="str">
        <f>HYPERLINK("https://ipmanager.doe.gov/IPManager//ExternalLink.aspx?6ibkph2k9yi6F%2B0Vz7YoTipZ798QK%2BbP56Q5zi3PQno%3D","Link")</f>
        <v>Link</v>
      </c>
      <c r="B999" s="2" t="s">
        <v>3303</v>
      </c>
      <c r="C999" s="2" t="s">
        <v>3284</v>
      </c>
      <c r="D999" s="2" t="s">
        <v>3285</v>
      </c>
      <c r="E999" s="2" t="s">
        <v>3304</v>
      </c>
      <c r="F999" s="2"/>
      <c r="G999" s="2" t="s">
        <v>9</v>
      </c>
      <c r="H999" s="7"/>
      <c r="I999" s="2" t="s">
        <v>9</v>
      </c>
    </row>
    <row r="1000" spans="1:9" ht="52" x14ac:dyDescent="0.3">
      <c r="A1000" s="1" t="str">
        <f>HYPERLINK("https://ipmanager.doe.gov/IPManager//ExternalLink.aspx?6ibkph2k9yi6F%2B0Vz7YoTipZ798QK%2BbPuBQcVPCowXM%3D","Link")</f>
        <v>Link</v>
      </c>
      <c r="B1000" s="2" t="s">
        <v>3305</v>
      </c>
      <c r="C1000" s="2" t="s">
        <v>3284</v>
      </c>
      <c r="D1000" s="2" t="s">
        <v>3285</v>
      </c>
      <c r="E1000" s="2" t="s">
        <v>3306</v>
      </c>
      <c r="F1000" s="2" t="s">
        <v>3307</v>
      </c>
      <c r="G1000" s="2" t="s">
        <v>3308</v>
      </c>
      <c r="H1000" s="7">
        <v>9316178</v>
      </c>
      <c r="I1000" s="2" t="s">
        <v>352</v>
      </c>
    </row>
    <row r="1001" spans="1:9" ht="52" x14ac:dyDescent="0.3">
      <c r="A1001" s="1" t="str">
        <f>HYPERLINK("https://ipmanager.doe.gov/IPManager//ExternalLink.aspx?6ibkph2k9yi6F%2B0Vz7YoTipZ798QK%2BbP5HWJlYBn9og%3D","Link")</f>
        <v>Link</v>
      </c>
      <c r="B1001" s="2" t="s">
        <v>3309</v>
      </c>
      <c r="C1001" s="2" t="s">
        <v>3284</v>
      </c>
      <c r="D1001" s="2" t="s">
        <v>3285</v>
      </c>
      <c r="E1001" s="2" t="s">
        <v>3310</v>
      </c>
      <c r="F1001" s="2" t="s">
        <v>3311</v>
      </c>
      <c r="G1001" s="2" t="s">
        <v>3312</v>
      </c>
      <c r="H1001" s="7">
        <v>9528465</v>
      </c>
      <c r="I1001" s="2" t="s">
        <v>9</v>
      </c>
    </row>
    <row r="1002" spans="1:9" ht="39" x14ac:dyDescent="0.3">
      <c r="A1002" s="1" t="str">
        <f>HYPERLINK("https://ipmanager.doe.gov/IPManager//ExternalLink.aspx?6ibkph2k9yi6F%2B0Vz7YoTr7J5I%2BY4foYpzWNWBClTlI%3D","Link")</f>
        <v>Link</v>
      </c>
      <c r="B1002" s="2" t="s">
        <v>871</v>
      </c>
      <c r="C1002" s="2" t="s">
        <v>831</v>
      </c>
      <c r="D1002" s="2" t="s">
        <v>770</v>
      </c>
      <c r="E1002" s="2" t="s">
        <v>872</v>
      </c>
      <c r="F1002" s="2" t="s">
        <v>873</v>
      </c>
      <c r="G1002" s="2" t="s">
        <v>874</v>
      </c>
      <c r="H1002" s="7"/>
      <c r="I1002" s="2" t="s">
        <v>9</v>
      </c>
    </row>
    <row r="1003" spans="1:9" ht="26" x14ac:dyDescent="0.3">
      <c r="A1003" s="1" t="str">
        <f>HYPERLINK("https://ipmanager.doe.gov/IPManager//ExternalLink.aspx?6ibkph2k9yi6F%2B0Vz7YoTr7J5I%2BY4foYE3HMV4IIyww%3D","Link")</f>
        <v>Link</v>
      </c>
      <c r="B1003" s="2" t="s">
        <v>3319</v>
      </c>
      <c r="C1003" s="2" t="s">
        <v>3314</v>
      </c>
      <c r="D1003" s="2" t="s">
        <v>245</v>
      </c>
      <c r="E1003" s="2"/>
      <c r="F1003" s="2"/>
      <c r="G1003" s="2" t="s">
        <v>9</v>
      </c>
      <c r="H1003" s="7"/>
      <c r="I1003" s="2" t="s">
        <v>9</v>
      </c>
    </row>
    <row r="1004" spans="1:9" ht="26" x14ac:dyDescent="0.3">
      <c r="A1004" s="1" t="str">
        <f>HYPERLINK("https://ipmanager.doe.gov/IPManager//ExternalLink.aspx?6ibkph2k9yi6F%2B0Vz7YoTo7DPLa3%2F%2FGglX8KdBk0zUk%3D","Link")</f>
        <v>Link</v>
      </c>
      <c r="B1004" s="2" t="s">
        <v>3320</v>
      </c>
      <c r="C1004" s="2" t="s">
        <v>3314</v>
      </c>
      <c r="D1004" s="2" t="s">
        <v>245</v>
      </c>
      <c r="E1004" s="2"/>
      <c r="F1004" s="2"/>
      <c r="G1004" s="2" t="s">
        <v>9</v>
      </c>
      <c r="H1004" s="7"/>
      <c r="I1004" s="2" t="s">
        <v>9</v>
      </c>
    </row>
    <row r="1005" spans="1:9" ht="52" x14ac:dyDescent="0.3">
      <c r="A1005" s="1" t="str">
        <f>HYPERLINK("https://ipmanager.doe.gov/IPManager//ExternalLink.aspx?6ibkph2k9yi6F%2B0Vz7YoTgZwfmYxrNyKipxeMIohXYQ%3D","Link")</f>
        <v>Link</v>
      </c>
      <c r="B1005" s="2" t="s">
        <v>3321</v>
      </c>
      <c r="C1005" s="2" t="s">
        <v>3314</v>
      </c>
      <c r="D1005" s="2" t="s">
        <v>245</v>
      </c>
      <c r="E1005" s="2" t="s">
        <v>3322</v>
      </c>
      <c r="F1005" s="2"/>
      <c r="G1005" s="2" t="s">
        <v>9</v>
      </c>
      <c r="H1005" s="7"/>
      <c r="I1005" s="2" t="s">
        <v>9</v>
      </c>
    </row>
    <row r="1006" spans="1:9" ht="26" x14ac:dyDescent="0.3">
      <c r="A1006" s="1" t="str">
        <f>HYPERLINK("https://ipmanager.doe.gov/IPManager//ExternalLink.aspx?6ibkph2k9yi6F%2B0Vz7YoTgZwfmYxrNyKItGZIDv03Vc%3D","Link")</f>
        <v>Link</v>
      </c>
      <c r="B1006" s="2" t="s">
        <v>3323</v>
      </c>
      <c r="C1006" s="2" t="s">
        <v>3314</v>
      </c>
      <c r="D1006" s="2" t="s">
        <v>3315</v>
      </c>
      <c r="E1006" s="2" t="s">
        <v>3324</v>
      </c>
      <c r="F1006" s="2"/>
      <c r="G1006" s="2" t="s">
        <v>9</v>
      </c>
      <c r="H1006" s="7"/>
      <c r="I1006" s="2" t="s">
        <v>9</v>
      </c>
    </row>
    <row r="1007" spans="1:9" ht="39" x14ac:dyDescent="0.3">
      <c r="A1007" s="1" t="str">
        <f>HYPERLINK("https://ipmanager.doe.gov/IPManager//ExternalLink.aspx?6ibkph2k9yi6F%2B0Vz7YoTgZwfmYxrNyKoesH6VhORPg%3D","Link")</f>
        <v>Link</v>
      </c>
      <c r="B1007" s="2" t="s">
        <v>3325</v>
      </c>
      <c r="C1007" s="2" t="s">
        <v>3314</v>
      </c>
      <c r="D1007" s="2" t="s">
        <v>3315</v>
      </c>
      <c r="E1007" s="2" t="s">
        <v>3326</v>
      </c>
      <c r="F1007" s="2"/>
      <c r="G1007" s="2" t="s">
        <v>9</v>
      </c>
      <c r="H1007" s="7"/>
      <c r="I1007" s="2" t="s">
        <v>9</v>
      </c>
    </row>
    <row r="1008" spans="1:9" ht="39" x14ac:dyDescent="0.3">
      <c r="A1008" s="1" t="str">
        <f>HYPERLINK("https://ipmanager.doe.gov/IPManager//ExternalLink.aspx?6ibkph2k9yi6F%2B0Vz7YoTgZwfmYxrNyK4mZdbjgRru4%3D","Link")</f>
        <v>Link</v>
      </c>
      <c r="B1008" s="2" t="s">
        <v>3327</v>
      </c>
      <c r="C1008" s="2" t="s">
        <v>3314</v>
      </c>
      <c r="D1008" s="2" t="s">
        <v>3315</v>
      </c>
      <c r="E1008" s="2" t="s">
        <v>3328</v>
      </c>
      <c r="F1008" s="2"/>
      <c r="G1008" s="2" t="s">
        <v>9</v>
      </c>
      <c r="H1008" s="7"/>
      <c r="I1008" s="2" t="s">
        <v>9</v>
      </c>
    </row>
    <row r="1009" spans="1:9" ht="39" x14ac:dyDescent="0.3">
      <c r="A1009" s="1" t="str">
        <f>HYPERLINK("https://ipmanager.doe.gov/IPManager//ExternalLink.aspx?6ibkph2k9yi6F%2B0Vz7YoTq6RR9BlGHHi5gP4ei8fSSI%3D","Link")</f>
        <v>Link</v>
      </c>
      <c r="B1009" s="2" t="s">
        <v>1036</v>
      </c>
      <c r="C1009" s="2" t="s">
        <v>1037</v>
      </c>
      <c r="D1009" s="2" t="s">
        <v>770</v>
      </c>
      <c r="E1009" s="2" t="s">
        <v>1038</v>
      </c>
      <c r="F1009" s="2" t="s">
        <v>1039</v>
      </c>
      <c r="G1009" s="2" t="s">
        <v>1040</v>
      </c>
      <c r="H1009" s="7"/>
      <c r="I1009" s="2" t="s">
        <v>9</v>
      </c>
    </row>
    <row r="1010" spans="1:9" ht="39" x14ac:dyDescent="0.3">
      <c r="A1010" s="1" t="str">
        <f>HYPERLINK("https://ipmanager.doe.gov/IPManager//ExternalLink.aspx?6ibkph2k9yi6F%2B0Vz7YoTr7J5I%2BY4foYV3jj5wKX0kQ%3D","Link")</f>
        <v>Link</v>
      </c>
      <c r="B1010" s="2" t="s">
        <v>1047</v>
      </c>
      <c r="C1010" s="2" t="s">
        <v>1037</v>
      </c>
      <c r="D1010" s="2" t="s">
        <v>770</v>
      </c>
      <c r="E1010" s="2" t="s">
        <v>1048</v>
      </c>
      <c r="F1010" s="2" t="s">
        <v>1049</v>
      </c>
      <c r="G1010" s="2" t="s">
        <v>1050</v>
      </c>
      <c r="H1010" s="7"/>
      <c r="I1010" s="2" t="s">
        <v>9</v>
      </c>
    </row>
    <row r="1011" spans="1:9" ht="52" x14ac:dyDescent="0.3">
      <c r="A1011" s="1" t="str">
        <f>HYPERLINK("https://ipmanager.doe.gov/IPManager//ExternalLink.aspx?6ibkph2k9yi6F%2B0Vz7YoTgZwfmYxrNyKYmarBQlWqUY%3D","Link")</f>
        <v>Link</v>
      </c>
      <c r="B1011" s="2" t="s">
        <v>3337</v>
      </c>
      <c r="C1011" s="2" t="s">
        <v>3330</v>
      </c>
      <c r="D1011" s="2" t="s">
        <v>3331</v>
      </c>
      <c r="E1011" s="2" t="s">
        <v>3338</v>
      </c>
      <c r="F1011" s="2" t="s">
        <v>7633</v>
      </c>
      <c r="G1011" s="2" t="s">
        <v>3339</v>
      </c>
      <c r="H1011" s="8">
        <v>9806366</v>
      </c>
      <c r="I1011" s="2" t="s">
        <v>3340</v>
      </c>
    </row>
    <row r="1012" spans="1:9" ht="39" x14ac:dyDescent="0.3">
      <c r="A1012" s="1" t="str">
        <f>HYPERLINK("https://ipmanager.doe.gov/IPManager//ExternalLink.aspx?6ibkph2k9yi6F%2B0Vz7YoTjnDGhmGHGI7wiQWgwXLMc4%3D","Link")</f>
        <v>Link</v>
      </c>
      <c r="B1012" s="2" t="s">
        <v>1051</v>
      </c>
      <c r="C1012" s="2" t="s">
        <v>1037</v>
      </c>
      <c r="D1012" s="2" t="s">
        <v>770</v>
      </c>
      <c r="E1012" s="2" t="s">
        <v>1052</v>
      </c>
      <c r="F1012" s="2" t="s">
        <v>1053</v>
      </c>
      <c r="G1012" s="2" t="s">
        <v>1054</v>
      </c>
      <c r="H1012" s="7"/>
      <c r="I1012" s="2" t="s">
        <v>9</v>
      </c>
    </row>
    <row r="1013" spans="1:9" ht="39" x14ac:dyDescent="0.3">
      <c r="A1013" s="1" t="str">
        <f>HYPERLINK("https://ipmanager.doe.gov/IPManager//ExternalLink.aspx?6ibkph2k9yi6F%2B0Vz7YoTo7DPLa3%2F%2FGgsDBj3kQpqhA%3D","Link")</f>
        <v>Link</v>
      </c>
      <c r="B1013" s="2" t="s">
        <v>1059</v>
      </c>
      <c r="C1013" s="2" t="s">
        <v>1037</v>
      </c>
      <c r="D1013" s="2" t="s">
        <v>770</v>
      </c>
      <c r="E1013" s="2" t="s">
        <v>1052</v>
      </c>
      <c r="F1013" s="2" t="s">
        <v>1060</v>
      </c>
      <c r="G1013" s="2" t="s">
        <v>1061</v>
      </c>
      <c r="H1013" s="7"/>
      <c r="I1013" s="2" t="s">
        <v>9</v>
      </c>
    </row>
    <row r="1014" spans="1:9" ht="39" x14ac:dyDescent="0.3">
      <c r="A1014" s="1" t="str">
        <f>HYPERLINK("https://ipmanager.doe.gov/IPManager//ExternalLink.aspx?6ibkph2k9yi6F%2B0Vz7YoTr7J5I%2BY4foY3%2B4%2B0DAJnyc%3D","Link")</f>
        <v>Link</v>
      </c>
      <c r="B1014" s="2" t="s">
        <v>1280</v>
      </c>
      <c r="C1014" s="2" t="s">
        <v>1273</v>
      </c>
      <c r="D1014" s="2" t="s">
        <v>770</v>
      </c>
      <c r="E1014" s="2" t="s">
        <v>1278</v>
      </c>
      <c r="F1014" s="2" t="s">
        <v>1281</v>
      </c>
      <c r="G1014" s="2" t="s">
        <v>1282</v>
      </c>
      <c r="H1014" s="7"/>
      <c r="I1014" s="2" t="s">
        <v>9</v>
      </c>
    </row>
    <row r="1015" spans="1:9" ht="39" x14ac:dyDescent="0.3">
      <c r="A1015" s="1" t="str">
        <f>HYPERLINK("https://ipmanager.doe.gov/IPManager//ExternalLink.aspx?6ibkph2k9yi6F%2B0Vz7YoTipZ798QK%2BbPInAx2jPORbk%3D","Link")</f>
        <v>Link</v>
      </c>
      <c r="B1015" s="2" t="s">
        <v>1843</v>
      </c>
      <c r="C1015" s="2" t="s">
        <v>1818</v>
      </c>
      <c r="D1015" s="2" t="s">
        <v>770</v>
      </c>
      <c r="E1015" s="2" t="s">
        <v>1844</v>
      </c>
      <c r="F1015" s="2" t="s">
        <v>1845</v>
      </c>
      <c r="G1015" s="2" t="s">
        <v>1846</v>
      </c>
      <c r="H1015" s="7"/>
      <c r="I1015" s="2" t="s">
        <v>9</v>
      </c>
    </row>
    <row r="1016" spans="1:9" ht="39" x14ac:dyDescent="0.3">
      <c r="A1016" s="1" t="str">
        <f>HYPERLINK("https://ipmanager.doe.gov/IPManager//ExternalLink.aspx?6ibkph2k9yi6F%2B0Vz7YoTgZwfmYxrNyK4rqsRB%2BAav8%3D","Link")</f>
        <v>Link</v>
      </c>
      <c r="B1016" s="2" t="s">
        <v>1847</v>
      </c>
      <c r="C1016" s="2" t="s">
        <v>1818</v>
      </c>
      <c r="D1016" s="2" t="s">
        <v>770</v>
      </c>
      <c r="E1016" s="2" t="s">
        <v>1848</v>
      </c>
      <c r="F1016" s="2" t="s">
        <v>1849</v>
      </c>
      <c r="G1016" s="2" t="s">
        <v>1421</v>
      </c>
      <c r="H1016" s="7"/>
      <c r="I1016" s="2" t="s">
        <v>9</v>
      </c>
    </row>
    <row r="1017" spans="1:9" ht="117" x14ac:dyDescent="0.3">
      <c r="A1017" s="1" t="str">
        <f>HYPERLINK("https://ipmanager.doe.gov/IPManager//ExternalLink.aspx?6ibkph2k9yi6F%2B0Vz7YoTipZ798QK%2BbPerU6JAAxlwg%3D","Link")</f>
        <v>Link</v>
      </c>
      <c r="B1017" s="2" t="s">
        <v>2300</v>
      </c>
      <c r="C1017" s="2" t="s">
        <v>2298</v>
      </c>
      <c r="D1017" s="2" t="s">
        <v>770</v>
      </c>
      <c r="E1017" s="2" t="s">
        <v>2301</v>
      </c>
      <c r="F1017" s="2" t="s">
        <v>2302</v>
      </c>
      <c r="G1017" s="2" t="s">
        <v>2303</v>
      </c>
      <c r="H1017" s="7"/>
      <c r="I1017" s="2" t="s">
        <v>9</v>
      </c>
    </row>
    <row r="1018" spans="1:9" ht="52" x14ac:dyDescent="0.3">
      <c r="A1018" s="1" t="str">
        <f>HYPERLINK("https://ipmanager.doe.gov/IPManager//ExternalLink.aspx?6ibkph2k9yi6F%2B0Vz7YoTipZ798QK%2BbPRP1TTXyCm0s%3D","Link")</f>
        <v>Link</v>
      </c>
      <c r="B1018" s="2" t="s">
        <v>2310</v>
      </c>
      <c r="C1018" s="2" t="s">
        <v>2311</v>
      </c>
      <c r="D1018" s="2" t="s">
        <v>770</v>
      </c>
      <c r="E1018" s="2" t="s">
        <v>2312</v>
      </c>
      <c r="F1018" s="2" t="s">
        <v>2313</v>
      </c>
      <c r="G1018" s="2" t="s">
        <v>357</v>
      </c>
      <c r="H1018" s="7"/>
      <c r="I1018" s="2" t="s">
        <v>9</v>
      </c>
    </row>
    <row r="1019" spans="1:9" ht="65" x14ac:dyDescent="0.3">
      <c r="A1019" s="1" t="str">
        <f>HYPERLINK("https://ipmanager.doe.gov/IPManager//ExternalLink.aspx?6ibkph2k9yi6F%2B0Vz7YoTkqAgjuWMa9QqyfHPa%2FhGOE%3D","Link")</f>
        <v>Link</v>
      </c>
      <c r="B1019" s="2" t="s">
        <v>2424</v>
      </c>
      <c r="C1019" s="2" t="s">
        <v>2425</v>
      </c>
      <c r="D1019" s="2" t="s">
        <v>770</v>
      </c>
      <c r="E1019" s="2" t="s">
        <v>2426</v>
      </c>
      <c r="F1019" s="2" t="s">
        <v>2427</v>
      </c>
      <c r="G1019" s="2" t="s">
        <v>2428</v>
      </c>
      <c r="H1019" s="7"/>
      <c r="I1019" s="2" t="s">
        <v>9</v>
      </c>
    </row>
    <row r="1020" spans="1:9" ht="52" x14ac:dyDescent="0.3">
      <c r="A1020" s="1" t="str">
        <f>HYPERLINK("https://ipmanager.doe.gov/IPManager//ExternalLink.aspx?6ibkph2k9yi6F%2B0Vz7YoTnXVN2REjGcWNLz8QFGmPTs%3D","Link")</f>
        <v>Link</v>
      </c>
      <c r="B1020" s="2" t="s">
        <v>3368</v>
      </c>
      <c r="C1020" s="2" t="s">
        <v>3330</v>
      </c>
      <c r="D1020" s="2" t="s">
        <v>3346</v>
      </c>
      <c r="E1020" s="2" t="s">
        <v>3369</v>
      </c>
      <c r="F1020" s="2"/>
      <c r="G1020" s="2" t="s">
        <v>9</v>
      </c>
      <c r="H1020" s="7"/>
      <c r="I1020" s="2" t="s">
        <v>9</v>
      </c>
    </row>
    <row r="1021" spans="1:9" ht="52" x14ac:dyDescent="0.3">
      <c r="A1021" s="1" t="str">
        <f>HYPERLINK("https://ipmanager.doe.gov/IPManager//ExternalLink.aspx?6ibkph2k9yi6F%2B0Vz7YoTk2BI6w%2FjZ2fMANRGOg2cgU%3D","Link")</f>
        <v>Link</v>
      </c>
      <c r="B1021" s="2" t="s">
        <v>2430</v>
      </c>
      <c r="C1021" s="2" t="s">
        <v>2425</v>
      </c>
      <c r="D1021" s="2" t="s">
        <v>770</v>
      </c>
      <c r="E1021" s="2" t="s">
        <v>2431</v>
      </c>
      <c r="F1021" s="2" t="s">
        <v>2432</v>
      </c>
      <c r="G1021" s="2" t="s">
        <v>2433</v>
      </c>
      <c r="H1021" s="7"/>
      <c r="I1021" s="2" t="s">
        <v>9</v>
      </c>
    </row>
    <row r="1022" spans="1:9" ht="39" x14ac:dyDescent="0.3">
      <c r="A1022" s="1" t="str">
        <f>HYPERLINK("https://ipmanager.doe.gov/IPManager//ExternalLink.aspx?6ibkph2k9yi6F%2B0Vz7YoTjnDGhmGHGI7Qog0dMxGoGY%3D","Link")</f>
        <v>Link</v>
      </c>
      <c r="B1022" s="2" t="s">
        <v>2434</v>
      </c>
      <c r="C1022" s="2" t="s">
        <v>2425</v>
      </c>
      <c r="D1022" s="2" t="s">
        <v>770</v>
      </c>
      <c r="E1022" s="2" t="s">
        <v>2435</v>
      </c>
      <c r="F1022" s="2" t="s">
        <v>2436</v>
      </c>
      <c r="G1022" s="2" t="s">
        <v>2437</v>
      </c>
      <c r="H1022" s="7"/>
      <c r="I1022" s="2" t="s">
        <v>9</v>
      </c>
    </row>
    <row r="1023" spans="1:9" ht="39" x14ac:dyDescent="0.3">
      <c r="A1023" s="1" t="str">
        <f>HYPERLINK("https://ipmanager.doe.gov/IPManager//ExternalLink.aspx?6ibkph2k9yi6F%2B0Vz7YoTnXVN2REjGcWt4heH7OHWtI%3D","Link")</f>
        <v>Link</v>
      </c>
      <c r="B1023" s="2" t="s">
        <v>3374</v>
      </c>
      <c r="C1023" s="2" t="s">
        <v>3330</v>
      </c>
      <c r="D1023" s="2" t="s">
        <v>3346</v>
      </c>
      <c r="E1023" s="2" t="s">
        <v>3375</v>
      </c>
      <c r="F1023" s="2"/>
      <c r="G1023" s="2" t="s">
        <v>9</v>
      </c>
      <c r="H1023" s="7"/>
      <c r="I1023" s="2" t="s">
        <v>9</v>
      </c>
    </row>
    <row r="1024" spans="1:9" ht="65" x14ac:dyDescent="0.3">
      <c r="A1024" s="1" t="str">
        <f>HYPERLINK("https://ipmanager.doe.gov/IPManager//ExternalLink.aspx?6ibkph2k9yi6F%2B0Vz7YoTq6RR9BlGHHi0B%2FAc8CveRs%3D","Link")</f>
        <v>Link</v>
      </c>
      <c r="B1024" s="2" t="s">
        <v>2438</v>
      </c>
      <c r="C1024" s="2" t="s">
        <v>2425</v>
      </c>
      <c r="D1024" s="2" t="s">
        <v>770</v>
      </c>
      <c r="E1024" s="2" t="s">
        <v>2439</v>
      </c>
      <c r="F1024" s="2" t="s">
        <v>2440</v>
      </c>
      <c r="G1024" s="2" t="s">
        <v>2441</v>
      </c>
      <c r="H1024" s="7"/>
      <c r="I1024" s="2" t="s">
        <v>9</v>
      </c>
    </row>
    <row r="1025" spans="1:9" ht="52" x14ac:dyDescent="0.3">
      <c r="A1025" s="1" t="str">
        <f>HYPERLINK("https://ipmanager.doe.gov/IPManager//ExternalLink.aspx?6ibkph2k9yi6F%2B0Vz7YoTo7DPLa3%2F%2FGgdMmxzaJ18VI%3D","Link")</f>
        <v>Link</v>
      </c>
      <c r="B1025" s="2" t="s">
        <v>2446</v>
      </c>
      <c r="C1025" s="2" t="s">
        <v>2425</v>
      </c>
      <c r="D1025" s="2" t="s">
        <v>770</v>
      </c>
      <c r="E1025" s="2" t="s">
        <v>2447</v>
      </c>
      <c r="F1025" s="2" t="s">
        <v>2448</v>
      </c>
      <c r="G1025" s="2" t="s">
        <v>2449</v>
      </c>
      <c r="H1025" s="7"/>
      <c r="I1025" s="2" t="s">
        <v>9</v>
      </c>
    </row>
    <row r="1026" spans="1:9" ht="39" x14ac:dyDescent="0.3">
      <c r="A1026" s="1" t="str">
        <f>HYPERLINK("https://ipmanager.doe.gov/IPManager//ExternalLink.aspx?6ibkph2k9yi6F%2B0Vz7YoTnXVN2REjGcW8xa0e8SgfTU%3D","Link")</f>
        <v>Link</v>
      </c>
      <c r="B1026" s="2" t="s">
        <v>3381</v>
      </c>
      <c r="C1026" s="2" t="s">
        <v>3330</v>
      </c>
      <c r="D1026" s="2" t="s">
        <v>3331</v>
      </c>
      <c r="E1026" s="2" t="s">
        <v>3382</v>
      </c>
      <c r="F1026" s="2" t="s">
        <v>3352</v>
      </c>
      <c r="G1026" s="2" t="s">
        <v>3344</v>
      </c>
      <c r="H1026" s="7">
        <v>9685651</v>
      </c>
      <c r="I1026" s="2" t="s">
        <v>3383</v>
      </c>
    </row>
    <row r="1027" spans="1:9" ht="52" x14ac:dyDescent="0.3">
      <c r="A1027" s="1" t="str">
        <f>HYPERLINK("https://ipmanager.doe.gov/IPManager//ExternalLink.aspx?6ibkph2k9yi6F%2B0Vz7YoTnXVN2REjGcW33%2BulaUAfBg%3D","Link")</f>
        <v>Link</v>
      </c>
      <c r="B1027" s="2" t="s">
        <v>3384</v>
      </c>
      <c r="C1027" s="2" t="s">
        <v>3330</v>
      </c>
      <c r="D1027" s="2" t="s">
        <v>3331</v>
      </c>
      <c r="E1027" s="2" t="s">
        <v>3338</v>
      </c>
      <c r="F1027" s="2" t="s">
        <v>3385</v>
      </c>
      <c r="G1027" s="2" t="s">
        <v>823</v>
      </c>
      <c r="H1027" s="7">
        <v>9509011</v>
      </c>
      <c r="I1027" s="2" t="s">
        <v>3386</v>
      </c>
    </row>
    <row r="1028" spans="1:9" ht="39" x14ac:dyDescent="0.3">
      <c r="A1028" s="1" t="str">
        <f>HYPERLINK("https://ipmanager.doe.gov/IPManager//ExternalLink.aspx?6ibkph2k9yi6F%2B0Vz7YoTjnDGhmGHGI7dgpuYmjqflo%3D","Link")</f>
        <v>Link</v>
      </c>
      <c r="B1028" s="2" t="s">
        <v>3387</v>
      </c>
      <c r="C1028" s="2" t="s">
        <v>3330</v>
      </c>
      <c r="D1028" s="2" t="s">
        <v>3331</v>
      </c>
      <c r="E1028" s="2" t="s">
        <v>3336</v>
      </c>
      <c r="F1028" s="2" t="s">
        <v>3388</v>
      </c>
      <c r="G1028" s="2" t="s">
        <v>3389</v>
      </c>
      <c r="H1028" s="7" t="s">
        <v>3390</v>
      </c>
      <c r="I1028" s="2" t="s">
        <v>3391</v>
      </c>
    </row>
    <row r="1029" spans="1:9" ht="52" x14ac:dyDescent="0.3">
      <c r="A1029" s="1" t="str">
        <f>HYPERLINK("https://ipmanager.doe.gov/IPManager//ExternalLink.aspx?6ibkph2k9yi6F%2B0Vz7YoTgZwfmYxrNyKJ5kW%2BDp6oXE%3D","Link")</f>
        <v>Link</v>
      </c>
      <c r="B1029" s="2" t="s">
        <v>3392</v>
      </c>
      <c r="C1029" s="2" t="s">
        <v>3330</v>
      </c>
      <c r="D1029" s="2" t="s">
        <v>3331</v>
      </c>
      <c r="E1029" s="2" t="s">
        <v>3393</v>
      </c>
      <c r="F1029" s="2" t="s">
        <v>3394</v>
      </c>
      <c r="G1029" s="2" t="s">
        <v>3344</v>
      </c>
      <c r="H1029" s="7" t="s">
        <v>3395</v>
      </c>
      <c r="I1029" s="2" t="s">
        <v>3396</v>
      </c>
    </row>
    <row r="1030" spans="1:9" ht="65" x14ac:dyDescent="0.3">
      <c r="A1030" s="1" t="str">
        <f>HYPERLINK("https://ipmanager.doe.gov/IPManager//ExternalLink.aspx?6ibkph2k9yi6F%2B0Vz7YoTipZ798QK%2BbPfZJZm%2FfXFvw%3D","Link")</f>
        <v>Link</v>
      </c>
      <c r="B1030" s="2" t="s">
        <v>2424</v>
      </c>
      <c r="C1030" s="2" t="s">
        <v>2425</v>
      </c>
      <c r="D1030" s="2" t="s">
        <v>770</v>
      </c>
      <c r="E1030" s="2" t="s">
        <v>2426</v>
      </c>
      <c r="F1030" s="2" t="s">
        <v>2429</v>
      </c>
      <c r="G1030" s="2" t="s">
        <v>2428</v>
      </c>
      <c r="H1030" s="7"/>
      <c r="I1030" s="2" t="s">
        <v>9</v>
      </c>
    </row>
    <row r="1031" spans="1:9" ht="39" x14ac:dyDescent="0.3">
      <c r="A1031" s="1" t="str">
        <f>HYPERLINK("https://ipmanager.doe.gov/IPManager//ExternalLink.aspx?6ibkph2k9yi6F%2B0Vz7YoTipZ798QK%2BbPacVkArhoxvc%3D","Link")</f>
        <v>Link</v>
      </c>
      <c r="B1031" s="2" t="s">
        <v>2457</v>
      </c>
      <c r="C1031" s="2" t="s">
        <v>2425</v>
      </c>
      <c r="D1031" s="2" t="s">
        <v>770</v>
      </c>
      <c r="E1031" s="2" t="s">
        <v>2444</v>
      </c>
      <c r="F1031" s="2" t="s">
        <v>2458</v>
      </c>
      <c r="G1031" s="2" t="s">
        <v>327</v>
      </c>
      <c r="H1031" s="7"/>
      <c r="I1031" s="2" t="s">
        <v>9</v>
      </c>
    </row>
    <row r="1032" spans="1:9" ht="52" x14ac:dyDescent="0.3">
      <c r="A1032" s="1" t="str">
        <f>HYPERLINK("https://ipmanager.doe.gov/IPManager//ExternalLink.aspx?6ibkph2k9yi6F%2B0Vz7YoTgZwfmYxrNyK0rlq6bA0CHk%3D","Link")</f>
        <v>Link</v>
      </c>
      <c r="B1032" s="2" t="s">
        <v>3403</v>
      </c>
      <c r="C1032" s="2" t="s">
        <v>3330</v>
      </c>
      <c r="D1032" s="2" t="s">
        <v>3331</v>
      </c>
      <c r="E1032" s="2" t="s">
        <v>3398</v>
      </c>
      <c r="F1032" s="2"/>
      <c r="G1032" s="2" t="s">
        <v>9</v>
      </c>
      <c r="H1032" s="7"/>
      <c r="I1032" s="2" t="s">
        <v>9</v>
      </c>
    </row>
    <row r="1033" spans="1:9" ht="39" x14ac:dyDescent="0.3">
      <c r="A1033" s="1" t="str">
        <f>HYPERLINK("https://ipmanager.doe.gov/IPManager//ExternalLink.aspx?6ibkph2k9yi6F%2B0Vz7YoTjnDGhmGHGI7Ylps5bFRtk4%3D","Link")</f>
        <v>Link</v>
      </c>
      <c r="B1033" s="2" t="s">
        <v>2454</v>
      </c>
      <c r="C1033" s="2" t="s">
        <v>2425</v>
      </c>
      <c r="D1033" s="2" t="s">
        <v>770</v>
      </c>
      <c r="E1033" s="2" t="s">
        <v>2455</v>
      </c>
      <c r="F1033" s="2" t="s">
        <v>2456</v>
      </c>
      <c r="G1033" s="2" t="s">
        <v>1396</v>
      </c>
      <c r="H1033" s="7"/>
      <c r="I1033" s="2" t="s">
        <v>9</v>
      </c>
    </row>
    <row r="1034" spans="1:9" ht="91" x14ac:dyDescent="0.3">
      <c r="A1034" s="1" t="str">
        <f>HYPERLINK("https://ipmanager.doe.gov/IPManager//ExternalLink.aspx?6ibkph2k9yi6F%2B0Vz7YoTjnDGhmGHGI7adVlIToP0Ws%3D","Link")</f>
        <v>Link</v>
      </c>
      <c r="B1034" s="2" t="s">
        <v>2463</v>
      </c>
      <c r="C1034" s="2" t="s">
        <v>2425</v>
      </c>
      <c r="D1034" s="2" t="s">
        <v>770</v>
      </c>
      <c r="E1034" s="2" t="s">
        <v>2464</v>
      </c>
      <c r="F1034" s="2" t="s">
        <v>2465</v>
      </c>
      <c r="G1034" s="2" t="s">
        <v>2466</v>
      </c>
      <c r="H1034" s="7"/>
      <c r="I1034" s="2" t="s">
        <v>9</v>
      </c>
    </row>
    <row r="1035" spans="1:9" ht="39" x14ac:dyDescent="0.3">
      <c r="A1035" s="1" t="str">
        <f>HYPERLINK("https://ipmanager.doe.gov/IPManager//ExternalLink.aspx?6ibkph2k9yi6F%2B0Vz7YoTq6RR9BlGHHiO0FD9LaCFSA%3D","Link")</f>
        <v>Link</v>
      </c>
      <c r="B1035" s="2" t="s">
        <v>3413</v>
      </c>
      <c r="C1035" s="2" t="s">
        <v>3405</v>
      </c>
      <c r="D1035" s="2" t="s">
        <v>3406</v>
      </c>
      <c r="E1035" s="2" t="s">
        <v>3414</v>
      </c>
      <c r="F1035" s="2"/>
      <c r="G1035" s="2" t="s">
        <v>9</v>
      </c>
      <c r="H1035" s="7"/>
      <c r="I1035" s="2" t="s">
        <v>9</v>
      </c>
    </row>
    <row r="1036" spans="1:9" ht="65" x14ac:dyDescent="0.3">
      <c r="A1036" s="1" t="str">
        <f>HYPERLINK("https://ipmanager.doe.gov/IPManager//ExternalLink.aspx?6ibkph2k9yi6F%2B0Vz7YoTipZ798QK%2BbPSIVZAyl0vxQ%3D","Link")</f>
        <v>Link</v>
      </c>
      <c r="B1036" s="2" t="s">
        <v>3750</v>
      </c>
      <c r="C1036" s="2" t="s">
        <v>3745</v>
      </c>
      <c r="D1036" s="2" t="s">
        <v>770</v>
      </c>
      <c r="E1036" s="2" t="s">
        <v>3751</v>
      </c>
      <c r="F1036" s="2" t="s">
        <v>3752</v>
      </c>
      <c r="G1036" s="2" t="s">
        <v>3753</v>
      </c>
      <c r="H1036" s="7"/>
      <c r="I1036" s="2" t="s">
        <v>9</v>
      </c>
    </row>
    <row r="1037" spans="1:9" ht="52" x14ac:dyDescent="0.3">
      <c r="A1037" s="1" t="str">
        <f>HYPERLINK("https://ipmanager.doe.gov/IPManager//ExternalLink.aspx?6ibkph2k9yi6F%2B0Vz7YoTgZwfmYxrNyKX9d1HfKzEZE%3D","Link")</f>
        <v>Link</v>
      </c>
      <c r="B1037" s="2" t="s">
        <v>3760</v>
      </c>
      <c r="C1037" s="2" t="s">
        <v>3745</v>
      </c>
      <c r="D1037" s="2" t="s">
        <v>770</v>
      </c>
      <c r="E1037" s="2" t="s">
        <v>3761</v>
      </c>
      <c r="F1037" s="2" t="s">
        <v>3762</v>
      </c>
      <c r="G1037" s="2" t="s">
        <v>3763</v>
      </c>
      <c r="H1037" s="7"/>
      <c r="I1037" s="2" t="s">
        <v>9</v>
      </c>
    </row>
    <row r="1038" spans="1:9" ht="39" x14ac:dyDescent="0.3">
      <c r="A1038" s="1" t="str">
        <f>HYPERLINK("https://ipmanager.doe.gov/IPManager//ExternalLink.aspx?6ibkph2k9yi6F%2B0Vz7YoTjnDGhmGHGI76Q%2F12ze9v44%3D","Link")</f>
        <v>Link</v>
      </c>
      <c r="B1038" s="2" t="s">
        <v>5155</v>
      </c>
      <c r="C1038" s="2" t="s">
        <v>5139</v>
      </c>
      <c r="D1038" s="2" t="s">
        <v>770</v>
      </c>
      <c r="E1038" s="2" t="s">
        <v>5156</v>
      </c>
      <c r="F1038" s="2" t="s">
        <v>7634</v>
      </c>
      <c r="G1038" s="2" t="s">
        <v>2276</v>
      </c>
      <c r="H1038" s="7"/>
      <c r="I1038" s="2" t="s">
        <v>9</v>
      </c>
    </row>
    <row r="1039" spans="1:9" ht="39" x14ac:dyDescent="0.3">
      <c r="A1039" s="1" t="str">
        <f>HYPERLINK("https://ipmanager.doe.gov/IPManager//ExternalLink.aspx?6ibkph2k9yi6F%2B0Vz7YoTq6RR9BlGHHi8AC0vghp3Cw%3D","Link")</f>
        <v>Link</v>
      </c>
      <c r="B1039" s="2" t="s">
        <v>5157</v>
      </c>
      <c r="C1039" s="2" t="s">
        <v>5139</v>
      </c>
      <c r="D1039" s="2" t="s">
        <v>770</v>
      </c>
      <c r="E1039" s="2" t="s">
        <v>5158</v>
      </c>
      <c r="F1039" s="2" t="s">
        <v>7635</v>
      </c>
      <c r="G1039" s="2" t="s">
        <v>288</v>
      </c>
      <c r="H1039" s="7"/>
      <c r="I1039" s="2" t="s">
        <v>9</v>
      </c>
    </row>
    <row r="1040" spans="1:9" ht="39" x14ac:dyDescent="0.3">
      <c r="A1040" s="1" t="str">
        <f>HYPERLINK("https://ipmanager.doe.gov/IPManager//ExternalLink.aspx?6ibkph2k9yi6F%2B0Vz7YoTq6RR9BlGHHiSwCSYT3FxiM%3D","Link")</f>
        <v>Link</v>
      </c>
      <c r="B1040" s="2" t="s">
        <v>5291</v>
      </c>
      <c r="C1040" s="2" t="s">
        <v>5292</v>
      </c>
      <c r="D1040" s="2" t="s">
        <v>770</v>
      </c>
      <c r="E1040" s="2" t="s">
        <v>5293</v>
      </c>
      <c r="F1040" s="2" t="s">
        <v>5294</v>
      </c>
      <c r="G1040" s="2" t="s">
        <v>5295</v>
      </c>
      <c r="H1040" s="7"/>
      <c r="I1040" s="2" t="s">
        <v>9</v>
      </c>
    </row>
    <row r="1041" spans="1:9" ht="39" x14ac:dyDescent="0.3">
      <c r="A1041" s="1" t="str">
        <f>HYPERLINK("https://ipmanager.doe.gov/IPManager//ExternalLink.aspx?6ibkph2k9yi6F%2B0Vz7YoTo7DPLa3%2F%2FGgQdDZCj%2Frswg%3D","Link")</f>
        <v>Link</v>
      </c>
      <c r="B1041" s="2" t="s">
        <v>5297</v>
      </c>
      <c r="C1041" s="2" t="s">
        <v>5292</v>
      </c>
      <c r="D1041" s="2" t="s">
        <v>770</v>
      </c>
      <c r="E1041" s="2" t="s">
        <v>5293</v>
      </c>
      <c r="F1041" s="2" t="s">
        <v>5296</v>
      </c>
      <c r="G1041" s="2" t="s">
        <v>5298</v>
      </c>
      <c r="H1041" s="7"/>
      <c r="I1041" s="2" t="s">
        <v>9</v>
      </c>
    </row>
    <row r="1042" spans="1:9" ht="52" x14ac:dyDescent="0.3">
      <c r="A1042" s="1" t="str">
        <f>HYPERLINK("https://ipmanager.doe.gov/IPManager//ExternalLink.aspx?6ibkph2k9yi6F%2B0Vz7YoTr7J5I%2BY4foYoYtlzfcNUT8%3D","Link")</f>
        <v>Link</v>
      </c>
      <c r="B1042" s="2" t="s">
        <v>3437</v>
      </c>
      <c r="C1042" s="2" t="s">
        <v>3434</v>
      </c>
      <c r="D1042" s="2" t="s">
        <v>3438</v>
      </c>
      <c r="E1042" s="2" t="s">
        <v>3439</v>
      </c>
      <c r="F1042" s="2"/>
      <c r="G1042" s="2" t="s">
        <v>9</v>
      </c>
      <c r="H1042" s="7"/>
      <c r="I1042" s="2" t="s">
        <v>9</v>
      </c>
    </row>
    <row r="1043" spans="1:9" ht="26" x14ac:dyDescent="0.3">
      <c r="A1043" s="1" t="str">
        <f>HYPERLINK("https://ipmanager.doe.gov/IPManager//ExternalLink.aspx?6ibkph2k9yi6F%2B0Vz7YoTgZwfmYxrNyKUXfRF8GtJiY%3D","Link")</f>
        <v>Link</v>
      </c>
      <c r="B1043" s="2" t="s">
        <v>3440</v>
      </c>
      <c r="C1043" s="2" t="s">
        <v>3434</v>
      </c>
      <c r="D1043" s="2" t="s">
        <v>3438</v>
      </c>
      <c r="E1043" s="2" t="s">
        <v>3441</v>
      </c>
      <c r="F1043" s="2"/>
      <c r="G1043" s="2" t="s">
        <v>9</v>
      </c>
      <c r="H1043" s="7"/>
      <c r="I1043" s="2" t="s">
        <v>9</v>
      </c>
    </row>
    <row r="1044" spans="1:9" x14ac:dyDescent="0.3">
      <c r="A1044" s="1" t="str">
        <f>HYPERLINK("https://ipmanager.doe.gov/IPManager//ExternalLink.aspx?6ibkph2k9yi6F%2B0Vz7YoTk2BI6w%2FjZ2fMRHEoSdyHKo%3D","Link")</f>
        <v>Link</v>
      </c>
      <c r="B1044" s="2" t="s">
        <v>3442</v>
      </c>
      <c r="C1044" s="2" t="s">
        <v>3434</v>
      </c>
      <c r="D1044" s="2" t="s">
        <v>3438</v>
      </c>
      <c r="E1044" s="2" t="s">
        <v>3443</v>
      </c>
      <c r="F1044" s="2"/>
      <c r="G1044" s="2" t="s">
        <v>9</v>
      </c>
      <c r="H1044" s="7"/>
      <c r="I1044" s="2" t="s">
        <v>9</v>
      </c>
    </row>
    <row r="1045" spans="1:9" ht="39" x14ac:dyDescent="0.3">
      <c r="A1045" s="1" t="str">
        <f>HYPERLINK("https://ipmanager.doe.gov/IPManager//ExternalLink.aspx?6ibkph2k9yi6F%2B0Vz7YoTjnDGhmGHGI7SvEPRx%2F%2FIsA%3D","Link")</f>
        <v>Link</v>
      </c>
      <c r="B1045" s="2" t="s">
        <v>3444</v>
      </c>
      <c r="C1045" s="2" t="s">
        <v>3445</v>
      </c>
      <c r="D1045" s="2" t="s">
        <v>1285</v>
      </c>
      <c r="E1045" s="2" t="s">
        <v>3446</v>
      </c>
      <c r="F1045" s="2"/>
      <c r="G1045" s="2" t="s">
        <v>9</v>
      </c>
      <c r="H1045" s="7"/>
      <c r="I1045" s="2" t="s">
        <v>9</v>
      </c>
    </row>
    <row r="1046" spans="1:9" ht="52" x14ac:dyDescent="0.3">
      <c r="A1046" s="1" t="str">
        <f>HYPERLINK("https://ipmanager.doe.gov/IPManager//ExternalLink.aspx?6ibkph2k9yi6F%2B0Vz7YoTjnDGhmGHGI7IN7n4P6D9FE%3D","Link")</f>
        <v>Link</v>
      </c>
      <c r="B1046" s="2" t="s">
        <v>3447</v>
      </c>
      <c r="C1046" s="2" t="s">
        <v>3445</v>
      </c>
      <c r="D1046" s="2" t="s">
        <v>1285</v>
      </c>
      <c r="E1046" s="2" t="s">
        <v>3448</v>
      </c>
      <c r="F1046" s="2"/>
      <c r="G1046" s="2" t="s">
        <v>9</v>
      </c>
      <c r="H1046" s="7"/>
      <c r="I1046" s="2" t="s">
        <v>9</v>
      </c>
    </row>
    <row r="1047" spans="1:9" ht="39" x14ac:dyDescent="0.3">
      <c r="A1047" s="1" t="str">
        <f>HYPERLINK("https://ipmanager.doe.gov/IPManager//ExternalLink.aspx?6ibkph2k9yi6F%2B0Vz7YoTq6RR9BlGHHiZ0TzuxMtcMw%3D","Link")</f>
        <v>Link</v>
      </c>
      <c r="B1047" s="2" t="s">
        <v>5430</v>
      </c>
      <c r="C1047" s="2" t="s">
        <v>5428</v>
      </c>
      <c r="D1047" s="2" t="s">
        <v>770</v>
      </c>
      <c r="E1047" s="2" t="s">
        <v>5431</v>
      </c>
      <c r="F1047" s="2" t="s">
        <v>5432</v>
      </c>
      <c r="G1047" s="2" t="s">
        <v>5433</v>
      </c>
      <c r="H1047" s="7"/>
      <c r="I1047" s="2" t="s">
        <v>9</v>
      </c>
    </row>
    <row r="1048" spans="1:9" ht="39" x14ac:dyDescent="0.3">
      <c r="A1048" s="1" t="str">
        <f>HYPERLINK("https://ipmanager.doe.gov/IPManager//ExternalLink.aspx?6ibkph2k9yi6F%2B0Vz7YoTgZwfmYxrNyKy3ZIzdKE82w%3D","Link")</f>
        <v>Link</v>
      </c>
      <c r="B1048" s="2" t="s">
        <v>5435</v>
      </c>
      <c r="C1048" s="2" t="s">
        <v>5428</v>
      </c>
      <c r="D1048" s="2" t="s">
        <v>770</v>
      </c>
      <c r="E1048" s="2" t="s">
        <v>5436</v>
      </c>
      <c r="F1048" s="2" t="s">
        <v>5437</v>
      </c>
      <c r="G1048" s="2" t="s">
        <v>5438</v>
      </c>
      <c r="H1048" s="7"/>
      <c r="I1048" s="2" t="s">
        <v>9</v>
      </c>
    </row>
    <row r="1049" spans="1:9" ht="39" x14ac:dyDescent="0.3">
      <c r="A1049" s="1" t="str">
        <f>HYPERLINK("https://ipmanager.doe.gov/IPManager//ExternalLink.aspx?6ibkph2k9yi6F%2B0Vz7YoTjnDGhmGHGI7GwAytCAk7nc%3D","Link")</f>
        <v>Link</v>
      </c>
      <c r="B1049" s="2" t="s">
        <v>3454</v>
      </c>
      <c r="C1049" s="2" t="s">
        <v>3445</v>
      </c>
      <c r="D1049" s="2" t="s">
        <v>3455</v>
      </c>
      <c r="E1049" s="2" t="s">
        <v>3456</v>
      </c>
      <c r="F1049" s="2"/>
      <c r="G1049" s="2" t="s">
        <v>9</v>
      </c>
      <c r="H1049" s="7"/>
      <c r="I1049" s="2" t="s">
        <v>9</v>
      </c>
    </row>
    <row r="1050" spans="1:9" ht="39" x14ac:dyDescent="0.3">
      <c r="A1050" s="1" t="str">
        <f>HYPERLINK("https://ipmanager.doe.gov/IPManager//ExternalLink.aspx?6ibkph2k9yi6F%2B0Vz7YoTjnDGhmGHGI7Rc2dEbphNws%3D","Link")</f>
        <v>Link</v>
      </c>
      <c r="B1050" s="2" t="s">
        <v>3457</v>
      </c>
      <c r="C1050" s="2" t="s">
        <v>3445</v>
      </c>
      <c r="D1050" s="2" t="s">
        <v>1285</v>
      </c>
      <c r="E1050" s="2" t="s">
        <v>3458</v>
      </c>
      <c r="F1050" s="2"/>
      <c r="G1050" s="2" t="s">
        <v>9</v>
      </c>
      <c r="H1050" s="7"/>
      <c r="I1050" s="2" t="s">
        <v>9</v>
      </c>
    </row>
    <row r="1051" spans="1:9" ht="39" x14ac:dyDescent="0.3">
      <c r="A1051" s="1" t="str">
        <f>HYPERLINK("https://ipmanager.doe.gov/IPManager//ExternalLink.aspx?6ibkph2k9yi6F%2B0Vz7YoTo7DPLa3%2F%2FGglnqE%2B1uCPeE%3D","Link")</f>
        <v>Link</v>
      </c>
      <c r="B1051" s="2" t="s">
        <v>5439</v>
      </c>
      <c r="C1051" s="2" t="s">
        <v>5440</v>
      </c>
      <c r="D1051" s="2" t="s">
        <v>770</v>
      </c>
      <c r="E1051" s="2" t="s">
        <v>5441</v>
      </c>
      <c r="F1051" s="2" t="s">
        <v>5442</v>
      </c>
      <c r="G1051" s="2" t="s">
        <v>5443</v>
      </c>
      <c r="H1051" s="7"/>
      <c r="I1051" s="2" t="s">
        <v>9</v>
      </c>
    </row>
    <row r="1052" spans="1:9" ht="39" x14ac:dyDescent="0.3">
      <c r="A1052" s="1" t="str">
        <f>HYPERLINK("https://ipmanager.doe.gov/IPManager//ExternalLink.aspx?6ibkph2k9yi6F%2B0Vz7YoTvE8yjoHgvp6PN7wYoyuxt8%3D","Link")</f>
        <v>Link</v>
      </c>
      <c r="B1052" s="2" t="s">
        <v>7102</v>
      </c>
      <c r="C1052" s="2" t="s">
        <v>7103</v>
      </c>
      <c r="D1052" s="2" t="s">
        <v>770</v>
      </c>
      <c r="E1052" s="2" t="s">
        <v>7104</v>
      </c>
      <c r="F1052" s="2" t="s">
        <v>7105</v>
      </c>
      <c r="G1052" s="2" t="s">
        <v>5721</v>
      </c>
      <c r="H1052" s="7"/>
      <c r="I1052" s="2" t="s">
        <v>9</v>
      </c>
    </row>
    <row r="1053" spans="1:9" ht="52" x14ac:dyDescent="0.3">
      <c r="A1053" s="1" t="str">
        <f>HYPERLINK("https://ipmanager.doe.gov/IPManager//ExternalLink.aspx?6ibkph2k9yi6F%2B0Vz7YoTgZwfmYxrNyKynGdLUZTCbs%3D","Link")</f>
        <v>Link</v>
      </c>
      <c r="B1053" s="2" t="s">
        <v>3415</v>
      </c>
      <c r="C1053" s="2" t="s">
        <v>3416</v>
      </c>
      <c r="D1053" s="2" t="s">
        <v>3417</v>
      </c>
      <c r="E1053" s="2" t="s">
        <v>3418</v>
      </c>
      <c r="F1053" s="2" t="s">
        <v>3419</v>
      </c>
      <c r="G1053" s="2" t="s">
        <v>9</v>
      </c>
      <c r="H1053" s="7"/>
      <c r="I1053" s="2" t="s">
        <v>9</v>
      </c>
    </row>
    <row r="1054" spans="1:9" ht="26" x14ac:dyDescent="0.3">
      <c r="A1054" s="1" t="str">
        <f>HYPERLINK("https://ipmanager.doe.gov/IPManager//ExternalLink.aspx?6ibkph2k9yi6F%2B0Vz7YoTvPUg%2FVZPl3iM8CJLAREMs4%3D","Link")</f>
        <v>Link</v>
      </c>
      <c r="B1054" s="2" t="s">
        <v>3469</v>
      </c>
      <c r="C1054" s="2" t="s">
        <v>3470</v>
      </c>
      <c r="D1054" s="2" t="s">
        <v>3471</v>
      </c>
      <c r="E1054" s="2" t="s">
        <v>3472</v>
      </c>
      <c r="F1054" s="2" t="s">
        <v>3473</v>
      </c>
      <c r="G1054" s="2" t="s">
        <v>3474</v>
      </c>
      <c r="H1054" s="7"/>
      <c r="I1054" s="2" t="s">
        <v>9</v>
      </c>
    </row>
    <row r="1055" spans="1:9" ht="39" x14ac:dyDescent="0.3">
      <c r="A1055" s="1" t="str">
        <f>HYPERLINK("https://ipmanager.doe.gov/IPManager//ExternalLink.aspx?6ibkph2k9yi6F%2B0Vz7YoTo7DPLa3%2F%2FGgs4KzSho%2B%2BzM%3D","Link")</f>
        <v>Link</v>
      </c>
      <c r="B1055" s="2" t="s">
        <v>3420</v>
      </c>
      <c r="C1055" s="2" t="s">
        <v>3416</v>
      </c>
      <c r="D1055" s="2" t="s">
        <v>3417</v>
      </c>
      <c r="E1055" s="2" t="s">
        <v>3421</v>
      </c>
      <c r="F1055" s="2" t="s">
        <v>3422</v>
      </c>
      <c r="G1055" s="2" t="s">
        <v>3423</v>
      </c>
      <c r="H1055" s="7"/>
      <c r="I1055" s="2" t="s">
        <v>9</v>
      </c>
    </row>
    <row r="1056" spans="1:9" ht="39" x14ac:dyDescent="0.3">
      <c r="A1056" s="1" t="str">
        <f>HYPERLINK("https://ipmanager.doe.gov/IPManager//ExternalLink.aspx?6ibkph2k9yi6F%2B0Vz7YoTvPUg%2FVZPl3iwxRixjq5xO8%3D","Link")</f>
        <v>Link</v>
      </c>
      <c r="B1056" s="2" t="s">
        <v>3479</v>
      </c>
      <c r="C1056" s="2" t="s">
        <v>3476</v>
      </c>
      <c r="D1056" s="2" t="s">
        <v>2233</v>
      </c>
      <c r="E1056" s="2" t="s">
        <v>3480</v>
      </c>
      <c r="F1056" s="2" t="s">
        <v>3481</v>
      </c>
      <c r="G1056" s="2" t="s">
        <v>2130</v>
      </c>
      <c r="H1056" s="8">
        <v>10131245</v>
      </c>
      <c r="I1056" s="2" t="s">
        <v>3482</v>
      </c>
    </row>
    <row r="1057" spans="1:9" ht="52" x14ac:dyDescent="0.3">
      <c r="A1057" s="1" t="str">
        <f>HYPERLINK("https://ipmanager.doe.gov/IPManager//ExternalLink.aspx?6ibkph2k9yi6F%2B0Vz7YoTjnDGhmGHGI7UV4SwFOEBYs%3D","Link")</f>
        <v>Link</v>
      </c>
      <c r="B1057" s="2" t="s">
        <v>3424</v>
      </c>
      <c r="C1057" s="2" t="s">
        <v>3416</v>
      </c>
      <c r="D1057" s="2" t="s">
        <v>3417</v>
      </c>
      <c r="E1057" s="2" t="s">
        <v>3425</v>
      </c>
      <c r="F1057" s="2" t="s">
        <v>3426</v>
      </c>
      <c r="G1057" s="2" t="s">
        <v>159</v>
      </c>
      <c r="H1057" s="7"/>
      <c r="I1057" s="2" t="s">
        <v>9</v>
      </c>
    </row>
    <row r="1058" spans="1:9" ht="39" x14ac:dyDescent="0.3">
      <c r="A1058" s="1" t="str">
        <f>HYPERLINK("https://ipmanager.doe.gov/IPManager//ExternalLink.aspx?6ibkph2k9yi6F%2B0Vz7YoTq6RR9BlGHHioZWFkiPI4I0%3D","Link")</f>
        <v>Link</v>
      </c>
      <c r="B1058" s="2" t="s">
        <v>3427</v>
      </c>
      <c r="C1058" s="2" t="s">
        <v>3416</v>
      </c>
      <c r="D1058" s="2" t="s">
        <v>3417</v>
      </c>
      <c r="E1058" s="2" t="s">
        <v>3428</v>
      </c>
      <c r="F1058" s="2" t="s">
        <v>3429</v>
      </c>
      <c r="G1058" s="2" t="s">
        <v>3430</v>
      </c>
      <c r="H1058" s="7"/>
      <c r="I1058" s="2" t="s">
        <v>9</v>
      </c>
    </row>
    <row r="1059" spans="1:9" ht="52" x14ac:dyDescent="0.3">
      <c r="A1059" s="1" t="str">
        <f>HYPERLINK("https://ipmanager.doe.gov/IPManager//ExternalLink.aspx?6ibkph2k9yi6F%2B0Vz7YoTq6RR9BlGHHiKG39k59akGA%3D","Link")</f>
        <v>Link</v>
      </c>
      <c r="B1059" s="2" t="s">
        <v>3431</v>
      </c>
      <c r="C1059" s="2" t="s">
        <v>3416</v>
      </c>
      <c r="D1059" s="2" t="s">
        <v>3417</v>
      </c>
      <c r="E1059" s="2" t="s">
        <v>3425</v>
      </c>
      <c r="F1059" s="2" t="s">
        <v>3432</v>
      </c>
      <c r="G1059" s="2" t="s">
        <v>159</v>
      </c>
      <c r="H1059" s="7"/>
      <c r="I1059" s="2" t="s">
        <v>9</v>
      </c>
    </row>
    <row r="1060" spans="1:9" ht="52" x14ac:dyDescent="0.3">
      <c r="A1060" s="1" t="str">
        <f>HYPERLINK("https://ipmanager.doe.gov/IPManager//ExternalLink.aspx?6ibkph2k9yi6F%2B0Vz7YoTvPUg%2FVZPl3iSAVXxDxak%2Bg%3D","Link")</f>
        <v>Link</v>
      </c>
      <c r="B1060" s="2" t="s">
        <v>3493</v>
      </c>
      <c r="C1060" s="2" t="s">
        <v>3476</v>
      </c>
      <c r="D1060" s="2" t="s">
        <v>2233</v>
      </c>
      <c r="E1060" s="2" t="s">
        <v>3484</v>
      </c>
      <c r="F1060" s="2" t="s">
        <v>3487</v>
      </c>
      <c r="G1060" s="2" t="s">
        <v>3492</v>
      </c>
      <c r="H1060" s="8">
        <v>10063066</v>
      </c>
      <c r="I1060" s="2" t="s">
        <v>3494</v>
      </c>
    </row>
    <row r="1061" spans="1:9" ht="39" x14ac:dyDescent="0.3">
      <c r="A1061" s="1" t="str">
        <f>HYPERLINK("https://ipmanager.doe.gov/IPManager//ExternalLink.aspx?6ibkph2k9yi6F%2B0Vz7YoTkqAgjuWMa9QX952FZNSChQ%3D","Link")</f>
        <v>Link</v>
      </c>
      <c r="B1061" s="2" t="s">
        <v>5979</v>
      </c>
      <c r="C1061" s="2" t="s">
        <v>5980</v>
      </c>
      <c r="D1061" s="2" t="s">
        <v>5981</v>
      </c>
      <c r="E1061" s="2" t="s">
        <v>5982</v>
      </c>
      <c r="F1061" s="2" t="s">
        <v>5983</v>
      </c>
      <c r="G1061" s="2" t="s">
        <v>5984</v>
      </c>
      <c r="H1061" s="7"/>
      <c r="I1061" s="2" t="s">
        <v>9</v>
      </c>
    </row>
    <row r="1062" spans="1:9" ht="52" x14ac:dyDescent="0.3">
      <c r="A1062" s="1" t="str">
        <f>HYPERLINK("https://ipmanager.doe.gov/IPManager//ExternalLink.aspx?6ibkph2k9yi6F%2B0Vz7YoTipZ798QK%2BbPx6zp%2FwRt4K8%3D","Link")</f>
        <v>Link</v>
      </c>
      <c r="B1062" s="2" t="s">
        <v>3500</v>
      </c>
      <c r="C1062" s="2" t="s">
        <v>3496</v>
      </c>
      <c r="D1062" s="2" t="s">
        <v>1461</v>
      </c>
      <c r="E1062" s="2" t="s">
        <v>3501</v>
      </c>
      <c r="F1062" s="2" t="s">
        <v>3502</v>
      </c>
      <c r="G1062" s="2" t="s">
        <v>3503</v>
      </c>
      <c r="H1062" s="7" t="s">
        <v>3504</v>
      </c>
      <c r="I1062" s="2" t="s">
        <v>1830</v>
      </c>
    </row>
    <row r="1063" spans="1:9" ht="52" x14ac:dyDescent="0.3">
      <c r="A1063" s="1" t="str">
        <f>HYPERLINK("https://ipmanager.doe.gov/IPManager//ExternalLink.aspx?6ibkph2k9yi6F%2B0Vz7YoTvPUg%2FVZPl3i2wrXiQ398Z8%3D","Link")</f>
        <v>Link</v>
      </c>
      <c r="B1063" s="2" t="s">
        <v>2709</v>
      </c>
      <c r="C1063" s="2" t="s">
        <v>2697</v>
      </c>
      <c r="D1063" s="2" t="s">
        <v>12</v>
      </c>
      <c r="E1063" s="2" t="s">
        <v>2710</v>
      </c>
      <c r="F1063" s="2" t="s">
        <v>2711</v>
      </c>
      <c r="G1063" s="2" t="s">
        <v>2276</v>
      </c>
      <c r="H1063" s="7"/>
      <c r="I1063" s="2" t="s">
        <v>9</v>
      </c>
    </row>
    <row r="1064" spans="1:9" ht="39" x14ac:dyDescent="0.3">
      <c r="A1064" s="1" t="str">
        <f>HYPERLINK("https://ipmanager.doe.gov/IPManager//ExternalLink.aspx?6ibkph2k9yi6F%2B0Vz7YoTr7J5I%2BY4foYBPUVCY12SAI%3D","Link")</f>
        <v>Link</v>
      </c>
      <c r="B1064" s="2" t="s">
        <v>3508</v>
      </c>
      <c r="C1064" s="2" t="s">
        <v>3496</v>
      </c>
      <c r="D1064" s="2" t="s">
        <v>1461</v>
      </c>
      <c r="E1064" s="2" t="s">
        <v>3509</v>
      </c>
      <c r="F1064" s="2"/>
      <c r="G1064" s="2" t="s">
        <v>9</v>
      </c>
      <c r="H1064" s="7"/>
      <c r="I1064" s="2" t="s">
        <v>9</v>
      </c>
    </row>
    <row r="1065" spans="1:9" ht="39" x14ac:dyDescent="0.3">
      <c r="A1065" s="1" t="str">
        <f>HYPERLINK("https://ipmanager.doe.gov/IPManager//ExternalLink.aspx?6ibkph2k9yi6F%2B0Vz7YoTr7J5I%2BY4foYTwhw7lJHOWQ%3D","Link")</f>
        <v>Link</v>
      </c>
      <c r="B1065" s="2" t="s">
        <v>3510</v>
      </c>
      <c r="C1065" s="2" t="s">
        <v>3496</v>
      </c>
      <c r="D1065" s="2" t="s">
        <v>1461</v>
      </c>
      <c r="E1065" s="2" t="s">
        <v>3511</v>
      </c>
      <c r="F1065" s="2"/>
      <c r="G1065" s="2" t="s">
        <v>9</v>
      </c>
      <c r="H1065" s="7"/>
      <c r="I1065" s="2" t="s">
        <v>9</v>
      </c>
    </row>
    <row r="1066" spans="1:9" ht="52" x14ac:dyDescent="0.3">
      <c r="A1066" s="1" t="str">
        <f>HYPERLINK("https://ipmanager.doe.gov/IPManager//ExternalLink.aspx?6ibkph2k9yi6F%2B0Vz7YoTvPUg%2FVZPl3iRWhwhPAiGPQ%3D","Link")</f>
        <v>Link</v>
      </c>
      <c r="B1066" s="2" t="s">
        <v>2717</v>
      </c>
      <c r="C1066" s="2" t="s">
        <v>2697</v>
      </c>
      <c r="D1066" s="2" t="s">
        <v>12</v>
      </c>
      <c r="E1066" s="2" t="s">
        <v>2710</v>
      </c>
      <c r="F1066" s="2" t="s">
        <v>2713</v>
      </c>
      <c r="G1066" s="2" t="s">
        <v>2718</v>
      </c>
      <c r="H1066" s="7"/>
      <c r="I1066" s="2" t="s">
        <v>9</v>
      </c>
    </row>
    <row r="1067" spans="1:9" ht="39" x14ac:dyDescent="0.3">
      <c r="A1067" s="1" t="str">
        <f>HYPERLINK("https://ipmanager.doe.gov/IPManager//ExternalLink.aspx?6ibkph2k9yi6F%2B0Vz7YoTr7J5I%2BY4foYUdz%2B08INjlc%3D","Link")</f>
        <v>Link</v>
      </c>
      <c r="B1067" s="2" t="s">
        <v>3516</v>
      </c>
      <c r="C1067" s="2" t="s">
        <v>3496</v>
      </c>
      <c r="D1067" s="2" t="s">
        <v>1461</v>
      </c>
      <c r="E1067" s="2" t="s">
        <v>3513</v>
      </c>
      <c r="F1067" s="2" t="s">
        <v>3498</v>
      </c>
      <c r="G1067" s="2" t="s">
        <v>3499</v>
      </c>
      <c r="H1067" s="7" t="s">
        <v>3517</v>
      </c>
      <c r="I1067" s="2" t="s">
        <v>3518</v>
      </c>
    </row>
    <row r="1068" spans="1:9" ht="52" x14ac:dyDescent="0.3">
      <c r="A1068" s="1" t="str">
        <f>HYPERLINK("https://ipmanager.doe.gov/IPManager//ExternalLink.aspx?6ibkph2k9yi6F%2B0Vz7YoTipZ798QK%2BbPhW3v%2B%2FjwNQg%3D","Link")</f>
        <v>Link</v>
      </c>
      <c r="B1068" s="2" t="s">
        <v>3519</v>
      </c>
      <c r="C1068" s="2" t="s">
        <v>3496</v>
      </c>
      <c r="D1068" s="2" t="s">
        <v>1461</v>
      </c>
      <c r="E1068" s="2" t="s">
        <v>3520</v>
      </c>
      <c r="F1068" s="2"/>
      <c r="G1068" s="2" t="s">
        <v>9</v>
      </c>
      <c r="H1068" s="7"/>
      <c r="I1068" s="2" t="s">
        <v>9</v>
      </c>
    </row>
    <row r="1069" spans="1:9" ht="52" x14ac:dyDescent="0.3">
      <c r="A1069" s="1" t="str">
        <f>HYPERLINK("https://ipmanager.doe.gov/IPManager//ExternalLink.aspx?6ibkph2k9yi6F%2B0Vz7YoTsTAnuFk5EoAE80LiGlEQuI%3D","Link")</f>
        <v>Link</v>
      </c>
      <c r="B1069" s="2" t="s">
        <v>3522</v>
      </c>
      <c r="C1069" s="2" t="s">
        <v>3523</v>
      </c>
      <c r="D1069" s="2" t="s">
        <v>1891</v>
      </c>
      <c r="E1069" s="2" t="s">
        <v>3524</v>
      </c>
      <c r="F1069" s="2"/>
      <c r="G1069" s="2" t="s">
        <v>9</v>
      </c>
      <c r="H1069" s="7"/>
      <c r="I1069" s="2" t="s">
        <v>9</v>
      </c>
    </row>
    <row r="1070" spans="1:9" ht="91" x14ac:dyDescent="0.3">
      <c r="A1070" s="1" t="str">
        <f>HYPERLINK("https://ipmanager.doe.gov/IPManager//ExternalLink.aspx?6ibkph2k9yi6F%2B0Vz7YoTjnDGhmGHGI7Lr3WahpAzm4%3D","Link")</f>
        <v>Link</v>
      </c>
      <c r="B1070" s="2" t="s">
        <v>2922</v>
      </c>
      <c r="C1070" s="2" t="s">
        <v>2923</v>
      </c>
      <c r="D1070" s="2" t="s">
        <v>12</v>
      </c>
      <c r="E1070" s="2" t="s">
        <v>2924</v>
      </c>
      <c r="F1070" s="2" t="s">
        <v>2925</v>
      </c>
      <c r="G1070" s="2" t="s">
        <v>2926</v>
      </c>
      <c r="H1070" s="7"/>
      <c r="I1070" s="2" t="s">
        <v>9</v>
      </c>
    </row>
    <row r="1071" spans="1:9" ht="52" x14ac:dyDescent="0.3">
      <c r="A1071" s="1" t="str">
        <f>HYPERLINK("https://ipmanager.doe.gov/IPManager//ExternalLink.aspx?6ibkph2k9yi6F%2B0Vz7YoTipZ798QK%2BbPxSHn5sap3Ng%3D","Link")</f>
        <v>Link</v>
      </c>
      <c r="B1071" s="2" t="s">
        <v>3531</v>
      </c>
      <c r="C1071" s="2" t="s">
        <v>3526</v>
      </c>
      <c r="D1071" s="2" t="s">
        <v>3527</v>
      </c>
      <c r="E1071" s="2" t="s">
        <v>3532</v>
      </c>
      <c r="F1071" s="2"/>
      <c r="G1071" s="2" t="s">
        <v>9</v>
      </c>
      <c r="H1071" s="7"/>
      <c r="I1071" s="2" t="s">
        <v>9</v>
      </c>
    </row>
    <row r="1072" spans="1:9" ht="52" x14ac:dyDescent="0.3">
      <c r="A1072" s="1" t="str">
        <f>HYPERLINK("https://ipmanager.doe.gov/IPManager//ExternalLink.aspx?6ibkph2k9yi6F%2B0Vz7YoTk2BI6w%2FjZ2fUhcm5b3LU38%3D","Link")</f>
        <v>Link</v>
      </c>
      <c r="B1072" s="2" t="s">
        <v>3533</v>
      </c>
      <c r="C1072" s="2" t="s">
        <v>3526</v>
      </c>
      <c r="D1072" s="2" t="s">
        <v>3527</v>
      </c>
      <c r="E1072" s="2" t="s">
        <v>3534</v>
      </c>
      <c r="F1072" s="2"/>
      <c r="G1072" s="2" t="s">
        <v>9</v>
      </c>
      <c r="H1072" s="7"/>
      <c r="I1072" s="2" t="s">
        <v>9</v>
      </c>
    </row>
    <row r="1073" spans="1:9" ht="26" x14ac:dyDescent="0.3">
      <c r="A1073" s="1" t="str">
        <f>HYPERLINK("https://ipmanager.doe.gov/IPManager//ExternalLink.aspx?6ibkph2k9yi6F%2B0Vz7YoTjnDGhmGHGI7zfHBCuMoBx4%3D","Link")</f>
        <v>Link</v>
      </c>
      <c r="B1073" s="2" t="s">
        <v>2927</v>
      </c>
      <c r="C1073" s="2" t="s">
        <v>2923</v>
      </c>
      <c r="D1073" s="2" t="s">
        <v>12</v>
      </c>
      <c r="E1073" s="2" t="s">
        <v>2928</v>
      </c>
      <c r="F1073" s="2" t="s">
        <v>7636</v>
      </c>
      <c r="G1073" s="2" t="s">
        <v>9</v>
      </c>
      <c r="H1073" s="7"/>
      <c r="I1073" s="2" t="s">
        <v>9</v>
      </c>
    </row>
    <row r="1074" spans="1:9" ht="65" x14ac:dyDescent="0.3">
      <c r="A1074" s="1" t="str">
        <f>HYPERLINK("https://ipmanager.doe.gov/IPManager//ExternalLink.aspx?6ibkph2k9yi6F%2B0Vz7YoTo7DPLa3%2F%2FGgzp1SRFMFWN8%3D","Link")</f>
        <v>Link</v>
      </c>
      <c r="B1074" s="2" t="s">
        <v>2929</v>
      </c>
      <c r="C1074" s="2" t="s">
        <v>2923</v>
      </c>
      <c r="D1074" s="2" t="s">
        <v>12</v>
      </c>
      <c r="E1074" s="2" t="s">
        <v>2930</v>
      </c>
      <c r="F1074" s="2" t="s">
        <v>2931</v>
      </c>
      <c r="G1074" s="2" t="s">
        <v>2932</v>
      </c>
      <c r="H1074" s="7"/>
      <c r="I1074" s="2" t="s">
        <v>9</v>
      </c>
    </row>
    <row r="1075" spans="1:9" ht="39" x14ac:dyDescent="0.3">
      <c r="A1075" s="1" t="str">
        <f>HYPERLINK("https://ipmanager.doe.gov/IPManager//ExternalLink.aspx?6ibkph2k9yi6F%2B0Vz7YoTvPUg%2FVZPl3i50Ej4xLv%2FuI%3D","Link")</f>
        <v>Link</v>
      </c>
      <c r="B1075" s="2" t="s">
        <v>3544</v>
      </c>
      <c r="C1075" s="2" t="s">
        <v>3526</v>
      </c>
      <c r="D1075" s="2" t="s">
        <v>3527</v>
      </c>
      <c r="E1075" s="2" t="s">
        <v>3545</v>
      </c>
      <c r="F1075" s="2" t="s">
        <v>3546</v>
      </c>
      <c r="G1075" s="2" t="s">
        <v>3547</v>
      </c>
      <c r="H1075" s="8">
        <v>9553465</v>
      </c>
      <c r="I1075" s="2" t="s">
        <v>3548</v>
      </c>
    </row>
    <row r="1076" spans="1:9" ht="78" x14ac:dyDescent="0.3">
      <c r="A1076" s="1" t="str">
        <f>HYPERLINK("https://ipmanager.doe.gov/IPManager//ExternalLink.aspx?6ibkph2k9yi6F%2B0Vz7YoTq6RR9BlGHHiSD5x%2B%2BQR%2FKM%3D","Link")</f>
        <v>Link</v>
      </c>
      <c r="B1076" s="2" t="s">
        <v>3549</v>
      </c>
      <c r="C1076" s="2" t="s">
        <v>3526</v>
      </c>
      <c r="D1076" s="2" t="s">
        <v>3527</v>
      </c>
      <c r="E1076" s="2" t="s">
        <v>3550</v>
      </c>
      <c r="F1076" s="2" t="s">
        <v>3551</v>
      </c>
      <c r="G1076" s="2" t="s">
        <v>2885</v>
      </c>
      <c r="H1076" s="7" t="s">
        <v>3552</v>
      </c>
      <c r="I1076" s="2" t="s">
        <v>1965</v>
      </c>
    </row>
    <row r="1077" spans="1:9" ht="65" x14ac:dyDescent="0.3">
      <c r="A1077" s="1" t="str">
        <f>HYPERLINK("https://ipmanager.doe.gov/IPManager//ExternalLink.aspx?6ibkph2k9yi6F%2B0Vz7YoTjnDGhmGHGI77rbGggXZ7CQ%3D","Link")</f>
        <v>Link</v>
      </c>
      <c r="B1077" s="2" t="s">
        <v>2922</v>
      </c>
      <c r="C1077" s="2" t="s">
        <v>2923</v>
      </c>
      <c r="D1077" s="2" t="s">
        <v>12</v>
      </c>
      <c r="E1077" s="2" t="s">
        <v>2930</v>
      </c>
      <c r="F1077" s="2" t="s">
        <v>2925</v>
      </c>
      <c r="G1077" s="2" t="s">
        <v>2926</v>
      </c>
      <c r="H1077" s="7"/>
      <c r="I1077" s="2" t="s">
        <v>9</v>
      </c>
    </row>
    <row r="1078" spans="1:9" ht="26" x14ac:dyDescent="0.3">
      <c r="A1078" s="1" t="str">
        <f>HYPERLINK("https://ipmanager.doe.gov/IPManager//ExternalLink.aspx?6ibkph2k9yi6F%2B0Vz7YoTjnDGhmGHGI7jqpRKL5o5rY%3D","Link")</f>
        <v>Link</v>
      </c>
      <c r="B1078" s="2" t="s">
        <v>3556</v>
      </c>
      <c r="C1078" s="2" t="s">
        <v>3526</v>
      </c>
      <c r="D1078" s="2" t="s">
        <v>3527</v>
      </c>
      <c r="E1078" s="2" t="s">
        <v>3557</v>
      </c>
      <c r="F1078" s="2" t="s">
        <v>3558</v>
      </c>
      <c r="G1078" s="2" t="s">
        <v>3559</v>
      </c>
      <c r="H1078" s="7">
        <v>9677916</v>
      </c>
      <c r="I1078" s="2" t="s">
        <v>1329</v>
      </c>
    </row>
    <row r="1079" spans="1:9" ht="65" x14ac:dyDescent="0.3">
      <c r="A1079" s="1" t="str">
        <f>HYPERLINK("https://ipmanager.doe.gov/IPManager//ExternalLink.aspx?6ibkph2k9yi6F%2B0Vz7YoTjnDGhmGHGI73pu2xUqhRzM%3D","Link")</f>
        <v>Link</v>
      </c>
      <c r="B1079" s="2" t="s">
        <v>3560</v>
      </c>
      <c r="C1079" s="2" t="s">
        <v>3526</v>
      </c>
      <c r="D1079" s="2" t="s">
        <v>3527</v>
      </c>
      <c r="E1079" s="2" t="s">
        <v>3561</v>
      </c>
      <c r="F1079" s="2" t="s">
        <v>3529</v>
      </c>
      <c r="G1079" s="2" t="s">
        <v>2885</v>
      </c>
      <c r="H1079" s="7" t="s">
        <v>3562</v>
      </c>
      <c r="I1079" s="2" t="s">
        <v>447</v>
      </c>
    </row>
    <row r="1080" spans="1:9" ht="52" x14ac:dyDescent="0.3">
      <c r="A1080" s="1" t="str">
        <f>HYPERLINK("https://ipmanager.doe.gov/IPManager//ExternalLink.aspx?6ibkph2k9yi6F%2B0Vz7YoTvE8yjoHgvp6vweunzzCmzk%3D","Link")</f>
        <v>Link</v>
      </c>
      <c r="B1080" s="2" t="s">
        <v>7289</v>
      </c>
      <c r="C1080" s="2" t="s">
        <v>7290</v>
      </c>
      <c r="D1080" s="2" t="s">
        <v>12</v>
      </c>
      <c r="E1080" s="2" t="s">
        <v>7291</v>
      </c>
      <c r="F1080" s="2" t="s">
        <v>7292</v>
      </c>
      <c r="G1080" s="2" t="s">
        <v>7293</v>
      </c>
      <c r="H1080" s="7"/>
      <c r="I1080" s="2" t="s">
        <v>9</v>
      </c>
    </row>
    <row r="1081" spans="1:9" ht="52" x14ac:dyDescent="0.3">
      <c r="A1081" s="1" t="str">
        <f>HYPERLINK("https://ipmanager.doe.gov/IPManager//ExternalLink.aspx?6ibkph2k9yi6F%2B0Vz7YoTjnDGhmGHGI7WrVY6%2B8Dj8U%3D","Link")</f>
        <v>Link</v>
      </c>
      <c r="B1081" s="2" t="s">
        <v>3566</v>
      </c>
      <c r="C1081" s="2" t="s">
        <v>3526</v>
      </c>
      <c r="D1081" s="2" t="s">
        <v>3527</v>
      </c>
      <c r="E1081" s="2" t="s">
        <v>3567</v>
      </c>
      <c r="F1081" s="2" t="s">
        <v>3568</v>
      </c>
      <c r="G1081" s="2" t="s">
        <v>3569</v>
      </c>
      <c r="H1081" s="7" t="s">
        <v>3570</v>
      </c>
      <c r="I1081" s="2" t="s">
        <v>1642</v>
      </c>
    </row>
    <row r="1082" spans="1:9" ht="52" x14ac:dyDescent="0.3">
      <c r="A1082" s="1" t="str">
        <f>HYPERLINK("https://ipmanager.doe.gov/IPManager//ExternalLink.aspx?6ibkph2k9yi6F%2B0Vz7YoTgZwfmYxrNyKcDstH%2F4ggiY%3D","Link")</f>
        <v>Link</v>
      </c>
      <c r="B1082" s="2" t="s">
        <v>5329</v>
      </c>
      <c r="C1082" s="2" t="s">
        <v>5330</v>
      </c>
      <c r="D1082" s="2" t="s">
        <v>5331</v>
      </c>
      <c r="E1082" s="2" t="s">
        <v>5332</v>
      </c>
      <c r="F1082" s="2" t="s">
        <v>5333</v>
      </c>
      <c r="G1082" s="2" t="s">
        <v>2784</v>
      </c>
      <c r="H1082" s="7"/>
      <c r="I1082" s="2" t="s">
        <v>9</v>
      </c>
    </row>
    <row r="1083" spans="1:9" ht="78" x14ac:dyDescent="0.3">
      <c r="A1083" s="1" t="str">
        <f>HYPERLINK("https://ipmanager.doe.gov/IPManager//ExternalLink.aspx?6ibkph2k9yi6F%2B0Vz7YoTjnDGhmGHGI7JifeylI9IfM%3D","Link")</f>
        <v>Link</v>
      </c>
      <c r="B1083" s="2" t="s">
        <v>3575</v>
      </c>
      <c r="C1083" s="2" t="s">
        <v>3526</v>
      </c>
      <c r="D1083" s="2" t="s">
        <v>3527</v>
      </c>
      <c r="E1083" s="2" t="s">
        <v>3576</v>
      </c>
      <c r="F1083" s="2" t="s">
        <v>3529</v>
      </c>
      <c r="G1083" s="2" t="s">
        <v>2885</v>
      </c>
      <c r="H1083" s="8">
        <v>9209494</v>
      </c>
      <c r="I1083" s="2" t="s">
        <v>447</v>
      </c>
    </row>
    <row r="1084" spans="1:9" ht="91" x14ac:dyDescent="0.3">
      <c r="A1084" s="1" t="str">
        <f>HYPERLINK("https://ipmanager.doe.gov/IPManager//ExternalLink.aspx?6ibkph2k9yi6F%2B0Vz7YoTgZwfmYxrNyKfeADsLlXKrI%3D","Link")</f>
        <v>Link</v>
      </c>
      <c r="B1084" s="2" t="s">
        <v>3577</v>
      </c>
      <c r="C1084" s="2" t="s">
        <v>3526</v>
      </c>
      <c r="D1084" s="2" t="s">
        <v>3527</v>
      </c>
      <c r="E1084" s="2" t="s">
        <v>3578</v>
      </c>
      <c r="F1084" s="2"/>
      <c r="G1084" s="2" t="s">
        <v>9</v>
      </c>
      <c r="H1084" s="7"/>
      <c r="I1084" s="2" t="s">
        <v>9</v>
      </c>
    </row>
    <row r="1085" spans="1:9" ht="65" x14ac:dyDescent="0.3">
      <c r="A1085" s="1" t="str">
        <f>HYPERLINK("https://ipmanager.doe.gov/IPManager//ExternalLink.aspx?6ibkph2k9yi6F%2B0Vz7YoTk2BI6w%2FjZ2fjyyyhfSJnCQ%3D","Link")</f>
        <v>Link</v>
      </c>
      <c r="B1085" s="2" t="s">
        <v>3579</v>
      </c>
      <c r="C1085" s="2" t="s">
        <v>3526</v>
      </c>
      <c r="D1085" s="2" t="s">
        <v>3527</v>
      </c>
      <c r="E1085" s="2" t="s">
        <v>3580</v>
      </c>
      <c r="F1085" s="2"/>
      <c r="G1085" s="2" t="s">
        <v>9</v>
      </c>
      <c r="H1085" s="7"/>
      <c r="I1085" s="2" t="s">
        <v>9</v>
      </c>
    </row>
    <row r="1086" spans="1:9" ht="26" x14ac:dyDescent="0.3">
      <c r="A1086" s="1" t="str">
        <f>HYPERLINK("https://ipmanager.doe.gov/IPManager//ExternalLink.aspx?6ibkph2k9yi6F%2B0Vz7YoTq6RR9BlGHHib4g%2BEDxMmy4%3D","Link")</f>
        <v>Link</v>
      </c>
      <c r="B1086" s="2" t="s">
        <v>5191</v>
      </c>
      <c r="C1086" s="2" t="s">
        <v>5192</v>
      </c>
      <c r="D1086" s="2" t="s">
        <v>5193</v>
      </c>
      <c r="E1086" s="2" t="s">
        <v>5194</v>
      </c>
      <c r="F1086" s="2" t="s">
        <v>5195</v>
      </c>
      <c r="G1086" s="2" t="s">
        <v>1795</v>
      </c>
      <c r="H1086" s="7"/>
      <c r="I1086" s="2" t="s">
        <v>9</v>
      </c>
    </row>
    <row r="1087" spans="1:9" ht="52" x14ac:dyDescent="0.3">
      <c r="A1087" s="1" t="str">
        <f>HYPERLINK("https://ipmanager.doe.gov/IPManager//ExternalLink.aspx?6ibkph2k9yi6F%2B0Vz7YoTo7DPLa3%2F%2FGgVVaZBQSMVeI%3D","Link")</f>
        <v>Link</v>
      </c>
      <c r="B1087" s="2" t="s">
        <v>5201</v>
      </c>
      <c r="C1087" s="2" t="s">
        <v>5192</v>
      </c>
      <c r="D1087" s="2" t="s">
        <v>5193</v>
      </c>
      <c r="E1087" s="2" t="s">
        <v>5202</v>
      </c>
      <c r="F1087" s="2" t="s">
        <v>5203</v>
      </c>
      <c r="G1087" s="2" t="s">
        <v>5204</v>
      </c>
      <c r="H1087" s="7"/>
      <c r="I1087" s="2" t="s">
        <v>9</v>
      </c>
    </row>
    <row r="1088" spans="1:9" ht="52" x14ac:dyDescent="0.3">
      <c r="A1088" s="1" t="str">
        <f>HYPERLINK("https://ipmanager.doe.gov/IPManager//ExternalLink.aspx?6ibkph2k9yi6F%2B0Vz7YoTo7DPLa3%2F%2FGgjMtic9B1hK8%3D","Link")</f>
        <v>Link</v>
      </c>
      <c r="B1088" s="2" t="s">
        <v>5206</v>
      </c>
      <c r="C1088" s="2" t="s">
        <v>5192</v>
      </c>
      <c r="D1088" s="2" t="s">
        <v>5193</v>
      </c>
      <c r="E1088" s="2" t="s">
        <v>5202</v>
      </c>
      <c r="F1088" s="2" t="s">
        <v>5207</v>
      </c>
      <c r="G1088" s="2" t="s">
        <v>1966</v>
      </c>
      <c r="H1088" s="7"/>
      <c r="I1088" s="2" t="s">
        <v>9</v>
      </c>
    </row>
    <row r="1089" spans="1:9" ht="39" x14ac:dyDescent="0.3">
      <c r="A1089" s="1" t="str">
        <f>HYPERLINK("https://ipmanager.doe.gov/IPManager//ExternalLink.aspx?6ibkph2k9yi6F%2B0Vz7YoTvPUg%2FVZPl3iV3jy8G1pA6E%3D","Link")</f>
        <v>Link</v>
      </c>
      <c r="B1089" s="2" t="s">
        <v>5213</v>
      </c>
      <c r="C1089" s="2" t="s">
        <v>5192</v>
      </c>
      <c r="D1089" s="2" t="s">
        <v>5193</v>
      </c>
      <c r="E1089" s="2" t="s">
        <v>5197</v>
      </c>
      <c r="F1089" s="2" t="s">
        <v>5214</v>
      </c>
      <c r="G1089" s="2" t="s">
        <v>3125</v>
      </c>
      <c r="H1089" s="7"/>
      <c r="I1089" s="2" t="s">
        <v>9</v>
      </c>
    </row>
    <row r="1090" spans="1:9" ht="39" x14ac:dyDescent="0.3">
      <c r="A1090" s="1" t="str">
        <f>HYPERLINK("https://ipmanager.doe.gov/IPManager//ExternalLink.aspx?6ibkph2k9yi6F%2B0Vz7YoTq6RR9BlGHHijzl1r1wTDV0%3D","Link")</f>
        <v>Link</v>
      </c>
      <c r="B1090" s="2" t="s">
        <v>3596</v>
      </c>
      <c r="C1090" s="2" t="s">
        <v>3582</v>
      </c>
      <c r="D1090" s="2" t="s">
        <v>3583</v>
      </c>
      <c r="E1090" s="2" t="s">
        <v>3584</v>
      </c>
      <c r="F1090" s="2"/>
      <c r="G1090" s="2" t="s">
        <v>9</v>
      </c>
      <c r="H1090" s="7"/>
      <c r="I1090" s="2" t="s">
        <v>9</v>
      </c>
    </row>
    <row r="1091" spans="1:9" ht="39" x14ac:dyDescent="0.3">
      <c r="A1091" s="1" t="str">
        <f>HYPERLINK("https://ipmanager.doe.gov/IPManager//ExternalLink.aspx?6ibkph2k9yi6F%2B0Vz7YoTvPUg%2FVZPl3iSOZx5%2BpqprA%3D","Link")</f>
        <v>Link</v>
      </c>
      <c r="B1091" s="2" t="s">
        <v>5218</v>
      </c>
      <c r="C1091" s="2" t="s">
        <v>5192</v>
      </c>
      <c r="D1091" s="2" t="s">
        <v>5193</v>
      </c>
      <c r="E1091" s="2" t="s">
        <v>5197</v>
      </c>
      <c r="F1091" s="2" t="s">
        <v>5219</v>
      </c>
      <c r="G1091" s="2" t="s">
        <v>3465</v>
      </c>
      <c r="H1091" s="7"/>
      <c r="I1091" s="2" t="s">
        <v>9</v>
      </c>
    </row>
    <row r="1092" spans="1:9" ht="26" x14ac:dyDescent="0.3">
      <c r="A1092" s="1" t="str">
        <f>HYPERLINK("https://ipmanager.doe.gov/IPManager//ExternalLink.aspx?6ibkph2k9yi6F%2B0Vz7YoTp68px7nSN2gtdsXqpMgsUA%3D","Link")</f>
        <v>Link</v>
      </c>
      <c r="B1092" s="2" t="s">
        <v>6623</v>
      </c>
      <c r="C1092" s="2" t="s">
        <v>6624</v>
      </c>
      <c r="D1092" s="2" t="s">
        <v>6625</v>
      </c>
      <c r="E1092" s="2" t="s">
        <v>6626</v>
      </c>
      <c r="F1092" s="2" t="s">
        <v>6627</v>
      </c>
      <c r="G1092" s="2" t="s">
        <v>6628</v>
      </c>
      <c r="H1092" s="7"/>
      <c r="I1092" s="2" t="s">
        <v>9</v>
      </c>
    </row>
    <row r="1093" spans="1:9" ht="39" x14ac:dyDescent="0.3">
      <c r="A1093" s="1" t="str">
        <f>HYPERLINK("https://ipmanager.doe.gov/IPManager//ExternalLink.aspx?6ibkph2k9yi6F%2B0Vz7YoTipZ798QK%2BbPuwn1cBnCN9U%3D","Link")</f>
        <v>Link</v>
      </c>
      <c r="B1093" s="2" t="s">
        <v>3606</v>
      </c>
      <c r="C1093" s="2" t="s">
        <v>3582</v>
      </c>
      <c r="D1093" s="2" t="s">
        <v>3583</v>
      </c>
      <c r="E1093" s="2" t="s">
        <v>3607</v>
      </c>
      <c r="F1093" s="2"/>
      <c r="G1093" s="2" t="s">
        <v>9</v>
      </c>
      <c r="H1093" s="7"/>
      <c r="I1093" s="2" t="s">
        <v>9</v>
      </c>
    </row>
    <row r="1094" spans="1:9" ht="52" x14ac:dyDescent="0.3">
      <c r="A1094" s="1" t="str">
        <f>HYPERLINK("https://ipmanager.doe.gov/IPManager//ExternalLink.aspx?6ibkph2k9yi6F%2B0Vz7YoTq6RR9BlGHHijjmGuFgC4xY%3D","Link")</f>
        <v>Link</v>
      </c>
      <c r="B1094" s="2" t="s">
        <v>3608</v>
      </c>
      <c r="C1094" s="2" t="s">
        <v>3609</v>
      </c>
      <c r="D1094" s="2" t="s">
        <v>3610</v>
      </c>
      <c r="E1094" s="2" t="s">
        <v>3611</v>
      </c>
      <c r="F1094" s="2"/>
      <c r="G1094" s="2" t="s">
        <v>9</v>
      </c>
      <c r="H1094" s="7"/>
      <c r="I1094" s="2" t="s">
        <v>9</v>
      </c>
    </row>
    <row r="1095" spans="1:9" ht="52" x14ac:dyDescent="0.3">
      <c r="A1095" s="1" t="str">
        <f>HYPERLINK("https://ipmanager.doe.gov/IPManager//ExternalLink.aspx?6ibkph2k9yi6F%2B0Vz7YoTo7DPLa3%2F%2FGg0KmvEA%2B9JFk%3D","Link")</f>
        <v>Link</v>
      </c>
      <c r="B1095" s="2" t="s">
        <v>3612</v>
      </c>
      <c r="C1095" s="2" t="s">
        <v>3609</v>
      </c>
      <c r="D1095" s="2" t="s">
        <v>3610</v>
      </c>
      <c r="E1095" s="2" t="s">
        <v>3613</v>
      </c>
      <c r="F1095" s="2" t="s">
        <v>3614</v>
      </c>
      <c r="G1095" s="2" t="s">
        <v>1642</v>
      </c>
      <c r="H1095" s="7"/>
      <c r="I1095" s="2" t="s">
        <v>9</v>
      </c>
    </row>
    <row r="1096" spans="1:9" ht="52" x14ac:dyDescent="0.3">
      <c r="A1096" s="1" t="str">
        <f>HYPERLINK("https://ipmanager.doe.gov/IPManager//ExternalLink.aspx?6ibkph2k9yi6F%2B0Vz7YoTjnDGhmGHGI7dA1vh1ETLeU%3D","Link")</f>
        <v>Link</v>
      </c>
      <c r="B1096" s="2" t="s">
        <v>3615</v>
      </c>
      <c r="C1096" s="2" t="s">
        <v>3609</v>
      </c>
      <c r="D1096" s="2" t="s">
        <v>3610</v>
      </c>
      <c r="E1096" s="2" t="s">
        <v>3616</v>
      </c>
      <c r="F1096" s="2" t="s">
        <v>3617</v>
      </c>
      <c r="G1096" s="2" t="s">
        <v>3618</v>
      </c>
      <c r="H1096" s="7"/>
      <c r="I1096" s="2" t="s">
        <v>9</v>
      </c>
    </row>
    <row r="1097" spans="1:9" ht="26" x14ac:dyDescent="0.3">
      <c r="A1097" s="1" t="str">
        <f>HYPERLINK("https://ipmanager.doe.gov/IPManager//ExternalLink.aspx?6ibkph2k9yi6F%2B0Vz7YoTjnDGhmGHGI7vK7XRMmDT18%3D","Link")</f>
        <v>Link</v>
      </c>
      <c r="B1097" s="2" t="s">
        <v>3620</v>
      </c>
      <c r="C1097" s="2" t="s">
        <v>3621</v>
      </c>
      <c r="D1097" s="2" t="s">
        <v>1933</v>
      </c>
      <c r="E1097" s="2" t="s">
        <v>3622</v>
      </c>
      <c r="F1097" s="2" t="s">
        <v>3623</v>
      </c>
      <c r="G1097" s="2" t="s">
        <v>280</v>
      </c>
      <c r="H1097" s="7" t="s">
        <v>3624</v>
      </c>
      <c r="I1097" s="2" t="s">
        <v>2716</v>
      </c>
    </row>
    <row r="1098" spans="1:9" ht="65" x14ac:dyDescent="0.3">
      <c r="A1098" s="1" t="str">
        <f>HYPERLINK("https://ipmanager.doe.gov/IPManager//ExternalLink.aspx?6ibkph2k9yi6F%2B0Vz7YoTlNm8snv%2FZpH5ZwVizAMVVY%3D","Link")</f>
        <v>Link</v>
      </c>
      <c r="B1098" s="2" t="s">
        <v>3626</v>
      </c>
      <c r="C1098" s="2" t="s">
        <v>3621</v>
      </c>
      <c r="D1098" s="2" t="s">
        <v>1933</v>
      </c>
      <c r="E1098" s="2" t="s">
        <v>3627</v>
      </c>
      <c r="F1098" s="2" t="s">
        <v>3628</v>
      </c>
      <c r="G1098" s="2" t="s">
        <v>3629</v>
      </c>
      <c r="H1098" s="7" t="s">
        <v>3630</v>
      </c>
      <c r="I1098" s="2" t="s">
        <v>3631</v>
      </c>
    </row>
    <row r="1099" spans="1:9" ht="39" x14ac:dyDescent="0.3">
      <c r="A1099" s="1" t="str">
        <f>HYPERLINK("https://ipmanager.doe.gov/IPManager//ExternalLink.aspx?6ibkph2k9yi6F%2B0Vz7YoTlNm8snv%2FZpHTUoIbX%2BQpTI%3D","Link")</f>
        <v>Link</v>
      </c>
      <c r="B1099" s="2" t="s">
        <v>2206</v>
      </c>
      <c r="C1099" s="2" t="s">
        <v>2207</v>
      </c>
      <c r="D1099" s="2" t="s">
        <v>2208</v>
      </c>
      <c r="E1099" s="2" t="s">
        <v>2209</v>
      </c>
      <c r="F1099" s="2" t="s">
        <v>7637</v>
      </c>
      <c r="G1099" s="2" t="s">
        <v>2210</v>
      </c>
      <c r="H1099" s="7"/>
      <c r="I1099" s="2" t="s">
        <v>9</v>
      </c>
    </row>
    <row r="1100" spans="1:9" ht="52" x14ac:dyDescent="0.3">
      <c r="A1100" s="1" t="str">
        <f>HYPERLINK("https://ipmanager.doe.gov/IPManager//ExternalLink.aspx?6ibkph2k9yi6F%2B0Vz7YoTvE8yjoHgvp6wt3m0vaxCA0%3D","Link")</f>
        <v>Link</v>
      </c>
      <c r="B1100" s="2" t="s">
        <v>7184</v>
      </c>
      <c r="C1100" s="2" t="s">
        <v>7185</v>
      </c>
      <c r="D1100" s="2" t="s">
        <v>7186</v>
      </c>
      <c r="E1100" s="2" t="s">
        <v>7187</v>
      </c>
      <c r="F1100" s="2" t="s">
        <v>7188</v>
      </c>
      <c r="G1100" s="2" t="s">
        <v>5629</v>
      </c>
      <c r="H1100" s="7"/>
      <c r="I1100" s="2" t="s">
        <v>9</v>
      </c>
    </row>
    <row r="1101" spans="1:9" ht="26" x14ac:dyDescent="0.3">
      <c r="A1101" s="1" t="str">
        <f>HYPERLINK("https://ipmanager.doe.gov/IPManager//ExternalLink.aspx?6ibkph2k9yi6F%2B0Vz7YoTq6RR9BlGHHiYdoIsbkpeDs%3D","Link")</f>
        <v>Link</v>
      </c>
      <c r="B1101" s="2" t="s">
        <v>3638</v>
      </c>
      <c r="C1101" s="2" t="s">
        <v>3621</v>
      </c>
      <c r="D1101" s="2" t="s">
        <v>1933</v>
      </c>
      <c r="E1101" s="2" t="s">
        <v>3622</v>
      </c>
      <c r="F1101" s="2" t="s">
        <v>3639</v>
      </c>
      <c r="G1101" s="2" t="s">
        <v>280</v>
      </c>
      <c r="H1101" s="7" t="s">
        <v>3640</v>
      </c>
      <c r="I1101" s="2" t="s">
        <v>3641</v>
      </c>
    </row>
    <row r="1102" spans="1:9" ht="39" x14ac:dyDescent="0.3">
      <c r="A1102" s="1" t="str">
        <f>HYPERLINK("https://ipmanager.doe.gov/IPManager//ExternalLink.aspx?6ibkph2k9yi6F%2B0Vz7YoTgZwfmYxrNyKWG9IwDJzjzo%3D","Link")</f>
        <v>Link</v>
      </c>
      <c r="B1102" s="2" t="s">
        <v>2785</v>
      </c>
      <c r="C1102" s="2" t="s">
        <v>2786</v>
      </c>
      <c r="D1102" s="2" t="s">
        <v>154</v>
      </c>
      <c r="E1102" s="2" t="s">
        <v>2787</v>
      </c>
      <c r="F1102" s="2" t="s">
        <v>2788</v>
      </c>
      <c r="G1102" s="2" t="s">
        <v>2789</v>
      </c>
      <c r="H1102" s="7"/>
      <c r="I1102" s="2" t="s">
        <v>9</v>
      </c>
    </row>
    <row r="1103" spans="1:9" ht="104" x14ac:dyDescent="0.3">
      <c r="A1103" s="1" t="str">
        <f>HYPERLINK("https://ipmanager.doe.gov/IPManager//ExternalLink.aspx?6ibkph2k9yi6F%2B0Vz7YoTipZ798QK%2BbP3xl5crPRO9s%3D","Link")</f>
        <v>Link</v>
      </c>
      <c r="B1103" s="2" t="s">
        <v>2791</v>
      </c>
      <c r="C1103" s="2" t="s">
        <v>2786</v>
      </c>
      <c r="D1103" s="2" t="s">
        <v>154</v>
      </c>
      <c r="E1103" s="2" t="s">
        <v>2792</v>
      </c>
      <c r="F1103" s="2" t="s">
        <v>2793</v>
      </c>
      <c r="G1103" s="2" t="s">
        <v>2794</v>
      </c>
      <c r="H1103" s="7"/>
      <c r="I1103" s="2" t="s">
        <v>9</v>
      </c>
    </row>
    <row r="1104" spans="1:9" ht="78" x14ac:dyDescent="0.3">
      <c r="A1104" s="1" t="str">
        <f>HYPERLINK("https://ipmanager.doe.gov/IPManager//ExternalLink.aspx?6ibkph2k9yi6F%2B0Vz7YoTjnDGhmGHGI7JCubjlOY2yA%3D","Link")</f>
        <v>Link</v>
      </c>
      <c r="B1104" s="2" t="s">
        <v>2795</v>
      </c>
      <c r="C1104" s="2" t="s">
        <v>2786</v>
      </c>
      <c r="D1104" s="2" t="s">
        <v>154</v>
      </c>
      <c r="E1104" s="2" t="s">
        <v>2796</v>
      </c>
      <c r="F1104" s="2" t="s">
        <v>2797</v>
      </c>
      <c r="G1104" s="2" t="s">
        <v>249</v>
      </c>
      <c r="H1104" s="7"/>
      <c r="I1104" s="2" t="s">
        <v>9</v>
      </c>
    </row>
    <row r="1105" spans="1:9" ht="39" x14ac:dyDescent="0.3">
      <c r="A1105" s="1" t="str">
        <f>HYPERLINK("https://ipmanager.doe.gov/IPManager//ExternalLink.aspx?6ibkph2k9yi6F%2B0Vz7YoTjN2oADz%2F5Mx3Qg%2B4VZaGO8%3D","Link")</f>
        <v>Link</v>
      </c>
      <c r="B1105" s="2" t="s">
        <v>2799</v>
      </c>
      <c r="C1105" s="2" t="s">
        <v>2786</v>
      </c>
      <c r="D1105" s="2" t="s">
        <v>154</v>
      </c>
      <c r="E1105" s="2" t="s">
        <v>2800</v>
      </c>
      <c r="F1105" s="2" t="s">
        <v>2801</v>
      </c>
      <c r="G1105" s="2" t="s">
        <v>2794</v>
      </c>
      <c r="H1105" s="7"/>
      <c r="I1105" s="2" t="s">
        <v>9</v>
      </c>
    </row>
    <row r="1106" spans="1:9" ht="65" x14ac:dyDescent="0.3">
      <c r="A1106" s="1" t="str">
        <f>HYPERLINK("https://ipmanager.doe.gov/IPManager//ExternalLink.aspx?6ibkph2k9yi6F%2B0Vz7YoTjnDGhmGHGI7ml7sIfOLQpQ%3D","Link")</f>
        <v>Link</v>
      </c>
      <c r="B1106" s="2" t="s">
        <v>2804</v>
      </c>
      <c r="C1106" s="2" t="s">
        <v>2786</v>
      </c>
      <c r="D1106" s="2" t="s">
        <v>154</v>
      </c>
      <c r="E1106" s="2" t="s">
        <v>2805</v>
      </c>
      <c r="F1106" s="2" t="s">
        <v>2806</v>
      </c>
      <c r="G1106" s="2" t="s">
        <v>2789</v>
      </c>
      <c r="H1106" s="7"/>
      <c r="I1106" s="2" t="s">
        <v>9</v>
      </c>
    </row>
    <row r="1107" spans="1:9" ht="39" x14ac:dyDescent="0.3">
      <c r="A1107" s="1" t="str">
        <f>HYPERLINK("https://ipmanager.doe.gov/IPManager//ExternalLink.aspx?6ibkph2k9yi6F%2B0Vz7YoTr7J5I%2BY4foYUf1szHEFS8g%3D","Link")</f>
        <v>Link</v>
      </c>
      <c r="B1107" s="2" t="s">
        <v>2807</v>
      </c>
      <c r="C1107" s="2" t="s">
        <v>2786</v>
      </c>
      <c r="D1107" s="2" t="s">
        <v>154</v>
      </c>
      <c r="E1107" s="2" t="s">
        <v>2808</v>
      </c>
      <c r="F1107" s="2" t="s">
        <v>2809</v>
      </c>
      <c r="G1107" s="2" t="s">
        <v>249</v>
      </c>
      <c r="H1107" s="7"/>
      <c r="I1107" s="2" t="s">
        <v>9</v>
      </c>
    </row>
    <row r="1108" spans="1:9" ht="104" x14ac:dyDescent="0.3">
      <c r="A1108" s="1" t="str">
        <f>HYPERLINK("https://ipmanager.doe.gov/IPManager//ExternalLink.aspx?6ibkph2k9yi6F%2B0Vz7YoTjnDGhmGHGI7VML1I3FO6dc%3D","Link")</f>
        <v>Link</v>
      </c>
      <c r="B1108" s="2" t="s">
        <v>2810</v>
      </c>
      <c r="C1108" s="2" t="s">
        <v>2786</v>
      </c>
      <c r="D1108" s="2" t="s">
        <v>154</v>
      </c>
      <c r="E1108" s="2" t="s">
        <v>2792</v>
      </c>
      <c r="F1108" s="2" t="s">
        <v>2811</v>
      </c>
      <c r="G1108" s="2" t="s">
        <v>2414</v>
      </c>
      <c r="H1108" s="7"/>
      <c r="I1108" s="2" t="s">
        <v>9</v>
      </c>
    </row>
    <row r="1109" spans="1:9" ht="78" x14ac:dyDescent="0.3">
      <c r="A1109" s="1" t="str">
        <f>HYPERLINK("https://ipmanager.doe.gov/IPManager//ExternalLink.aspx?6ibkph2k9yi6F%2B0Vz7YoThEBhkR3uHVrcZfrPnX5yOA%3D","Link")</f>
        <v>Link</v>
      </c>
      <c r="B1109" s="2" t="s">
        <v>2812</v>
      </c>
      <c r="C1109" s="2" t="s">
        <v>2786</v>
      </c>
      <c r="D1109" s="2" t="s">
        <v>154</v>
      </c>
      <c r="E1109" s="2" t="s">
        <v>2796</v>
      </c>
      <c r="F1109" s="2" t="s">
        <v>2813</v>
      </c>
      <c r="G1109" s="2" t="s">
        <v>2814</v>
      </c>
      <c r="H1109" s="7"/>
      <c r="I1109" s="2" t="s">
        <v>9</v>
      </c>
    </row>
    <row r="1110" spans="1:9" ht="78" x14ac:dyDescent="0.3">
      <c r="A1110" s="1" t="str">
        <f>HYPERLINK("https://ipmanager.doe.gov/IPManager//ExternalLink.aspx?6ibkph2k9yi6F%2B0Vz7YoThEBhkR3uHVr7oNzWHguy6A%3D","Link")</f>
        <v>Link</v>
      </c>
      <c r="B1110" s="2" t="s">
        <v>2815</v>
      </c>
      <c r="C1110" s="2" t="s">
        <v>2786</v>
      </c>
      <c r="D1110" s="2" t="s">
        <v>154</v>
      </c>
      <c r="E1110" s="2" t="s">
        <v>2796</v>
      </c>
      <c r="F1110" s="2" t="s">
        <v>2798</v>
      </c>
      <c r="G1110" s="2" t="s">
        <v>2794</v>
      </c>
      <c r="H1110" s="7"/>
      <c r="I1110" s="2" t="s">
        <v>9</v>
      </c>
    </row>
    <row r="1111" spans="1:9" ht="78" x14ac:dyDescent="0.3">
      <c r="A1111" s="1" t="str">
        <f>HYPERLINK("https://ipmanager.doe.gov/IPManager//ExternalLink.aspx?6ibkph2k9yi6F%2B0Vz7YoTvE8yjoHgvp6XKcKZslre1E%3D","Link")</f>
        <v>Link</v>
      </c>
      <c r="B1111" s="2" t="s">
        <v>3664</v>
      </c>
      <c r="C1111" s="2" t="s">
        <v>3621</v>
      </c>
      <c r="D1111" s="2" t="s">
        <v>1933</v>
      </c>
      <c r="E1111" s="2" t="s">
        <v>3665</v>
      </c>
      <c r="F1111" s="2"/>
      <c r="G1111" s="2" t="s">
        <v>9</v>
      </c>
      <c r="H1111" s="7"/>
      <c r="I1111" s="2" t="s">
        <v>9</v>
      </c>
    </row>
    <row r="1112" spans="1:9" ht="52" x14ac:dyDescent="0.3">
      <c r="A1112" s="1" t="str">
        <f>HYPERLINK("https://ipmanager.doe.gov/IPManager//ExternalLink.aspx?6ibkph2k9yi6F%2B0Vz7YoTgZwfmYxrNyKrlAexzNyg0k%3D","Link")</f>
        <v>Link</v>
      </c>
      <c r="B1112" s="2" t="s">
        <v>3667</v>
      </c>
      <c r="C1112" s="2" t="s">
        <v>3621</v>
      </c>
      <c r="D1112" s="2" t="s">
        <v>1933</v>
      </c>
      <c r="E1112" s="2" t="s">
        <v>3668</v>
      </c>
      <c r="F1112" s="2"/>
      <c r="G1112" s="2" t="s">
        <v>9</v>
      </c>
      <c r="H1112" s="7"/>
      <c r="I1112" s="2" t="s">
        <v>9</v>
      </c>
    </row>
    <row r="1113" spans="1:9" ht="52" x14ac:dyDescent="0.3">
      <c r="A1113" s="1" t="str">
        <f>HYPERLINK("https://ipmanager.doe.gov/IPManager//ExternalLink.aspx?6ibkph2k9yi6F%2B0Vz7YoTgZwfmYxrNyKt5wIjQhJToI%3D","Link")</f>
        <v>Link</v>
      </c>
      <c r="B1113" s="2" t="s">
        <v>3669</v>
      </c>
      <c r="C1113" s="2" t="s">
        <v>3621</v>
      </c>
      <c r="D1113" s="2" t="s">
        <v>1933</v>
      </c>
      <c r="E1113" s="2" t="s">
        <v>3670</v>
      </c>
      <c r="F1113" s="2"/>
      <c r="G1113" s="2" t="s">
        <v>9</v>
      </c>
      <c r="H1113" s="7"/>
      <c r="I1113" s="2" t="s">
        <v>9</v>
      </c>
    </row>
    <row r="1114" spans="1:9" ht="91" x14ac:dyDescent="0.3">
      <c r="A1114" s="1" t="str">
        <f>HYPERLINK("https://ipmanager.doe.gov/IPManager//ExternalLink.aspx?6ibkph2k9yi6F%2B0Vz7YoTgZwfmYxrNyK9XHwxIKQqtY%3D","Link")</f>
        <v>Link</v>
      </c>
      <c r="B1114" s="2" t="s">
        <v>3671</v>
      </c>
      <c r="C1114" s="2" t="s">
        <v>3621</v>
      </c>
      <c r="D1114" s="2" t="s">
        <v>1933</v>
      </c>
      <c r="E1114" s="2" t="s">
        <v>3672</v>
      </c>
      <c r="F1114" s="2"/>
      <c r="G1114" s="2" t="s">
        <v>9</v>
      </c>
      <c r="H1114" s="7"/>
      <c r="I1114" s="2" t="s">
        <v>9</v>
      </c>
    </row>
    <row r="1115" spans="1:9" ht="91" x14ac:dyDescent="0.3">
      <c r="A1115" s="1" t="str">
        <f>HYPERLINK("https://ipmanager.doe.gov/IPManager//ExternalLink.aspx?6ibkph2k9yi6F%2B0Vz7YoTgZwfmYxrNyKxjRBWV8aQDU%3D","Link")</f>
        <v>Link</v>
      </c>
      <c r="B1115" s="2" t="s">
        <v>3673</v>
      </c>
      <c r="C1115" s="2" t="s">
        <v>3621</v>
      </c>
      <c r="D1115" s="2" t="s">
        <v>1933</v>
      </c>
      <c r="E1115" s="2" t="s">
        <v>3674</v>
      </c>
      <c r="F1115" s="2"/>
      <c r="G1115" s="2" t="s">
        <v>9</v>
      </c>
      <c r="H1115" s="7"/>
      <c r="I1115" s="2" t="s">
        <v>9</v>
      </c>
    </row>
    <row r="1116" spans="1:9" ht="91" x14ac:dyDescent="0.3">
      <c r="A1116" s="1" t="str">
        <f>HYPERLINK("https://ipmanager.doe.gov/IPManager//ExternalLink.aspx?6ibkph2k9yi6F%2B0Vz7YoTgZwfmYxrNyKqt3sxMVQWeQ%3D","Link")</f>
        <v>Link</v>
      </c>
      <c r="B1116" s="2" t="s">
        <v>3675</v>
      </c>
      <c r="C1116" s="2" t="s">
        <v>3676</v>
      </c>
      <c r="D1116" s="2" t="s">
        <v>3238</v>
      </c>
      <c r="E1116" s="2" t="s">
        <v>3677</v>
      </c>
      <c r="F1116" s="2"/>
      <c r="G1116" s="2" t="s">
        <v>9</v>
      </c>
      <c r="H1116" s="7"/>
      <c r="I1116" s="2" t="s">
        <v>9</v>
      </c>
    </row>
    <row r="1117" spans="1:9" ht="26" x14ac:dyDescent="0.3">
      <c r="A1117" s="1" t="str">
        <f>HYPERLINK("https://ipmanager.doe.gov/IPManager//ExternalLink.aspx?6ibkph2k9yi6F%2B0Vz7YoTgZwfmYxrNyKpjfooU85N90%3D","Link")</f>
        <v>Link</v>
      </c>
      <c r="B1117" s="2" t="s">
        <v>3678</v>
      </c>
      <c r="C1117" s="2" t="s">
        <v>3676</v>
      </c>
      <c r="D1117" s="2" t="s">
        <v>3238</v>
      </c>
      <c r="E1117" s="2" t="s">
        <v>3679</v>
      </c>
      <c r="F1117" s="2"/>
      <c r="G1117" s="2" t="s">
        <v>9</v>
      </c>
      <c r="H1117" s="7"/>
      <c r="I1117" s="2" t="s">
        <v>9</v>
      </c>
    </row>
    <row r="1118" spans="1:9" ht="78" x14ac:dyDescent="0.3">
      <c r="A1118" s="1" t="str">
        <f>HYPERLINK("https://ipmanager.doe.gov/IPManager//ExternalLink.aspx?6ibkph2k9yi6F%2B0Vz7YoTgZwfmYxrNyK9LpYdV1iS20%3D","Link")</f>
        <v>Link</v>
      </c>
      <c r="B1118" s="2" t="s">
        <v>3680</v>
      </c>
      <c r="C1118" s="2" t="s">
        <v>3676</v>
      </c>
      <c r="D1118" s="2" t="s">
        <v>3238</v>
      </c>
      <c r="E1118" s="2" t="s">
        <v>3681</v>
      </c>
      <c r="F1118" s="2"/>
      <c r="G1118" s="2" t="s">
        <v>9</v>
      </c>
      <c r="H1118" s="7"/>
      <c r="I1118" s="2" t="s">
        <v>9</v>
      </c>
    </row>
    <row r="1119" spans="1:9" ht="26" x14ac:dyDescent="0.3">
      <c r="A1119" s="1" t="str">
        <f>HYPERLINK("https://ipmanager.doe.gov/IPManager//ExternalLink.aspx?6ibkph2k9yi6F%2B0Vz7YoTgZwfmYxrNyK3vvm6gO5WHE%3D","Link")</f>
        <v>Link</v>
      </c>
      <c r="B1119" s="2" t="s">
        <v>3682</v>
      </c>
      <c r="C1119" s="2" t="s">
        <v>3676</v>
      </c>
      <c r="D1119" s="2" t="s">
        <v>3238</v>
      </c>
      <c r="E1119" s="2" t="s">
        <v>3683</v>
      </c>
      <c r="F1119" s="2"/>
      <c r="G1119" s="2" t="s">
        <v>9</v>
      </c>
      <c r="H1119" s="7"/>
      <c r="I1119" s="2" t="s">
        <v>9</v>
      </c>
    </row>
    <row r="1120" spans="1:9" ht="39" x14ac:dyDescent="0.3">
      <c r="A1120" s="1" t="str">
        <f>HYPERLINK("https://ipmanager.doe.gov/IPManager//ExternalLink.aspx?6ibkph2k9yi6F%2B0Vz7YoTjnDGhmGHGI7NTNBwZqkdNs%3D","Link")</f>
        <v>Link</v>
      </c>
      <c r="B1120" s="2" t="s">
        <v>3684</v>
      </c>
      <c r="C1120" s="2" t="s">
        <v>3676</v>
      </c>
      <c r="D1120" s="2" t="s">
        <v>3238</v>
      </c>
      <c r="E1120" s="2" t="s">
        <v>3685</v>
      </c>
      <c r="F1120" s="2"/>
      <c r="G1120" s="2" t="s">
        <v>9</v>
      </c>
      <c r="H1120" s="7"/>
      <c r="I1120" s="2" t="s">
        <v>9</v>
      </c>
    </row>
    <row r="1121" spans="1:9" ht="39" x14ac:dyDescent="0.3">
      <c r="A1121" s="1" t="str">
        <f>HYPERLINK("https://ipmanager.doe.gov/IPManager//ExternalLink.aspx?6ibkph2k9yi6F%2B0Vz7YoTjnDGhmGHGI7N8WJwDtozFQ%3D","Link")</f>
        <v>Link</v>
      </c>
      <c r="B1121" s="2" t="s">
        <v>3687</v>
      </c>
      <c r="C1121" s="2" t="s">
        <v>3688</v>
      </c>
      <c r="D1121" s="2" t="s">
        <v>3689</v>
      </c>
      <c r="E1121" s="2" t="s">
        <v>3690</v>
      </c>
      <c r="F1121" s="2"/>
      <c r="G1121" s="2" t="s">
        <v>9</v>
      </c>
      <c r="H1121" s="7"/>
      <c r="I1121" s="2" t="s">
        <v>9</v>
      </c>
    </row>
    <row r="1122" spans="1:9" ht="52" x14ac:dyDescent="0.3">
      <c r="A1122" s="1" t="str">
        <f>HYPERLINK("https://ipmanager.doe.gov/IPManager//ExternalLink.aspx?6ibkph2k9yi6F%2B0Vz7YoTk2BI6w%2FjZ2fYvdSIGK0SAY%3D","Link")</f>
        <v>Link</v>
      </c>
      <c r="B1122" s="2" t="s">
        <v>3691</v>
      </c>
      <c r="C1122" s="2" t="s">
        <v>3688</v>
      </c>
      <c r="D1122" s="2" t="s">
        <v>3689</v>
      </c>
      <c r="E1122" s="2" t="s">
        <v>3692</v>
      </c>
      <c r="F1122" s="2"/>
      <c r="G1122" s="2" t="s">
        <v>9</v>
      </c>
      <c r="H1122" s="7"/>
      <c r="I1122" s="2" t="s">
        <v>9</v>
      </c>
    </row>
    <row r="1123" spans="1:9" ht="78" x14ac:dyDescent="0.3">
      <c r="A1123" s="1" t="str">
        <f>HYPERLINK("https://ipmanager.doe.gov/IPManager//ExternalLink.aspx?6ibkph2k9yi6F%2B0Vz7YoTlNm8snv%2FZpHrWv693PsrFw%3D","Link")</f>
        <v>Link</v>
      </c>
      <c r="B1123" s="2" t="s">
        <v>3693</v>
      </c>
      <c r="C1123" s="2" t="s">
        <v>3694</v>
      </c>
      <c r="D1123" s="2" t="s">
        <v>1474</v>
      </c>
      <c r="E1123" s="2" t="s">
        <v>3695</v>
      </c>
      <c r="F1123" s="2" t="s">
        <v>7638</v>
      </c>
      <c r="G1123" s="2" t="s">
        <v>3696</v>
      </c>
      <c r="H1123" s="8">
        <v>9643159</v>
      </c>
      <c r="I1123" s="2" t="s">
        <v>3697</v>
      </c>
    </row>
    <row r="1124" spans="1:9" ht="39" x14ac:dyDescent="0.3">
      <c r="A1124" s="1" t="str">
        <f>HYPERLINK("https://ipmanager.doe.gov/IPManager//ExternalLink.aspx?6ibkph2k9yi6F%2B0Vz7YoTo7DPLa3%2F%2FGgB8yfGrMlNw0%3D","Link")</f>
        <v>Link</v>
      </c>
      <c r="B1124" s="2" t="s">
        <v>1254</v>
      </c>
      <c r="C1124" s="2" t="s">
        <v>1245</v>
      </c>
      <c r="D1124" s="2" t="s">
        <v>1246</v>
      </c>
      <c r="E1124" s="2" t="s">
        <v>1255</v>
      </c>
      <c r="F1124" s="2" t="s">
        <v>7639</v>
      </c>
      <c r="G1124" s="2" t="s">
        <v>390</v>
      </c>
      <c r="H1124" s="7"/>
      <c r="I1124" s="2" t="s">
        <v>9</v>
      </c>
    </row>
    <row r="1125" spans="1:9" ht="65" x14ac:dyDescent="0.3">
      <c r="A1125" s="1" t="str">
        <f>HYPERLINK("https://ipmanager.doe.gov/IPManager//ExternalLink.aspx?6ibkph2k9yi6F%2B0Vz7YoTp68px7nSN2gUWLati4c0i8%3D","Link")</f>
        <v>Link</v>
      </c>
      <c r="B1125" s="2" t="s">
        <v>4243</v>
      </c>
      <c r="C1125" s="2" t="s">
        <v>4241</v>
      </c>
      <c r="D1125" s="2" t="s">
        <v>1246</v>
      </c>
      <c r="E1125" s="2" t="s">
        <v>4244</v>
      </c>
      <c r="F1125" s="2" t="s">
        <v>4245</v>
      </c>
      <c r="G1125" s="2" t="s">
        <v>4246</v>
      </c>
      <c r="H1125" s="7"/>
      <c r="I1125" s="2" t="s">
        <v>9</v>
      </c>
    </row>
    <row r="1126" spans="1:9" ht="39" x14ac:dyDescent="0.3">
      <c r="A1126" s="1" t="str">
        <f>HYPERLINK("https://ipmanager.doe.gov/IPManager//ExternalLink.aspx?6ibkph2k9yi6F%2B0Vz7YoTr7J5I%2BY4foY%2F0QZLZ28AuQ%3D","Link")</f>
        <v>Link</v>
      </c>
      <c r="B1126" s="2" t="s">
        <v>3705</v>
      </c>
      <c r="C1126" s="2" t="s">
        <v>3706</v>
      </c>
      <c r="D1126" s="2" t="s">
        <v>3707</v>
      </c>
      <c r="E1126" s="2" t="s">
        <v>3708</v>
      </c>
      <c r="F1126" s="2" t="s">
        <v>3709</v>
      </c>
      <c r="G1126" s="2" t="s">
        <v>1478</v>
      </c>
      <c r="H1126" s="7"/>
      <c r="I1126" s="2" t="s">
        <v>9</v>
      </c>
    </row>
    <row r="1127" spans="1:9" ht="26" x14ac:dyDescent="0.3">
      <c r="A1127" s="1" t="str">
        <f>HYPERLINK("https://ipmanager.doe.gov/IPManager//ExternalLink.aspx?6ibkph2k9yi6F%2B0Vz7YoTvPUg%2FVZPl3ivxYAsouOnH4%3D","Link")</f>
        <v>Link</v>
      </c>
      <c r="B1127" s="2" t="s">
        <v>3710</v>
      </c>
      <c r="C1127" s="2" t="s">
        <v>3706</v>
      </c>
      <c r="D1127" s="2" t="s">
        <v>1793</v>
      </c>
      <c r="E1127" s="2" t="s">
        <v>3711</v>
      </c>
      <c r="F1127" s="2"/>
      <c r="G1127" s="2" t="s">
        <v>9</v>
      </c>
      <c r="H1127" s="7"/>
      <c r="I1127" s="2" t="s">
        <v>9</v>
      </c>
    </row>
    <row r="1128" spans="1:9" ht="26" x14ac:dyDescent="0.3">
      <c r="A1128" s="1" t="str">
        <f>HYPERLINK("https://ipmanager.doe.gov/IPManager//ExternalLink.aspx?6ibkph2k9yi6F%2B0Vz7YoTgZwfmYxrNyKK2qUWJ5YaWk%3D","Link")</f>
        <v>Link</v>
      </c>
      <c r="B1128" s="2" t="s">
        <v>3712</v>
      </c>
      <c r="C1128" s="2" t="s">
        <v>3706</v>
      </c>
      <c r="D1128" s="2" t="s">
        <v>1793</v>
      </c>
      <c r="E1128" s="2" t="s">
        <v>3713</v>
      </c>
      <c r="F1128" s="2"/>
      <c r="G1128" s="2" t="s">
        <v>9</v>
      </c>
      <c r="H1128" s="7"/>
      <c r="I1128" s="2" t="s">
        <v>9</v>
      </c>
    </row>
    <row r="1129" spans="1:9" ht="65" x14ac:dyDescent="0.3">
      <c r="A1129" s="1" t="str">
        <f>HYPERLINK("https://ipmanager.doe.gov/IPManager//ExternalLink.aspx?6ibkph2k9yi6F%2B0Vz7YoTq6RR9BlGHHisX2vSOQhRmI%3D","Link")</f>
        <v>Link</v>
      </c>
      <c r="B1129" s="2" t="s">
        <v>3714</v>
      </c>
      <c r="C1129" s="2" t="s">
        <v>3706</v>
      </c>
      <c r="D1129" s="2" t="s">
        <v>3707</v>
      </c>
      <c r="E1129" s="2" t="s">
        <v>3715</v>
      </c>
      <c r="F1129" s="2" t="s">
        <v>3716</v>
      </c>
      <c r="G1129" s="2" t="s">
        <v>584</v>
      </c>
      <c r="H1129" s="7"/>
      <c r="I1129" s="2" t="s">
        <v>9</v>
      </c>
    </row>
    <row r="1130" spans="1:9" ht="39" x14ac:dyDescent="0.3">
      <c r="A1130" s="1" t="str">
        <f>HYPERLINK("https://ipmanager.doe.gov/IPManager//ExternalLink.aspx?6ibkph2k9yi6F%2B0Vz7YoTq6RR9BlGHHiEohX3C1Qdjk%3D","Link")</f>
        <v>Link</v>
      </c>
      <c r="B1130" s="2" t="s">
        <v>3717</v>
      </c>
      <c r="C1130" s="2" t="s">
        <v>3718</v>
      </c>
      <c r="D1130" s="2" t="s">
        <v>3719</v>
      </c>
      <c r="E1130" s="2" t="s">
        <v>3720</v>
      </c>
      <c r="F1130" s="2"/>
      <c r="G1130" s="2" t="s">
        <v>9</v>
      </c>
      <c r="H1130" s="7"/>
      <c r="I1130" s="2" t="s">
        <v>9</v>
      </c>
    </row>
    <row r="1131" spans="1:9" ht="39" x14ac:dyDescent="0.3">
      <c r="A1131" s="1" t="str">
        <f>HYPERLINK("https://ipmanager.doe.gov/IPManager//ExternalLink.aspx?6ibkph2k9yi6F%2B0Vz7YoTgZwfmYxrNyKJAqi7s%2B9GD8%3D","Link")</f>
        <v>Link</v>
      </c>
      <c r="B1131" s="2" t="s">
        <v>3722</v>
      </c>
      <c r="C1131" s="2" t="s">
        <v>3718</v>
      </c>
      <c r="D1131" s="2" t="s">
        <v>3719</v>
      </c>
      <c r="E1131" s="2" t="s">
        <v>3723</v>
      </c>
      <c r="F1131" s="2"/>
      <c r="G1131" s="2" t="s">
        <v>9</v>
      </c>
      <c r="H1131" s="7"/>
      <c r="I1131" s="2" t="s">
        <v>9</v>
      </c>
    </row>
    <row r="1132" spans="1:9" ht="39" x14ac:dyDescent="0.3">
      <c r="A1132" s="1" t="str">
        <f>HYPERLINK("https://ipmanager.doe.gov/IPManager//ExternalLink.aspx?6ibkph2k9yi6F%2B0Vz7YoTr7J5I%2BY4foYkdqv9dlh8rw%3D","Link")</f>
        <v>Link</v>
      </c>
      <c r="B1132" s="2" t="s">
        <v>3724</v>
      </c>
      <c r="C1132" s="2" t="s">
        <v>3718</v>
      </c>
      <c r="D1132" s="2" t="s">
        <v>3719</v>
      </c>
      <c r="E1132" s="2" t="s">
        <v>3725</v>
      </c>
      <c r="F1132" s="2" t="s">
        <v>3726</v>
      </c>
      <c r="G1132" s="2" t="s">
        <v>1357</v>
      </c>
      <c r="H1132" s="7"/>
      <c r="I1132" s="2" t="s">
        <v>9</v>
      </c>
    </row>
    <row r="1133" spans="1:9" ht="52" x14ac:dyDescent="0.3">
      <c r="A1133" s="1" t="str">
        <f>HYPERLINK("https://ipmanager.doe.gov/IPManager//ExternalLink.aspx?6ibkph2k9yi6F%2B0Vz7YoTsTAnuFk5EoASL7%2BL7KYSlk%3D","Link")</f>
        <v>Link</v>
      </c>
      <c r="B1133" s="2" t="s">
        <v>6099</v>
      </c>
      <c r="C1133" s="2" t="s">
        <v>6100</v>
      </c>
      <c r="D1133" s="2" t="s">
        <v>1751</v>
      </c>
      <c r="E1133" s="2" t="s">
        <v>6101</v>
      </c>
      <c r="F1133" s="2" t="s">
        <v>6102</v>
      </c>
      <c r="G1133" s="2" t="s">
        <v>6103</v>
      </c>
      <c r="H1133" s="7"/>
      <c r="I1133" s="2" t="s">
        <v>9</v>
      </c>
    </row>
    <row r="1134" spans="1:9" ht="26" x14ac:dyDescent="0.3">
      <c r="A1134" s="1" t="str">
        <f>HYPERLINK("https://ipmanager.doe.gov/IPManager//ExternalLink.aspx?6ibkph2k9yi6F%2B0Vz7YoTr7J5I%2BY4foYFL2yn%2B5DKlc%3D","Link")</f>
        <v>Link</v>
      </c>
      <c r="B1134" s="2" t="s">
        <v>3730</v>
      </c>
      <c r="C1134" s="2" t="s">
        <v>3718</v>
      </c>
      <c r="D1134" s="2" t="s">
        <v>3719</v>
      </c>
      <c r="E1134" s="2" t="s">
        <v>3731</v>
      </c>
      <c r="F1134" s="2"/>
      <c r="G1134" s="2" t="s">
        <v>9</v>
      </c>
      <c r="H1134" s="7"/>
      <c r="I1134" s="2" t="s">
        <v>9</v>
      </c>
    </row>
    <row r="1135" spans="1:9" ht="39" x14ac:dyDescent="0.3">
      <c r="A1135" s="1" t="str">
        <f>HYPERLINK("https://ipmanager.doe.gov/IPManager//ExternalLink.aspx?6ibkph2k9yi6F%2B0Vz7YoTr7J5I%2BY4foYYq6gt71uvow%3D","Link")</f>
        <v>Link</v>
      </c>
      <c r="B1135" s="2" t="s">
        <v>3733</v>
      </c>
      <c r="C1135" s="2" t="s">
        <v>3718</v>
      </c>
      <c r="D1135" s="2" t="s">
        <v>3734</v>
      </c>
      <c r="E1135" s="2" t="s">
        <v>3735</v>
      </c>
      <c r="F1135" s="2" t="s">
        <v>3736</v>
      </c>
      <c r="G1135" s="2" t="s">
        <v>3176</v>
      </c>
      <c r="H1135" s="7" t="s">
        <v>3737</v>
      </c>
      <c r="I1135" s="2" t="s">
        <v>3738</v>
      </c>
    </row>
    <row r="1136" spans="1:9" ht="39" x14ac:dyDescent="0.3">
      <c r="A1136" s="1" t="str">
        <f>HYPERLINK("https://ipmanager.doe.gov/IPManager//ExternalLink.aspx?6ibkph2k9yi6F%2B0Vz7YoTr7J5I%2BY4foYW%2Fq1AFWsIwI%3D","Link")</f>
        <v>Link</v>
      </c>
      <c r="B1136" s="2" t="s">
        <v>3739</v>
      </c>
      <c r="C1136" s="2" t="s">
        <v>3718</v>
      </c>
      <c r="D1136" s="2" t="s">
        <v>3734</v>
      </c>
      <c r="E1136" s="2" t="s">
        <v>3740</v>
      </c>
      <c r="F1136" s="2" t="s">
        <v>3741</v>
      </c>
      <c r="G1136" s="2" t="s">
        <v>3742</v>
      </c>
      <c r="H1136" s="7" t="s">
        <v>3743</v>
      </c>
      <c r="I1136" s="2" t="s">
        <v>3386</v>
      </c>
    </row>
    <row r="1137" spans="1:9" ht="65" x14ac:dyDescent="0.3">
      <c r="A1137" s="1" t="str">
        <f>HYPERLINK("https://ipmanager.doe.gov/IPManager//ExternalLink.aspx?6ibkph2k9yi6F%2B0Vz7YoTipZ798QK%2BbP7tAT6RxNcfk%3D","Link")</f>
        <v>Link</v>
      </c>
      <c r="B1137" s="2" t="s">
        <v>3744</v>
      </c>
      <c r="C1137" s="2" t="s">
        <v>3745</v>
      </c>
      <c r="D1137" s="2" t="s">
        <v>770</v>
      </c>
      <c r="E1137" s="2" t="s">
        <v>3746</v>
      </c>
      <c r="F1137" s="2" t="s">
        <v>3747</v>
      </c>
      <c r="G1137" s="2" t="s">
        <v>1668</v>
      </c>
      <c r="H1137" s="7" t="s">
        <v>3748</v>
      </c>
      <c r="I1137" s="2" t="s">
        <v>3749</v>
      </c>
    </row>
    <row r="1138" spans="1:9" ht="39" x14ac:dyDescent="0.3">
      <c r="A1138" s="1" t="str">
        <f>HYPERLINK("https://ipmanager.doe.gov/IPManager//ExternalLink.aspx?6ibkph2k9yi6F%2B0Vz7YoTgZwfmYxrNyKWwZvIDXwai4%3D","Link")</f>
        <v>Link</v>
      </c>
      <c r="B1138" s="2" t="s">
        <v>3404</v>
      </c>
      <c r="C1138" s="2" t="s">
        <v>3405</v>
      </c>
      <c r="D1138" s="2" t="s">
        <v>3406</v>
      </c>
      <c r="E1138" s="2" t="s">
        <v>3407</v>
      </c>
      <c r="F1138" s="2" t="s">
        <v>3408</v>
      </c>
      <c r="G1138" s="2" t="s">
        <v>3409</v>
      </c>
      <c r="H1138" s="7"/>
      <c r="I1138" s="2" t="s">
        <v>9</v>
      </c>
    </row>
    <row r="1139" spans="1:9" ht="65" x14ac:dyDescent="0.3">
      <c r="A1139" s="1" t="str">
        <f>HYPERLINK("https://ipmanager.doe.gov/IPManager//ExternalLink.aspx?6ibkph2k9yi6F%2B0Vz7YoTipZ798QK%2BbP3sJ%2Ftm%2BjAnE%3D","Link")</f>
        <v>Link</v>
      </c>
      <c r="B1139" s="2" t="s">
        <v>3754</v>
      </c>
      <c r="C1139" s="2" t="s">
        <v>3745</v>
      </c>
      <c r="D1139" s="2" t="s">
        <v>770</v>
      </c>
      <c r="E1139" s="2" t="s">
        <v>3755</v>
      </c>
      <c r="F1139" s="2"/>
      <c r="G1139" s="2" t="s">
        <v>9</v>
      </c>
      <c r="H1139" s="7"/>
      <c r="I1139" s="2" t="s">
        <v>9</v>
      </c>
    </row>
    <row r="1140" spans="1:9" ht="65" x14ac:dyDescent="0.3">
      <c r="A1140" s="1" t="str">
        <f>HYPERLINK("https://ipmanager.doe.gov/IPManager//ExternalLink.aspx?6ibkph2k9yi6F%2B0Vz7YoTr7J5I%2BY4foYhZdL6g%2B2tz4%3D","Link")</f>
        <v>Link</v>
      </c>
      <c r="B1140" s="2" t="s">
        <v>3756</v>
      </c>
      <c r="C1140" s="2" t="s">
        <v>3745</v>
      </c>
      <c r="D1140" s="2" t="s">
        <v>770</v>
      </c>
      <c r="E1140" s="2" t="s">
        <v>3746</v>
      </c>
      <c r="F1140" s="2" t="s">
        <v>3757</v>
      </c>
      <c r="G1140" s="2" t="s">
        <v>3758</v>
      </c>
      <c r="H1140" s="7" t="s">
        <v>3759</v>
      </c>
      <c r="I1140" s="2" t="s">
        <v>3229</v>
      </c>
    </row>
    <row r="1141" spans="1:9" ht="39" x14ac:dyDescent="0.3">
      <c r="A1141" s="1" t="str">
        <f>HYPERLINK("https://ipmanager.doe.gov/IPManager//ExternalLink.aspx?6ibkph2k9yi6F%2B0Vz7YoTgZwfmYxrNyKZQLtNz5Kn7A%3D","Link")</f>
        <v>Link</v>
      </c>
      <c r="B1141" s="2" t="s">
        <v>3410</v>
      </c>
      <c r="C1141" s="2" t="s">
        <v>3405</v>
      </c>
      <c r="D1141" s="2" t="s">
        <v>3406</v>
      </c>
      <c r="E1141" s="2" t="s">
        <v>3407</v>
      </c>
      <c r="F1141" s="2" t="s">
        <v>3411</v>
      </c>
      <c r="G1141" s="2" t="s">
        <v>3412</v>
      </c>
      <c r="H1141" s="7"/>
      <c r="I1141" s="2" t="s">
        <v>9</v>
      </c>
    </row>
    <row r="1142" spans="1:9" ht="39" x14ac:dyDescent="0.3">
      <c r="A1142" s="1" t="str">
        <f>HYPERLINK("https://ipmanager.doe.gov/IPManager//ExternalLink.aspx?6ibkph2k9yi6F%2B0Vz7YoTu0g4zH%2BOsvylC3KPSuZp5c%3D","Link")</f>
        <v>Link</v>
      </c>
      <c r="B1142" s="2" t="s">
        <v>3764</v>
      </c>
      <c r="C1142" s="2" t="s">
        <v>3745</v>
      </c>
      <c r="D1142" s="2" t="s">
        <v>770</v>
      </c>
      <c r="E1142" s="2" t="s">
        <v>3765</v>
      </c>
      <c r="F1142" s="2"/>
      <c r="G1142" s="2" t="s">
        <v>9</v>
      </c>
      <c r="H1142" s="7"/>
      <c r="I1142" s="2" t="s">
        <v>9</v>
      </c>
    </row>
    <row r="1143" spans="1:9" ht="52" x14ac:dyDescent="0.3">
      <c r="A1143" s="1" t="str">
        <f>HYPERLINK("https://ipmanager.doe.gov/IPManager//ExternalLink.aspx?6ibkph2k9yi6F%2B0Vz7YoTsTAnuFk5EoATlHSskj%2BriU%3D","Link")</f>
        <v>Link</v>
      </c>
      <c r="B1143" s="2" t="s">
        <v>6762</v>
      </c>
      <c r="C1143" s="2" t="s">
        <v>6763</v>
      </c>
      <c r="D1143" s="2" t="s">
        <v>3406</v>
      </c>
      <c r="E1143" s="2" t="s">
        <v>6764</v>
      </c>
      <c r="F1143" s="2" t="s">
        <v>6765</v>
      </c>
      <c r="G1143" s="2" t="s">
        <v>5256</v>
      </c>
      <c r="H1143" s="7"/>
      <c r="I1143" s="2" t="s">
        <v>9</v>
      </c>
    </row>
    <row r="1144" spans="1:9" ht="52" x14ac:dyDescent="0.3">
      <c r="A1144" s="1" t="str">
        <f>HYPERLINK("https://ipmanager.doe.gov/IPManager//ExternalLink.aspx?6ibkph2k9yi6F%2B0Vz7YoTvPUg%2FVZPl3iA7QA4StZXt4%3D","Link")</f>
        <v>Link</v>
      </c>
      <c r="B1144" s="2" t="s">
        <v>3771</v>
      </c>
      <c r="C1144" s="2" t="s">
        <v>3772</v>
      </c>
      <c r="D1144" s="2" t="s">
        <v>3773</v>
      </c>
      <c r="E1144" s="2" t="s">
        <v>3774</v>
      </c>
      <c r="F1144" s="2"/>
      <c r="G1144" s="2" t="s">
        <v>9</v>
      </c>
      <c r="H1144" s="7"/>
      <c r="I1144" s="2" t="s">
        <v>9</v>
      </c>
    </row>
    <row r="1145" spans="1:9" ht="39" x14ac:dyDescent="0.3">
      <c r="A1145" s="1" t="str">
        <f>HYPERLINK("https://ipmanager.doe.gov/IPManager//ExternalLink.aspx?6ibkph2k9yi6F%2B0Vz7YoTlNm8snv%2FZpHAaF7BUPLKVM%3D","Link")</f>
        <v>Link</v>
      </c>
      <c r="B1145" s="2" t="s">
        <v>3775</v>
      </c>
      <c r="C1145" s="2" t="s">
        <v>3772</v>
      </c>
      <c r="D1145" s="2" t="s">
        <v>3773</v>
      </c>
      <c r="E1145" s="2" t="s">
        <v>3776</v>
      </c>
      <c r="F1145" s="2"/>
      <c r="G1145" s="2" t="s">
        <v>9</v>
      </c>
      <c r="H1145" s="7"/>
      <c r="I1145" s="2" t="s">
        <v>9</v>
      </c>
    </row>
    <row r="1146" spans="1:9" ht="52" x14ac:dyDescent="0.3">
      <c r="A1146" s="1" t="str">
        <f>HYPERLINK("https://ipmanager.doe.gov/IPManager//ExternalLink.aspx?6ibkph2k9yi6F%2B0Vz7YoTgZwfmYxrNyKleDHUI54QBg%3D","Link")</f>
        <v>Link</v>
      </c>
      <c r="B1146" s="2" t="s">
        <v>3777</v>
      </c>
      <c r="C1146" s="2" t="s">
        <v>3772</v>
      </c>
      <c r="D1146" s="2" t="s">
        <v>3773</v>
      </c>
      <c r="E1146" s="2" t="s">
        <v>3778</v>
      </c>
      <c r="F1146" s="2"/>
      <c r="G1146" s="2" t="s">
        <v>9</v>
      </c>
      <c r="H1146" s="7"/>
      <c r="I1146" s="2" t="s">
        <v>9</v>
      </c>
    </row>
    <row r="1147" spans="1:9" ht="39" x14ac:dyDescent="0.3">
      <c r="A1147" s="1" t="str">
        <f>HYPERLINK("https://ipmanager.doe.gov/IPManager//ExternalLink.aspx?6ibkph2k9yi6F%2B0Vz7YoTgZwfmYxrNyKuPp3BfEQZGA%3D","Link")</f>
        <v>Link</v>
      </c>
      <c r="B1147" s="2" t="s">
        <v>3779</v>
      </c>
      <c r="C1147" s="2" t="s">
        <v>3772</v>
      </c>
      <c r="D1147" s="2" t="s">
        <v>3773</v>
      </c>
      <c r="E1147" s="2" t="s">
        <v>3780</v>
      </c>
      <c r="F1147" s="2" t="s">
        <v>3781</v>
      </c>
      <c r="G1147" s="2" t="s">
        <v>2329</v>
      </c>
      <c r="H1147" s="7" t="s">
        <v>3782</v>
      </c>
      <c r="I1147" s="2" t="s">
        <v>2649</v>
      </c>
    </row>
    <row r="1148" spans="1:9" ht="39" x14ac:dyDescent="0.3">
      <c r="A1148" s="1" t="str">
        <f>HYPERLINK("https://ipmanager.doe.gov/IPManager//ExternalLink.aspx?6ibkph2k9yi6F%2B0Vz7YoTgZwfmYxrNyK2oGosHNsoiA%3D","Link")</f>
        <v>Link</v>
      </c>
      <c r="B1148" s="2" t="s">
        <v>3783</v>
      </c>
      <c r="C1148" s="2" t="s">
        <v>3772</v>
      </c>
      <c r="D1148" s="2" t="s">
        <v>3773</v>
      </c>
      <c r="E1148" s="2" t="s">
        <v>3784</v>
      </c>
      <c r="F1148" s="2" t="s">
        <v>3785</v>
      </c>
      <c r="G1148" s="2" t="s">
        <v>3786</v>
      </c>
      <c r="H1148" s="7" t="s">
        <v>3787</v>
      </c>
      <c r="I1148" s="2" t="s">
        <v>1302</v>
      </c>
    </row>
    <row r="1149" spans="1:9" ht="52" x14ac:dyDescent="0.3">
      <c r="A1149" s="1" t="str">
        <f>HYPERLINK("https://ipmanager.doe.gov/IPManager//ExternalLink.aspx?6ibkph2k9yi6F%2B0Vz7YoTgZwfmYxrNyKVYkXqqWhiQ4%3D","Link")</f>
        <v>Link</v>
      </c>
      <c r="B1149" s="2" t="s">
        <v>3788</v>
      </c>
      <c r="C1149" s="2" t="s">
        <v>3772</v>
      </c>
      <c r="D1149" s="2" t="s">
        <v>3773</v>
      </c>
      <c r="E1149" s="2" t="s">
        <v>3789</v>
      </c>
      <c r="F1149" s="2" t="s">
        <v>3790</v>
      </c>
      <c r="G1149" s="2" t="s">
        <v>3791</v>
      </c>
      <c r="H1149" s="7" t="s">
        <v>3792</v>
      </c>
      <c r="I1149" s="2" t="s">
        <v>3793</v>
      </c>
    </row>
    <row r="1150" spans="1:9" ht="52" x14ac:dyDescent="0.3">
      <c r="A1150" s="1" t="str">
        <f>HYPERLINK("https://ipmanager.doe.gov/IPManager//ExternalLink.aspx?6ibkph2k9yi6F%2B0Vz7YoTgZwfmYxrNyKgB3n4x4Atyw%3D","Link")</f>
        <v>Link</v>
      </c>
      <c r="B1150" s="2" t="s">
        <v>3795</v>
      </c>
      <c r="C1150" s="2" t="s">
        <v>3772</v>
      </c>
      <c r="D1150" s="2" t="s">
        <v>2271</v>
      </c>
      <c r="E1150" s="2" t="s">
        <v>3796</v>
      </c>
      <c r="F1150" s="2"/>
      <c r="G1150" s="2" t="s">
        <v>9</v>
      </c>
      <c r="H1150" s="7"/>
      <c r="I1150" s="2" t="s">
        <v>9</v>
      </c>
    </row>
    <row r="1151" spans="1:9" ht="52" x14ac:dyDescent="0.3">
      <c r="A1151" s="1" t="str">
        <f>HYPERLINK("https://ipmanager.doe.gov/IPManager//ExternalLink.aspx?6ibkph2k9yi6F%2B0Vz7YoTjnDGhmGHGI76cd4SQBMcRA%3D","Link")</f>
        <v>Link</v>
      </c>
      <c r="B1151" s="2" t="s">
        <v>3797</v>
      </c>
      <c r="C1151" s="2" t="s">
        <v>3772</v>
      </c>
      <c r="D1151" s="2" t="s">
        <v>3285</v>
      </c>
      <c r="E1151" s="2" t="s">
        <v>3798</v>
      </c>
      <c r="F1151" s="2"/>
      <c r="G1151" s="2" t="s">
        <v>9</v>
      </c>
      <c r="H1151" s="7"/>
      <c r="I1151" s="2" t="s">
        <v>9</v>
      </c>
    </row>
    <row r="1152" spans="1:9" ht="52" x14ac:dyDescent="0.3">
      <c r="A1152" s="1" t="str">
        <f>HYPERLINK("https://ipmanager.doe.gov/IPManager//ExternalLink.aspx?6ibkph2k9yi6F%2B0Vz7YoTvPUg%2FVZPl3iFrrpRIOORCA%3D","Link")</f>
        <v>Link</v>
      </c>
      <c r="B1152" s="2" t="s">
        <v>6766</v>
      </c>
      <c r="C1152" s="2" t="s">
        <v>6763</v>
      </c>
      <c r="D1152" s="2" t="s">
        <v>3406</v>
      </c>
      <c r="E1152" s="2" t="s">
        <v>6764</v>
      </c>
      <c r="F1152" s="2" t="s">
        <v>6767</v>
      </c>
      <c r="G1152" s="2" t="s">
        <v>1329</v>
      </c>
      <c r="H1152" s="7"/>
      <c r="I1152" s="2" t="s">
        <v>9</v>
      </c>
    </row>
    <row r="1153" spans="1:9" ht="39" x14ac:dyDescent="0.3">
      <c r="A1153" s="1" t="str">
        <f>HYPERLINK("https://ipmanager.doe.gov/IPManager//ExternalLink.aspx?6ibkph2k9yi6F%2B0Vz7YoTr7J5I%2BY4foYASArkysSuk4%3D","Link")</f>
        <v>Link</v>
      </c>
      <c r="B1153" s="2" t="s">
        <v>3802</v>
      </c>
      <c r="C1153" s="2" t="s">
        <v>3772</v>
      </c>
      <c r="D1153" s="2" t="s">
        <v>2271</v>
      </c>
      <c r="E1153" s="2" t="s">
        <v>3803</v>
      </c>
      <c r="F1153" s="2"/>
      <c r="G1153" s="2" t="s">
        <v>9</v>
      </c>
      <c r="H1153" s="7"/>
      <c r="I1153" s="2" t="s">
        <v>9</v>
      </c>
    </row>
    <row r="1154" spans="1:9" ht="52" x14ac:dyDescent="0.3">
      <c r="A1154" s="1" t="str">
        <f>HYPERLINK("https://ipmanager.doe.gov/IPManager//ExternalLink.aspx?6ibkph2k9yi6F%2B0Vz7YoTjnDGhmGHGI70jYd6EHB7Po%3D","Link")</f>
        <v>Link</v>
      </c>
      <c r="B1154" s="2" t="s">
        <v>3804</v>
      </c>
      <c r="C1154" s="2" t="s">
        <v>3772</v>
      </c>
      <c r="D1154" s="2" t="s">
        <v>2271</v>
      </c>
      <c r="E1154" s="2" t="s">
        <v>3778</v>
      </c>
      <c r="F1154" s="2"/>
      <c r="G1154" s="2" t="s">
        <v>9</v>
      </c>
      <c r="H1154" s="7"/>
      <c r="I1154" s="2" t="s">
        <v>9</v>
      </c>
    </row>
    <row r="1155" spans="1:9" ht="65" x14ac:dyDescent="0.3">
      <c r="A1155" s="1" t="str">
        <f>HYPERLINK("https://ipmanager.doe.gov/IPManager//ExternalLink.aspx?6ibkph2k9yi6F%2B0Vz7YoTjnDGhmGHGI75rIrqyHFDdc%3D","Link")</f>
        <v>Link</v>
      </c>
      <c r="B1155" s="2" t="s">
        <v>3805</v>
      </c>
      <c r="C1155" s="2" t="s">
        <v>3772</v>
      </c>
      <c r="D1155" s="2" t="s">
        <v>2271</v>
      </c>
      <c r="E1155" s="2" t="s">
        <v>3806</v>
      </c>
      <c r="F1155" s="2"/>
      <c r="G1155" s="2" t="s">
        <v>9</v>
      </c>
      <c r="H1155" s="7"/>
      <c r="I1155" s="2" t="s">
        <v>9</v>
      </c>
    </row>
    <row r="1156" spans="1:9" ht="26" x14ac:dyDescent="0.3">
      <c r="A1156" s="1" t="str">
        <f>HYPERLINK("https://ipmanager.doe.gov/IPManager//ExternalLink.aspx?6ibkph2k9yi6F%2B0Vz7YoTgZwfmYxrNyKIQQLqcMpSCU%3D","Link")</f>
        <v>Link</v>
      </c>
      <c r="B1156" s="2" t="s">
        <v>3807</v>
      </c>
      <c r="C1156" s="2" t="s">
        <v>3772</v>
      </c>
      <c r="D1156" s="2" t="s">
        <v>2271</v>
      </c>
      <c r="E1156" s="2" t="s">
        <v>3808</v>
      </c>
      <c r="F1156" s="2"/>
      <c r="G1156" s="2" t="s">
        <v>9</v>
      </c>
      <c r="H1156" s="7"/>
      <c r="I1156" s="2" t="s">
        <v>9</v>
      </c>
    </row>
    <row r="1157" spans="1:9" ht="52" x14ac:dyDescent="0.3">
      <c r="A1157" s="1" t="str">
        <f>HYPERLINK("https://ipmanager.doe.gov/IPManager//ExternalLink.aspx?6ibkph2k9yi6F%2B0Vz7YoTgZwfmYxrNyKmOpBDYRIGcE%3D","Link")</f>
        <v>Link</v>
      </c>
      <c r="B1157" s="2" t="s">
        <v>3809</v>
      </c>
      <c r="C1157" s="2" t="s">
        <v>3772</v>
      </c>
      <c r="D1157" s="2" t="s">
        <v>2271</v>
      </c>
      <c r="E1157" s="2" t="s">
        <v>3810</v>
      </c>
      <c r="F1157" s="2"/>
      <c r="G1157" s="2" t="s">
        <v>9</v>
      </c>
      <c r="H1157" s="7"/>
      <c r="I1157" s="2" t="s">
        <v>9</v>
      </c>
    </row>
    <row r="1158" spans="1:9" ht="39" x14ac:dyDescent="0.3">
      <c r="A1158" s="1" t="str">
        <f>HYPERLINK("https://ipmanager.doe.gov/IPManager//ExternalLink.aspx?6ibkph2k9yi6F%2B0Vz7YoTgZwfmYxrNyKcm6HfJD9frs%3D","Link")</f>
        <v>Link</v>
      </c>
      <c r="B1158" s="2" t="s">
        <v>3811</v>
      </c>
      <c r="C1158" s="2" t="s">
        <v>3772</v>
      </c>
      <c r="D1158" s="2" t="s">
        <v>2271</v>
      </c>
      <c r="E1158" s="2" t="s">
        <v>3812</v>
      </c>
      <c r="F1158" s="2"/>
      <c r="G1158" s="2" t="s">
        <v>9</v>
      </c>
      <c r="H1158" s="7"/>
      <c r="I1158" s="2" t="s">
        <v>9</v>
      </c>
    </row>
    <row r="1159" spans="1:9" ht="39" x14ac:dyDescent="0.3">
      <c r="A1159" s="1" t="str">
        <f>HYPERLINK("https://ipmanager.doe.gov/IPManager//ExternalLink.aspx?6ibkph2k9yi6F%2B0Vz7YoTgZwfmYxrNyKbwsQFhtgq34%3D","Link")</f>
        <v>Link</v>
      </c>
      <c r="B1159" s="2" t="s">
        <v>3813</v>
      </c>
      <c r="C1159" s="2" t="s">
        <v>3772</v>
      </c>
      <c r="D1159" s="2" t="s">
        <v>2271</v>
      </c>
      <c r="E1159" s="2" t="s">
        <v>3814</v>
      </c>
      <c r="F1159" s="2"/>
      <c r="G1159" s="2" t="s">
        <v>9</v>
      </c>
      <c r="H1159" s="7"/>
      <c r="I1159" s="2" t="s">
        <v>9</v>
      </c>
    </row>
    <row r="1160" spans="1:9" ht="78" x14ac:dyDescent="0.3">
      <c r="A1160" s="1" t="str">
        <f>HYPERLINK("https://ipmanager.doe.gov/IPManager//ExternalLink.aspx?6ibkph2k9yi6F%2B0Vz7YoTgZwfmYxrNyKlnfJUvV8qAA%3D","Link")</f>
        <v>Link</v>
      </c>
      <c r="B1160" s="2" t="s">
        <v>3815</v>
      </c>
      <c r="C1160" s="2" t="s">
        <v>3772</v>
      </c>
      <c r="D1160" s="2" t="s">
        <v>2271</v>
      </c>
      <c r="E1160" s="2" t="s">
        <v>3816</v>
      </c>
      <c r="F1160" s="2"/>
      <c r="G1160" s="2" t="s">
        <v>9</v>
      </c>
      <c r="H1160" s="7"/>
      <c r="I1160" s="2" t="s">
        <v>9</v>
      </c>
    </row>
    <row r="1161" spans="1:9" ht="65" x14ac:dyDescent="0.3">
      <c r="A1161" s="1" t="str">
        <f>HYPERLINK("https://ipmanager.doe.gov/IPManager//ExternalLink.aspx?6ibkph2k9yi6F%2B0Vz7YoTgZwfmYxrNyK%2FX4Bn%2F%2FRiYo%3D","Link")</f>
        <v>Link</v>
      </c>
      <c r="B1161" s="2" t="s">
        <v>3817</v>
      </c>
      <c r="C1161" s="2" t="s">
        <v>3772</v>
      </c>
      <c r="D1161" s="2" t="s">
        <v>2271</v>
      </c>
      <c r="E1161" s="2" t="s">
        <v>3818</v>
      </c>
      <c r="F1161" s="2"/>
      <c r="G1161" s="2" t="s">
        <v>9</v>
      </c>
      <c r="H1161" s="7"/>
      <c r="I1161" s="2" t="s">
        <v>9</v>
      </c>
    </row>
    <row r="1162" spans="1:9" ht="39" x14ac:dyDescent="0.3">
      <c r="A1162" s="1" t="str">
        <f>HYPERLINK("https://ipmanager.doe.gov/IPManager//ExternalLink.aspx?6ibkph2k9yi6F%2B0Vz7YoTgZwfmYxrNyKnAgqXxEPQpc%3D","Link")</f>
        <v>Link</v>
      </c>
      <c r="B1162" s="2" t="s">
        <v>3819</v>
      </c>
      <c r="C1162" s="2" t="s">
        <v>3772</v>
      </c>
      <c r="D1162" s="2" t="s">
        <v>2271</v>
      </c>
      <c r="E1162" s="2" t="s">
        <v>3820</v>
      </c>
      <c r="F1162" s="2"/>
      <c r="G1162" s="2" t="s">
        <v>9</v>
      </c>
      <c r="H1162" s="7"/>
      <c r="I1162" s="2" t="s">
        <v>9</v>
      </c>
    </row>
    <row r="1163" spans="1:9" ht="52" x14ac:dyDescent="0.3">
      <c r="A1163" s="1" t="str">
        <f>HYPERLINK("https://ipmanager.doe.gov/IPManager//ExternalLink.aspx?6ibkph2k9yi6F%2B0Vz7YoTgZwfmYxrNyK6Ya9zUkohi8%3D","Link")</f>
        <v>Link</v>
      </c>
      <c r="B1163" s="2" t="s">
        <v>3821</v>
      </c>
      <c r="C1163" s="2" t="s">
        <v>3772</v>
      </c>
      <c r="D1163" s="2" t="s">
        <v>2271</v>
      </c>
      <c r="E1163" s="2" t="s">
        <v>3822</v>
      </c>
      <c r="F1163" s="2"/>
      <c r="G1163" s="2" t="s">
        <v>9</v>
      </c>
      <c r="H1163" s="7"/>
      <c r="I1163" s="2" t="s">
        <v>9</v>
      </c>
    </row>
    <row r="1164" spans="1:9" ht="52" x14ac:dyDescent="0.3">
      <c r="A1164" s="1" t="str">
        <f>HYPERLINK("https://ipmanager.doe.gov/IPManager//ExternalLink.aspx?6ibkph2k9yi6F%2B0Vz7YoTgZwfmYxrNyK09zbcaychgM%3D","Link")</f>
        <v>Link</v>
      </c>
      <c r="B1164" s="2" t="s">
        <v>3823</v>
      </c>
      <c r="C1164" s="2" t="s">
        <v>3772</v>
      </c>
      <c r="D1164" s="2" t="s">
        <v>3773</v>
      </c>
      <c r="E1164" s="2" t="s">
        <v>3824</v>
      </c>
      <c r="F1164" s="2"/>
      <c r="G1164" s="2" t="s">
        <v>9</v>
      </c>
      <c r="H1164" s="7"/>
      <c r="I1164" s="2" t="s">
        <v>9</v>
      </c>
    </row>
    <row r="1165" spans="1:9" ht="78" x14ac:dyDescent="0.3">
      <c r="A1165" s="1" t="str">
        <f>HYPERLINK("https://ipmanager.doe.gov/IPManager//ExternalLink.aspx?6ibkph2k9yi6F%2B0Vz7YoTjnDGhmGHGI7U8Zd%2ByYHV3w%3D","Link")</f>
        <v>Link</v>
      </c>
      <c r="B1165" s="2" t="s">
        <v>3825</v>
      </c>
      <c r="C1165" s="2" t="s">
        <v>3772</v>
      </c>
      <c r="D1165" s="2" t="s">
        <v>2271</v>
      </c>
      <c r="E1165" s="2" t="s">
        <v>3826</v>
      </c>
      <c r="F1165" s="2"/>
      <c r="G1165" s="2" t="s">
        <v>9</v>
      </c>
      <c r="H1165" s="7"/>
      <c r="I1165" s="2" t="s">
        <v>9</v>
      </c>
    </row>
    <row r="1166" spans="1:9" ht="52" x14ac:dyDescent="0.3">
      <c r="A1166" s="1" t="str">
        <f>HYPERLINK("https://ipmanager.doe.gov/IPManager//ExternalLink.aspx?6ibkph2k9yi6F%2B0Vz7YoTjnDGhmGHGI7iVNwJq%2B2axY%3D","Link")</f>
        <v>Link</v>
      </c>
      <c r="B1166" s="2" t="s">
        <v>3827</v>
      </c>
      <c r="C1166" s="2" t="s">
        <v>3772</v>
      </c>
      <c r="D1166" s="2" t="s">
        <v>2271</v>
      </c>
      <c r="E1166" s="2" t="s">
        <v>3828</v>
      </c>
      <c r="F1166" s="2"/>
      <c r="G1166" s="2" t="s">
        <v>9</v>
      </c>
      <c r="H1166" s="7"/>
      <c r="I1166" s="2" t="s">
        <v>9</v>
      </c>
    </row>
    <row r="1167" spans="1:9" ht="39" x14ac:dyDescent="0.3">
      <c r="A1167" s="1" t="str">
        <f>HYPERLINK("https://ipmanager.doe.gov/IPManager//ExternalLink.aspx?6ibkph2k9yi6F%2B0Vz7YoTjnDGhmGHGI7nrWx2Dq%2F0ig%3D","Link")</f>
        <v>Link</v>
      </c>
      <c r="B1167" s="2" t="s">
        <v>3829</v>
      </c>
      <c r="C1167" s="2" t="s">
        <v>3772</v>
      </c>
      <c r="D1167" s="2" t="s">
        <v>2271</v>
      </c>
      <c r="E1167" s="2" t="s">
        <v>3830</v>
      </c>
      <c r="F1167" s="2"/>
      <c r="G1167" s="2" t="s">
        <v>9</v>
      </c>
      <c r="H1167" s="7"/>
      <c r="I1167" s="2" t="s">
        <v>9</v>
      </c>
    </row>
    <row r="1168" spans="1:9" ht="39" x14ac:dyDescent="0.3">
      <c r="A1168" s="1" t="str">
        <f>HYPERLINK("https://ipmanager.doe.gov/IPManager//ExternalLink.aspx?6ibkph2k9yi6F%2B0Vz7YoTjnDGhmGHGI7X88AhDBu8CI%3D","Link")</f>
        <v>Link</v>
      </c>
      <c r="B1168" s="2" t="s">
        <v>3831</v>
      </c>
      <c r="C1168" s="2" t="s">
        <v>3772</v>
      </c>
      <c r="D1168" s="2" t="s">
        <v>2271</v>
      </c>
      <c r="E1168" s="2" t="s">
        <v>3832</v>
      </c>
      <c r="F1168" s="2"/>
      <c r="G1168" s="2" t="s">
        <v>9</v>
      </c>
      <c r="H1168" s="7"/>
      <c r="I1168" s="2" t="s">
        <v>9</v>
      </c>
    </row>
    <row r="1169" spans="1:9" ht="26" x14ac:dyDescent="0.3">
      <c r="A1169" s="1" t="str">
        <f>HYPERLINK("https://ipmanager.doe.gov/IPManager//ExternalLink.aspx?6ibkph2k9yi6F%2B0Vz7YoTjnDGhmGHGI7HZoyFbJwhqg%3D","Link")</f>
        <v>Link</v>
      </c>
      <c r="B1169" s="2" t="s">
        <v>3833</v>
      </c>
      <c r="C1169" s="2" t="s">
        <v>3772</v>
      </c>
      <c r="D1169" s="2" t="s">
        <v>2271</v>
      </c>
      <c r="E1169" s="2" t="s">
        <v>3834</v>
      </c>
      <c r="F1169" s="2" t="s">
        <v>3835</v>
      </c>
      <c r="G1169" s="2" t="s">
        <v>3836</v>
      </c>
      <c r="H1169" s="7" t="s">
        <v>3837</v>
      </c>
      <c r="I1169" s="2" t="s">
        <v>3838</v>
      </c>
    </row>
    <row r="1170" spans="1:9" ht="65" x14ac:dyDescent="0.3">
      <c r="A1170" s="1" t="str">
        <f>HYPERLINK("https://ipmanager.doe.gov/IPManager//ExternalLink.aspx?6ibkph2k9yi6F%2B0Vz7YoTvE8yjoHgvp6cwc4xE9QbtQ%3D","Link")</f>
        <v>Link</v>
      </c>
      <c r="B1170" s="2" t="s">
        <v>7081</v>
      </c>
      <c r="C1170" s="2" t="s">
        <v>7078</v>
      </c>
      <c r="D1170" s="2" t="s">
        <v>3406</v>
      </c>
      <c r="E1170" s="2" t="s">
        <v>7079</v>
      </c>
      <c r="F1170" s="2" t="s">
        <v>7082</v>
      </c>
      <c r="G1170" s="2" t="s">
        <v>3661</v>
      </c>
      <c r="H1170" s="7"/>
      <c r="I1170" s="2" t="s">
        <v>9</v>
      </c>
    </row>
    <row r="1171" spans="1:9" ht="39" x14ac:dyDescent="0.3">
      <c r="A1171" s="1" t="str">
        <f>HYPERLINK("https://ipmanager.doe.gov/IPManager//ExternalLink.aspx?6ibkph2k9yi6F%2B0Vz7YoTvPUg%2FVZPl3iIUYKe5ZfL1c%3D","Link")</f>
        <v>Link</v>
      </c>
      <c r="B1171" s="2" t="s">
        <v>3842</v>
      </c>
      <c r="C1171" s="2" t="s">
        <v>3772</v>
      </c>
      <c r="D1171" s="2" t="s">
        <v>3773</v>
      </c>
      <c r="E1171" s="2" t="s">
        <v>3843</v>
      </c>
      <c r="F1171" s="2" t="s">
        <v>3844</v>
      </c>
      <c r="G1171" s="2" t="s">
        <v>3845</v>
      </c>
      <c r="H1171" s="7" t="s">
        <v>3846</v>
      </c>
      <c r="I1171" s="2" t="s">
        <v>1846</v>
      </c>
    </row>
    <row r="1172" spans="1:9" ht="65" x14ac:dyDescent="0.3">
      <c r="A1172" s="1" t="str">
        <f>HYPERLINK("https://ipmanager.doe.gov/IPManager//ExternalLink.aspx?6ibkph2k9yi6F%2B0Vz7YoTsTAnuFk5EoABhDCnOFKBrs%3D","Link")</f>
        <v>Link</v>
      </c>
      <c r="B1172" s="2" t="s">
        <v>7083</v>
      </c>
      <c r="C1172" s="2" t="s">
        <v>7078</v>
      </c>
      <c r="D1172" s="2" t="s">
        <v>3406</v>
      </c>
      <c r="E1172" s="2" t="s">
        <v>7079</v>
      </c>
      <c r="F1172" s="2" t="s">
        <v>7080</v>
      </c>
      <c r="G1172" s="2" t="s">
        <v>2992</v>
      </c>
      <c r="H1172" s="7"/>
      <c r="I1172" s="2" t="s">
        <v>9</v>
      </c>
    </row>
    <row r="1173" spans="1:9" ht="39" x14ac:dyDescent="0.3">
      <c r="A1173" s="1" t="str">
        <f>HYPERLINK("https://ipmanager.doe.gov/IPManager//ExternalLink.aspx?6ibkph2k9yi6F%2B0Vz7YoTvPUg%2FVZPl3iE1xh1ITmUxE%3D","Link")</f>
        <v>Link</v>
      </c>
      <c r="B1173" s="2" t="s">
        <v>3850</v>
      </c>
      <c r="C1173" s="2" t="s">
        <v>3772</v>
      </c>
      <c r="D1173" s="2" t="s">
        <v>3773</v>
      </c>
      <c r="E1173" s="2" t="s">
        <v>3851</v>
      </c>
      <c r="F1173" s="2" t="s">
        <v>3852</v>
      </c>
      <c r="G1173" s="2" t="s">
        <v>3853</v>
      </c>
      <c r="H1173" s="7" t="s">
        <v>3854</v>
      </c>
      <c r="I1173" s="2" t="s">
        <v>1329</v>
      </c>
    </row>
    <row r="1174" spans="1:9" ht="78" x14ac:dyDescent="0.3">
      <c r="A1174" s="1" t="str">
        <f>HYPERLINK("https://ipmanager.doe.gov/IPManager//ExternalLink.aspx?6ibkph2k9yi6F%2B0Vz7YoTsTAnuFk5EoAzxZk6e6xoHo%3D","Link")</f>
        <v>Link</v>
      </c>
      <c r="B1174" s="2" t="s">
        <v>4781</v>
      </c>
      <c r="C1174" s="2" t="s">
        <v>5403</v>
      </c>
      <c r="D1174" s="2" t="s">
        <v>5404</v>
      </c>
      <c r="E1174" s="2" t="s">
        <v>5405</v>
      </c>
      <c r="F1174" s="2" t="s">
        <v>5406</v>
      </c>
      <c r="G1174" s="2" t="s">
        <v>5407</v>
      </c>
      <c r="H1174" s="7"/>
      <c r="I1174" s="2" t="s">
        <v>9</v>
      </c>
    </row>
    <row r="1175" spans="1:9" ht="26" x14ac:dyDescent="0.3">
      <c r="A1175" s="1" t="str">
        <f>HYPERLINK("https://ipmanager.doe.gov/IPManager//ExternalLink.aspx?6ibkph2k9yi6F%2B0Vz7YoTvE8yjoHgvp69xGfnwJuuA8%3D","Link")</f>
        <v>Link</v>
      </c>
      <c r="B1175" s="2" t="s">
        <v>6372</v>
      </c>
      <c r="C1175" s="2" t="s">
        <v>6369</v>
      </c>
      <c r="D1175" s="2" t="s">
        <v>6370</v>
      </c>
      <c r="E1175" s="2" t="s">
        <v>6373</v>
      </c>
      <c r="F1175" s="2" t="s">
        <v>6374</v>
      </c>
      <c r="G1175" s="2" t="s">
        <v>6375</v>
      </c>
      <c r="H1175" s="7"/>
      <c r="I1175" s="2" t="s">
        <v>9</v>
      </c>
    </row>
    <row r="1176" spans="1:9" ht="39" x14ac:dyDescent="0.3">
      <c r="A1176" s="1" t="str">
        <f>HYPERLINK("https://ipmanager.doe.gov/IPManager//ExternalLink.aspx?6ibkph2k9yi6F%2B0Vz7YoTvPUg%2FVZPl3i3NA4MS6LcCg%3D","Link")</f>
        <v>Link</v>
      </c>
      <c r="B1176" s="2" t="s">
        <v>5515</v>
      </c>
      <c r="C1176" s="2" t="s">
        <v>5505</v>
      </c>
      <c r="D1176" s="2" t="s">
        <v>5506</v>
      </c>
      <c r="E1176" s="2" t="s">
        <v>5516</v>
      </c>
      <c r="F1176" s="2" t="s">
        <v>5517</v>
      </c>
      <c r="G1176" s="2" t="s">
        <v>4880</v>
      </c>
      <c r="H1176" s="7"/>
      <c r="I1176" s="2" t="s">
        <v>9</v>
      </c>
    </row>
    <row r="1177" spans="1:9" ht="39" x14ac:dyDescent="0.3">
      <c r="A1177" s="1" t="str">
        <f>HYPERLINK("https://ipmanager.doe.gov/IPManager//ExternalLink.aspx?6ibkph2k9yi6F%2B0Vz7YoTo7DPLa3%2F%2FGgQtleH%2BMnBME%3D","Link")</f>
        <v>Link</v>
      </c>
      <c r="B1177" s="2" t="s">
        <v>3863</v>
      </c>
      <c r="C1177" s="2" t="s">
        <v>3772</v>
      </c>
      <c r="D1177" s="2" t="s">
        <v>3773</v>
      </c>
      <c r="E1177" s="2" t="s">
        <v>3864</v>
      </c>
      <c r="F1177" s="2" t="s">
        <v>3865</v>
      </c>
      <c r="G1177" s="2" t="s">
        <v>1218</v>
      </c>
      <c r="H1177" s="7"/>
      <c r="I1177" s="2" t="s">
        <v>9</v>
      </c>
    </row>
    <row r="1178" spans="1:9" ht="39" x14ac:dyDescent="0.3">
      <c r="A1178" s="1" t="str">
        <f>HYPERLINK("https://ipmanager.doe.gov/IPManager//ExternalLink.aspx?6ibkph2k9yi6F%2B0Vz7YoTgZwfmYxrNyKmmy0Q7OqsBA%3D","Link")</f>
        <v>Link</v>
      </c>
      <c r="B1178" s="2" t="s">
        <v>3867</v>
      </c>
      <c r="C1178" s="2" t="s">
        <v>3772</v>
      </c>
      <c r="D1178" s="2" t="s">
        <v>3773</v>
      </c>
      <c r="E1178" s="2" t="s">
        <v>3868</v>
      </c>
      <c r="F1178" s="2" t="s">
        <v>3869</v>
      </c>
      <c r="G1178" s="2" t="s">
        <v>3870</v>
      </c>
      <c r="H1178" s="7" t="s">
        <v>3871</v>
      </c>
      <c r="I1178" s="2" t="s">
        <v>3167</v>
      </c>
    </row>
    <row r="1179" spans="1:9" ht="52" x14ac:dyDescent="0.3">
      <c r="A1179" s="1" t="str">
        <f>HYPERLINK("https://ipmanager.doe.gov/IPManager//ExternalLink.aspx?6ibkph2k9yi6F%2B0Vz7YoTgZwfmYxrNyKwJpVABHUA2M%3D","Link")</f>
        <v>Link</v>
      </c>
      <c r="B1179" s="2" t="s">
        <v>3872</v>
      </c>
      <c r="C1179" s="2" t="s">
        <v>3772</v>
      </c>
      <c r="D1179" s="2" t="s">
        <v>3773</v>
      </c>
      <c r="E1179" s="2" t="s">
        <v>3873</v>
      </c>
      <c r="F1179" s="2" t="s">
        <v>3874</v>
      </c>
      <c r="G1179" s="2" t="s">
        <v>3875</v>
      </c>
      <c r="H1179" s="7"/>
      <c r="I1179" s="2" t="s">
        <v>9</v>
      </c>
    </row>
    <row r="1180" spans="1:9" ht="26" x14ac:dyDescent="0.3">
      <c r="A1180" s="1" t="str">
        <f>HYPERLINK("https://ipmanager.doe.gov/IPManager//ExternalLink.aspx?6ibkph2k9yi6F%2B0Vz7YoTgZwfmYxrNyK3yz3G%2Fvvhfk%3D","Link")</f>
        <v>Link</v>
      </c>
      <c r="B1180" s="2" t="s">
        <v>3876</v>
      </c>
      <c r="C1180" s="2" t="s">
        <v>3772</v>
      </c>
      <c r="D1180" s="2" t="s">
        <v>3773</v>
      </c>
      <c r="E1180" s="2" t="s">
        <v>3877</v>
      </c>
      <c r="F1180" s="2" t="s">
        <v>3878</v>
      </c>
      <c r="G1180" s="2" t="s">
        <v>1883</v>
      </c>
      <c r="H1180" s="7" t="s">
        <v>3879</v>
      </c>
      <c r="I1180" s="2" t="s">
        <v>9</v>
      </c>
    </row>
    <row r="1181" spans="1:9" ht="26" x14ac:dyDescent="0.3">
      <c r="A1181" s="1" t="str">
        <f>HYPERLINK("https://ipmanager.doe.gov/IPManager//ExternalLink.aspx?6ibkph2k9yi6F%2B0Vz7YoTgZwfmYxrNyKbXjOF%2BWdC8s%3D","Link")</f>
        <v>Link</v>
      </c>
      <c r="B1181" s="2" t="s">
        <v>3880</v>
      </c>
      <c r="C1181" s="2" t="s">
        <v>3772</v>
      </c>
      <c r="D1181" s="2" t="s">
        <v>3773</v>
      </c>
      <c r="E1181" s="2" t="s">
        <v>3881</v>
      </c>
      <c r="F1181" s="2" t="s">
        <v>3882</v>
      </c>
      <c r="G1181" s="2" t="s">
        <v>3318</v>
      </c>
      <c r="H1181" s="7"/>
      <c r="I1181" s="2" t="s">
        <v>9</v>
      </c>
    </row>
    <row r="1182" spans="1:9" ht="26" x14ac:dyDescent="0.3">
      <c r="A1182" s="1" t="str">
        <f>HYPERLINK("https://ipmanager.doe.gov/IPManager//ExternalLink.aspx?6ibkph2k9yi6F%2B0Vz7YoTgZwfmYxrNyK7lFN5TtfZGE%3D","Link")</f>
        <v>Link</v>
      </c>
      <c r="B1182" s="2" t="s">
        <v>3883</v>
      </c>
      <c r="C1182" s="2" t="s">
        <v>3772</v>
      </c>
      <c r="D1182" s="2" t="s">
        <v>3884</v>
      </c>
      <c r="E1182" s="2" t="s">
        <v>3885</v>
      </c>
      <c r="F1182" s="2" t="s">
        <v>3886</v>
      </c>
      <c r="G1182" s="2" t="s">
        <v>823</v>
      </c>
      <c r="H1182" s="7" t="s">
        <v>3887</v>
      </c>
      <c r="I1182" s="2" t="s">
        <v>740</v>
      </c>
    </row>
    <row r="1183" spans="1:9" ht="39" x14ac:dyDescent="0.3">
      <c r="A1183" s="1" t="str">
        <f>HYPERLINK("https://ipmanager.doe.gov/IPManager//ExternalLink.aspx?6ibkph2k9yi6F%2B0Vz7YoTgZwfmYxrNyKyrw4jVm1xdE%3D","Link")</f>
        <v>Link</v>
      </c>
      <c r="B1183" s="2" t="s">
        <v>3888</v>
      </c>
      <c r="C1183" s="2" t="s">
        <v>3772</v>
      </c>
      <c r="D1183" s="2" t="s">
        <v>2271</v>
      </c>
      <c r="E1183" s="2" t="s">
        <v>3889</v>
      </c>
      <c r="F1183" s="2" t="s">
        <v>3890</v>
      </c>
      <c r="G1183" s="2" t="s">
        <v>1404</v>
      </c>
      <c r="H1183" s="7" t="s">
        <v>3891</v>
      </c>
      <c r="I1183" s="2" t="s">
        <v>3892</v>
      </c>
    </row>
    <row r="1184" spans="1:9" ht="52" x14ac:dyDescent="0.3">
      <c r="A1184" s="1" t="str">
        <f>HYPERLINK("https://ipmanager.doe.gov/IPManager//ExternalLink.aspx?6ibkph2k9yi6F%2B0Vz7YoTjnDGhmGHGI7NOdgiMrd2bc%3D","Link")</f>
        <v>Link</v>
      </c>
      <c r="B1184" s="2" t="s">
        <v>3893</v>
      </c>
      <c r="C1184" s="2" t="s">
        <v>3772</v>
      </c>
      <c r="D1184" s="2" t="s">
        <v>2271</v>
      </c>
      <c r="E1184" s="2" t="s">
        <v>3894</v>
      </c>
      <c r="F1184" s="2" t="s">
        <v>3895</v>
      </c>
      <c r="G1184" s="2" t="s">
        <v>3896</v>
      </c>
      <c r="H1184" s="7" t="s">
        <v>3897</v>
      </c>
      <c r="I1184" s="2" t="s">
        <v>2130</v>
      </c>
    </row>
    <row r="1185" spans="1:9" ht="52" x14ac:dyDescent="0.3">
      <c r="A1185" s="1" t="str">
        <f>HYPERLINK("https://ipmanager.doe.gov/IPManager//ExternalLink.aspx?6ibkph2k9yi6F%2B0Vz7YoTjnDGhmGHGI7Pv33EA%2Bl58o%3D","Link")</f>
        <v>Link</v>
      </c>
      <c r="B1185" s="2" t="s">
        <v>3898</v>
      </c>
      <c r="C1185" s="2" t="s">
        <v>3772</v>
      </c>
      <c r="D1185" s="2" t="s">
        <v>3773</v>
      </c>
      <c r="E1185" s="2" t="s">
        <v>3899</v>
      </c>
      <c r="F1185" s="2" t="s">
        <v>3900</v>
      </c>
      <c r="G1185" s="2" t="s">
        <v>3901</v>
      </c>
      <c r="H1185" s="7" t="s">
        <v>3902</v>
      </c>
      <c r="I1185" s="2" t="s">
        <v>3903</v>
      </c>
    </row>
    <row r="1186" spans="1:9" ht="39" x14ac:dyDescent="0.3">
      <c r="A1186" s="1" t="str">
        <f>HYPERLINK("https://ipmanager.doe.gov/IPManager//ExternalLink.aspx?6ibkph2k9yi6F%2B0Vz7YoTjnDGhmGHGI7v2iApii3lvk%3D","Link")</f>
        <v>Link</v>
      </c>
      <c r="B1186" s="2" t="s">
        <v>3904</v>
      </c>
      <c r="C1186" s="2" t="s">
        <v>3772</v>
      </c>
      <c r="D1186" s="2" t="s">
        <v>3773</v>
      </c>
      <c r="E1186" s="2" t="s">
        <v>3905</v>
      </c>
      <c r="F1186" s="2" t="s">
        <v>3906</v>
      </c>
      <c r="G1186" s="2" t="s">
        <v>2723</v>
      </c>
      <c r="H1186" s="7" t="s">
        <v>3907</v>
      </c>
      <c r="I1186" s="2" t="s">
        <v>2948</v>
      </c>
    </row>
    <row r="1187" spans="1:9" ht="39" x14ac:dyDescent="0.3">
      <c r="A1187" s="1" t="str">
        <f>HYPERLINK("https://ipmanager.doe.gov/IPManager//ExternalLink.aspx?6ibkph2k9yi6F%2B0Vz7YoTjnDGhmGHGI7luucHaB2M3Y%3D","Link")</f>
        <v>Link</v>
      </c>
      <c r="B1187" s="2" t="s">
        <v>3908</v>
      </c>
      <c r="C1187" s="2" t="s">
        <v>3772</v>
      </c>
      <c r="D1187" s="2" t="s">
        <v>2271</v>
      </c>
      <c r="E1187" s="2" t="s">
        <v>3909</v>
      </c>
      <c r="F1187" s="2" t="s">
        <v>3910</v>
      </c>
      <c r="G1187" s="2" t="s">
        <v>159</v>
      </c>
      <c r="H1187" s="7" t="s">
        <v>3911</v>
      </c>
      <c r="I1187" s="2" t="s">
        <v>855</v>
      </c>
    </row>
    <row r="1188" spans="1:9" ht="26" x14ac:dyDescent="0.3">
      <c r="A1188" s="1" t="str">
        <f>HYPERLINK("https://ipmanager.doe.gov/IPManager//ExternalLink.aspx?6ibkph2k9yi6F%2B0Vz7YoTjnDGhmGHGI7Of0Y8EBElUk%3D","Link")</f>
        <v>Link</v>
      </c>
      <c r="B1188" s="2" t="s">
        <v>3912</v>
      </c>
      <c r="C1188" s="2" t="s">
        <v>3772</v>
      </c>
      <c r="D1188" s="2" t="s">
        <v>3773</v>
      </c>
      <c r="E1188" s="2" t="s">
        <v>3913</v>
      </c>
      <c r="F1188" s="2" t="s">
        <v>3914</v>
      </c>
      <c r="G1188" s="2" t="s">
        <v>1404</v>
      </c>
      <c r="H1188" s="7" t="s">
        <v>3915</v>
      </c>
      <c r="I1188" s="2" t="s">
        <v>3916</v>
      </c>
    </row>
    <row r="1189" spans="1:9" ht="26" x14ac:dyDescent="0.3">
      <c r="A1189" s="1" t="str">
        <f>HYPERLINK("https://ipmanager.doe.gov/IPManager//ExternalLink.aspx?6ibkph2k9yi6F%2B0Vz7YoTvPUg%2FVZPl3illZS%2FmgTk2w%3D","Link")</f>
        <v>Link</v>
      </c>
      <c r="B1189" s="2" t="s">
        <v>5518</v>
      </c>
      <c r="C1189" s="2" t="s">
        <v>5505</v>
      </c>
      <c r="D1189" s="2" t="s">
        <v>5506</v>
      </c>
      <c r="E1189" s="2" t="s">
        <v>5519</v>
      </c>
      <c r="F1189" s="2" t="s">
        <v>5520</v>
      </c>
      <c r="G1189" s="2" t="s">
        <v>1857</v>
      </c>
      <c r="H1189" s="7"/>
      <c r="I1189" s="2" t="s">
        <v>9</v>
      </c>
    </row>
    <row r="1190" spans="1:9" ht="39" x14ac:dyDescent="0.3">
      <c r="A1190" s="1" t="str">
        <f>HYPERLINK("https://ipmanager.doe.gov/IPManager//ExternalLink.aspx?6ibkph2k9yi6F%2B0Vz7YoTjnDGhmGHGI7uiXi1p2R9gQ%3D","Link")</f>
        <v>Link</v>
      </c>
      <c r="B1190" s="2" t="s">
        <v>3920</v>
      </c>
      <c r="C1190" s="2" t="s">
        <v>3772</v>
      </c>
      <c r="D1190" s="2" t="s">
        <v>2271</v>
      </c>
      <c r="E1190" s="2" t="s">
        <v>3921</v>
      </c>
      <c r="F1190" s="2" t="s">
        <v>3922</v>
      </c>
      <c r="G1190" s="2" t="s">
        <v>3923</v>
      </c>
      <c r="H1190" s="7" t="s">
        <v>3924</v>
      </c>
      <c r="I1190" s="2" t="s">
        <v>201</v>
      </c>
    </row>
    <row r="1191" spans="1:9" ht="39" x14ac:dyDescent="0.3">
      <c r="A1191" s="1" t="str">
        <f>HYPERLINK("https://ipmanager.doe.gov/IPManager//ExternalLink.aspx?6ibkph2k9yi6F%2B0Vz7YoTjnDGhmGHGI7q3xbhL8K4lY%3D","Link")</f>
        <v>Link</v>
      </c>
      <c r="B1191" s="2" t="s">
        <v>3925</v>
      </c>
      <c r="C1191" s="2" t="s">
        <v>3772</v>
      </c>
      <c r="D1191" s="2" t="s">
        <v>3773</v>
      </c>
      <c r="E1191" s="2" t="s">
        <v>3926</v>
      </c>
      <c r="F1191" s="2" t="s">
        <v>3927</v>
      </c>
      <c r="G1191" s="2" t="s">
        <v>2616</v>
      </c>
      <c r="H1191" s="7" t="s">
        <v>3928</v>
      </c>
      <c r="I1191" s="2" t="s">
        <v>2649</v>
      </c>
    </row>
    <row r="1192" spans="1:9" ht="26" x14ac:dyDescent="0.3">
      <c r="A1192" s="1" t="str">
        <f>HYPERLINK("https://ipmanager.doe.gov/IPManager//ExternalLink.aspx?6ibkph2k9yi6F%2B0Vz7YoTjnDGhmGHGI7sNQt16CrSCA%3D","Link")</f>
        <v>Link</v>
      </c>
      <c r="B1192" s="2" t="s">
        <v>3929</v>
      </c>
      <c r="C1192" s="2" t="s">
        <v>3772</v>
      </c>
      <c r="D1192" s="2" t="s">
        <v>3773</v>
      </c>
      <c r="E1192" s="2" t="s">
        <v>3930</v>
      </c>
      <c r="F1192" s="2" t="s">
        <v>3931</v>
      </c>
      <c r="G1192" s="2" t="s">
        <v>823</v>
      </c>
      <c r="H1192" s="7"/>
      <c r="I1192" s="2" t="s">
        <v>9</v>
      </c>
    </row>
    <row r="1193" spans="1:9" ht="26" x14ac:dyDescent="0.3">
      <c r="A1193" s="1" t="str">
        <f>HYPERLINK("https://ipmanager.doe.gov/IPManager//ExternalLink.aspx?6ibkph2k9yi6F%2B0Vz7YoTjnDGhmGHGI77CJ5Rp8RIzY%3D","Link")</f>
        <v>Link</v>
      </c>
      <c r="B1193" s="2" t="s">
        <v>3932</v>
      </c>
      <c r="C1193" s="2" t="s">
        <v>3772</v>
      </c>
      <c r="D1193" s="2" t="s">
        <v>3773</v>
      </c>
      <c r="E1193" s="2" t="s">
        <v>3933</v>
      </c>
      <c r="F1193" s="2" t="s">
        <v>3794</v>
      </c>
      <c r="G1193" s="2" t="s">
        <v>3934</v>
      </c>
      <c r="H1193" s="7"/>
      <c r="I1193" s="2" t="s">
        <v>9</v>
      </c>
    </row>
    <row r="1194" spans="1:9" ht="52" x14ac:dyDescent="0.3">
      <c r="A1194" s="1" t="str">
        <f>HYPERLINK("https://ipmanager.doe.gov/IPManager//ExternalLink.aspx?6ibkph2k9yi6F%2B0Vz7YoTjnDGhmGHGI7YdNrZfntyFc%3D","Link")</f>
        <v>Link</v>
      </c>
      <c r="B1194" s="2" t="s">
        <v>3935</v>
      </c>
      <c r="C1194" s="2" t="s">
        <v>3772</v>
      </c>
      <c r="D1194" s="2" t="s">
        <v>3773</v>
      </c>
      <c r="E1194" s="2" t="s">
        <v>3936</v>
      </c>
      <c r="F1194" s="2" t="s">
        <v>3937</v>
      </c>
      <c r="G1194" s="2" t="s">
        <v>3938</v>
      </c>
      <c r="H1194" s="7" t="s">
        <v>3939</v>
      </c>
      <c r="I1194" s="2" t="s">
        <v>1846</v>
      </c>
    </row>
    <row r="1195" spans="1:9" ht="26" x14ac:dyDescent="0.3">
      <c r="A1195" s="1" t="str">
        <f>HYPERLINK("https://ipmanager.doe.gov/IPManager//ExternalLink.aspx?6ibkph2k9yi6F%2B0Vz7YoTjnDGhmGHGI7%2Frxd2qAX%2Fqg%3D","Link")</f>
        <v>Link</v>
      </c>
      <c r="B1195" s="2" t="s">
        <v>3940</v>
      </c>
      <c r="C1195" s="2" t="s">
        <v>3772</v>
      </c>
      <c r="D1195" s="2" t="s">
        <v>3773</v>
      </c>
      <c r="E1195" s="2" t="s">
        <v>3941</v>
      </c>
      <c r="F1195" s="2" t="s">
        <v>3942</v>
      </c>
      <c r="G1195" s="2" t="s">
        <v>1785</v>
      </c>
      <c r="H1195" s="7" t="s">
        <v>3943</v>
      </c>
      <c r="I1195" s="2" t="s">
        <v>1325</v>
      </c>
    </row>
    <row r="1196" spans="1:9" ht="39" x14ac:dyDescent="0.3">
      <c r="A1196" s="1" t="str">
        <f>HYPERLINK("https://ipmanager.doe.gov/IPManager//ExternalLink.aspx?6ibkph2k9yi6F%2B0Vz7YoTgZwfmYxrNyKpmsApOkf92s%3D","Link")</f>
        <v>Link</v>
      </c>
      <c r="B1196" s="2" t="s">
        <v>3944</v>
      </c>
      <c r="C1196" s="2" t="s">
        <v>3772</v>
      </c>
      <c r="D1196" s="2" t="s">
        <v>3773</v>
      </c>
      <c r="E1196" s="2" t="s">
        <v>3945</v>
      </c>
      <c r="F1196" s="2" t="s">
        <v>3946</v>
      </c>
      <c r="G1196" s="2" t="s">
        <v>2723</v>
      </c>
      <c r="H1196" s="8">
        <v>9627671</v>
      </c>
      <c r="I1196" s="2" t="s">
        <v>3947</v>
      </c>
    </row>
    <row r="1197" spans="1:9" ht="39" x14ac:dyDescent="0.3">
      <c r="A1197" s="1" t="str">
        <f>HYPERLINK("https://ipmanager.doe.gov/IPManager//ExternalLink.aspx?6ibkph2k9yi6F%2B0Vz7YoTjnDGhmGHGI7DzjEyeD%2Fc5k%3D","Link")</f>
        <v>Link</v>
      </c>
      <c r="B1197" s="2" t="s">
        <v>3948</v>
      </c>
      <c r="C1197" s="2" t="s">
        <v>3772</v>
      </c>
      <c r="D1197" s="2" t="s">
        <v>3773</v>
      </c>
      <c r="E1197" s="2" t="s">
        <v>3949</v>
      </c>
      <c r="F1197" s="2" t="s">
        <v>3950</v>
      </c>
      <c r="G1197" s="2" t="s">
        <v>823</v>
      </c>
      <c r="H1197" s="7" t="s">
        <v>3951</v>
      </c>
      <c r="I1197" s="2" t="s">
        <v>9</v>
      </c>
    </row>
    <row r="1198" spans="1:9" ht="52" x14ac:dyDescent="0.3">
      <c r="A1198" s="1" t="str">
        <f>HYPERLINK("https://ipmanager.doe.gov/IPManager//ExternalLink.aspx?6ibkph2k9yi6F%2B0Vz7YoTjnDGhmGHGI7azNBfQFF48A%3D","Link")</f>
        <v>Link</v>
      </c>
      <c r="B1198" s="2" t="s">
        <v>3952</v>
      </c>
      <c r="C1198" s="2" t="s">
        <v>3772</v>
      </c>
      <c r="D1198" s="2" t="s">
        <v>2271</v>
      </c>
      <c r="E1198" s="2" t="s">
        <v>3953</v>
      </c>
      <c r="F1198" s="2" t="s">
        <v>3954</v>
      </c>
      <c r="G1198" s="2" t="s">
        <v>3955</v>
      </c>
      <c r="H1198" s="7" t="s">
        <v>3956</v>
      </c>
      <c r="I1198" s="2" t="s">
        <v>3521</v>
      </c>
    </row>
    <row r="1199" spans="1:9" ht="26" x14ac:dyDescent="0.3">
      <c r="A1199" s="1" t="str">
        <f>HYPERLINK("https://ipmanager.doe.gov/IPManager//ExternalLink.aspx?6ibkph2k9yi6F%2B0Vz7YoTvPUg%2FVZPl3iwP27dkF7yA8%3D","Link")</f>
        <v>Link</v>
      </c>
      <c r="B1199" s="2" t="s">
        <v>5521</v>
      </c>
      <c r="C1199" s="2" t="s">
        <v>5505</v>
      </c>
      <c r="D1199" s="2" t="s">
        <v>5506</v>
      </c>
      <c r="E1199" s="2" t="s">
        <v>5522</v>
      </c>
      <c r="F1199" s="2" t="s">
        <v>5523</v>
      </c>
      <c r="G1199" s="2" t="s">
        <v>3380</v>
      </c>
      <c r="H1199" s="7"/>
      <c r="I1199" s="2" t="s">
        <v>9</v>
      </c>
    </row>
    <row r="1200" spans="1:9" ht="39" x14ac:dyDescent="0.3">
      <c r="A1200" s="1" t="str">
        <f>HYPERLINK("https://ipmanager.doe.gov/IPManager//ExternalLink.aspx?6ibkph2k9yi6F%2B0Vz7YoTjnDGhmGHGI7YPEtWenWkzk%3D","Link")</f>
        <v>Link</v>
      </c>
      <c r="B1200" s="2" t="s">
        <v>3961</v>
      </c>
      <c r="C1200" s="2" t="s">
        <v>3958</v>
      </c>
      <c r="D1200" s="2" t="s">
        <v>1793</v>
      </c>
      <c r="E1200" s="2" t="s">
        <v>3962</v>
      </c>
      <c r="F1200" s="2" t="s">
        <v>3963</v>
      </c>
      <c r="G1200" s="2" t="s">
        <v>3964</v>
      </c>
      <c r="H1200" s="7" t="s">
        <v>3965</v>
      </c>
      <c r="I1200" s="2" t="s">
        <v>9</v>
      </c>
    </row>
    <row r="1201" spans="1:9" ht="39" x14ac:dyDescent="0.3">
      <c r="A1201" s="1" t="str">
        <f>HYPERLINK("https://ipmanager.doe.gov/IPManager//ExternalLink.aspx?6ibkph2k9yi6F%2B0Vz7YoTvPUg%2FVZPl3i0SAZL%2FS%2FmRQ%3D","Link")</f>
        <v>Link</v>
      </c>
      <c r="B1201" s="2" t="s">
        <v>5524</v>
      </c>
      <c r="C1201" s="2" t="s">
        <v>5505</v>
      </c>
      <c r="D1201" s="2" t="s">
        <v>5506</v>
      </c>
      <c r="E1201" s="2" t="s">
        <v>5525</v>
      </c>
      <c r="F1201" s="2" t="s">
        <v>5526</v>
      </c>
      <c r="G1201" s="2" t="s">
        <v>1256</v>
      </c>
      <c r="H1201" s="7"/>
      <c r="I1201" s="2" t="s">
        <v>9</v>
      </c>
    </row>
    <row r="1202" spans="1:9" ht="52" x14ac:dyDescent="0.3">
      <c r="A1202" s="1" t="str">
        <f>HYPERLINK("https://ipmanager.doe.gov/IPManager//ExternalLink.aspx?6ibkph2k9yi6F%2B0Vz7YoTvPUg%2FVZPl3in9PCbogLt%2F0%3D","Link")</f>
        <v>Link</v>
      </c>
      <c r="B1202" s="2" t="s">
        <v>5527</v>
      </c>
      <c r="C1202" s="2" t="s">
        <v>5505</v>
      </c>
      <c r="D1202" s="2" t="s">
        <v>5506</v>
      </c>
      <c r="E1202" s="2" t="s">
        <v>5528</v>
      </c>
      <c r="F1202" s="2" t="s">
        <v>5529</v>
      </c>
      <c r="G1202" s="2" t="s">
        <v>5530</v>
      </c>
      <c r="H1202" s="7"/>
      <c r="I1202" s="2" t="s">
        <v>9</v>
      </c>
    </row>
    <row r="1203" spans="1:9" ht="52" x14ac:dyDescent="0.3">
      <c r="A1203" s="1" t="str">
        <f>HYPERLINK("https://ipmanager.doe.gov/IPManager//ExternalLink.aspx?6ibkph2k9yi6F%2B0Vz7YoTjnDGhmGHGI7592cuZsgQ9s%3D","Link")</f>
        <v>Link</v>
      </c>
      <c r="B1203" s="2" t="s">
        <v>4655</v>
      </c>
      <c r="C1203" s="2" t="s">
        <v>4656</v>
      </c>
      <c r="D1203" s="2" t="s">
        <v>4657</v>
      </c>
      <c r="E1203" s="2" t="s">
        <v>4658</v>
      </c>
      <c r="F1203" s="2" t="s">
        <v>4659</v>
      </c>
      <c r="G1203" s="2" t="s">
        <v>4660</v>
      </c>
      <c r="H1203" s="7"/>
      <c r="I1203" s="2" t="s">
        <v>9</v>
      </c>
    </row>
    <row r="1204" spans="1:9" ht="39" x14ac:dyDescent="0.3">
      <c r="A1204" s="1" t="str">
        <f>HYPERLINK("https://ipmanager.doe.gov/IPManager//ExternalLink.aspx?6ibkph2k9yi6F%2B0Vz7YoTvPUg%2FVZPl3ivuqtnEYsru8%3D","Link")</f>
        <v>Link</v>
      </c>
      <c r="B1204" s="2" t="s">
        <v>3976</v>
      </c>
      <c r="C1204" s="2" t="s">
        <v>3958</v>
      </c>
      <c r="D1204" s="2" t="s">
        <v>1793</v>
      </c>
      <c r="E1204" s="2" t="s">
        <v>3977</v>
      </c>
      <c r="F1204" s="2" t="s">
        <v>3978</v>
      </c>
      <c r="G1204" s="2" t="s">
        <v>3964</v>
      </c>
      <c r="H1204" s="7" t="s">
        <v>3979</v>
      </c>
      <c r="I1204" s="2" t="s">
        <v>3980</v>
      </c>
    </row>
    <row r="1205" spans="1:9" ht="78" x14ac:dyDescent="0.3">
      <c r="A1205" s="1" t="str">
        <f>HYPERLINK("https://ipmanager.doe.gov/IPManager//ExternalLink.aspx?6ibkph2k9yi6F%2B0Vz7YoTgZwfmYxrNyKNJxr6I2TUeg%3D","Link")</f>
        <v>Link</v>
      </c>
      <c r="B1205" s="2" t="s">
        <v>5782</v>
      </c>
      <c r="C1205" s="2" t="s">
        <v>5760</v>
      </c>
      <c r="D1205" s="2" t="s">
        <v>4657</v>
      </c>
      <c r="E1205" s="2" t="s">
        <v>5783</v>
      </c>
      <c r="F1205" s="2" t="s">
        <v>5784</v>
      </c>
      <c r="G1205" s="2" t="s">
        <v>5785</v>
      </c>
      <c r="H1205" s="7"/>
      <c r="I1205" s="2" t="s">
        <v>9</v>
      </c>
    </row>
    <row r="1206" spans="1:9" ht="39" x14ac:dyDescent="0.3">
      <c r="A1206" s="1" t="str">
        <f>HYPERLINK("https://ipmanager.doe.gov/IPManager//ExternalLink.aspx?6ibkph2k9yi6F%2B0Vz7YoTq6RR9BlGHHiUm%2FkXhb8OX8%3D","Link")</f>
        <v>Link</v>
      </c>
      <c r="B1206" s="2" t="s">
        <v>3986</v>
      </c>
      <c r="C1206" s="2" t="s">
        <v>3958</v>
      </c>
      <c r="D1206" s="2" t="s">
        <v>1793</v>
      </c>
      <c r="E1206" s="2" t="s">
        <v>3987</v>
      </c>
      <c r="F1206" s="2" t="s">
        <v>3988</v>
      </c>
      <c r="G1206" s="2" t="s">
        <v>3597</v>
      </c>
      <c r="H1206" s="7"/>
      <c r="I1206" s="2" t="s">
        <v>9</v>
      </c>
    </row>
    <row r="1207" spans="1:9" ht="39" x14ac:dyDescent="0.3">
      <c r="A1207" s="1" t="str">
        <f>HYPERLINK("https://ipmanager.doe.gov/IPManager//ExternalLink.aspx?6ibkph2k9yi6F%2B0Vz7YoTnXVN2REjGcWGJIXAT26N50%3D","Link")</f>
        <v>Link</v>
      </c>
      <c r="B1207" s="2" t="s">
        <v>3989</v>
      </c>
      <c r="C1207" s="2" t="s">
        <v>3958</v>
      </c>
      <c r="D1207" s="2" t="s">
        <v>1793</v>
      </c>
      <c r="E1207" s="2" t="s">
        <v>3990</v>
      </c>
      <c r="F1207" s="2" t="s">
        <v>3991</v>
      </c>
      <c r="G1207" s="2" t="s">
        <v>3150</v>
      </c>
      <c r="H1207" s="7"/>
      <c r="I1207" s="2" t="s">
        <v>9</v>
      </c>
    </row>
    <row r="1208" spans="1:9" ht="52" x14ac:dyDescent="0.3">
      <c r="A1208" s="1" t="str">
        <f>HYPERLINK("https://ipmanager.doe.gov/IPManager//ExternalLink.aspx?6ibkph2k9yi6F%2B0Vz7YoTgZwfmYxrNyKoCf7fCilTgM%3D","Link")</f>
        <v>Link</v>
      </c>
      <c r="B1208" s="2" t="s">
        <v>3992</v>
      </c>
      <c r="C1208" s="2" t="s">
        <v>3958</v>
      </c>
      <c r="D1208" s="2" t="s">
        <v>1793</v>
      </c>
      <c r="E1208" s="2" t="s">
        <v>3993</v>
      </c>
      <c r="F1208" s="2" t="s">
        <v>3994</v>
      </c>
      <c r="G1208" s="2" t="s">
        <v>3985</v>
      </c>
      <c r="H1208" s="7" t="s">
        <v>3995</v>
      </c>
      <c r="I1208" s="2" t="s">
        <v>3996</v>
      </c>
    </row>
    <row r="1209" spans="1:9" ht="39" x14ac:dyDescent="0.3">
      <c r="A1209" s="1" t="str">
        <f>HYPERLINK("https://ipmanager.doe.gov/IPManager//ExternalLink.aspx?6ibkph2k9yi6F%2B0Vz7YoTgZwfmYxrNyKV%2BzsH89tYb8%3D","Link")</f>
        <v>Link</v>
      </c>
      <c r="B1209" s="2" t="s">
        <v>3997</v>
      </c>
      <c r="C1209" s="2" t="s">
        <v>3958</v>
      </c>
      <c r="D1209" s="2" t="s">
        <v>1793</v>
      </c>
      <c r="E1209" s="2" t="s">
        <v>3998</v>
      </c>
      <c r="F1209" s="2" t="s">
        <v>3999</v>
      </c>
      <c r="G1209" s="2" t="s">
        <v>3985</v>
      </c>
      <c r="H1209" s="8">
        <v>9748857</v>
      </c>
      <c r="I1209" s="2" t="s">
        <v>3916</v>
      </c>
    </row>
    <row r="1210" spans="1:9" ht="26" x14ac:dyDescent="0.3">
      <c r="A1210" s="1" t="str">
        <f>HYPERLINK("https://ipmanager.doe.gov/IPManager//ExternalLink.aspx?6ibkph2k9yi6F%2B0Vz7YoTq6RR9BlGHHi8qG6NzWC69g%3D","Link")</f>
        <v>Link</v>
      </c>
      <c r="B1210" s="2" t="s">
        <v>4001</v>
      </c>
      <c r="C1210" s="2" t="s">
        <v>3958</v>
      </c>
      <c r="D1210" s="2" t="s">
        <v>1793</v>
      </c>
      <c r="E1210" s="2" t="s">
        <v>4002</v>
      </c>
      <c r="F1210" s="2"/>
      <c r="G1210" s="2" t="s">
        <v>9</v>
      </c>
      <c r="H1210" s="7"/>
      <c r="I1210" s="2" t="s">
        <v>9</v>
      </c>
    </row>
    <row r="1211" spans="1:9" ht="52" x14ac:dyDescent="0.3">
      <c r="A1211" s="1" t="str">
        <f>HYPERLINK("https://ipmanager.doe.gov/IPManager//ExternalLink.aspx?6ibkph2k9yi6F%2B0Vz7YoTr7J5I%2BY4foYgSypYusry38%3D","Link")</f>
        <v>Link</v>
      </c>
      <c r="B1211" s="2" t="s">
        <v>4004</v>
      </c>
      <c r="C1211" s="2" t="s">
        <v>3958</v>
      </c>
      <c r="D1211" s="2" t="s">
        <v>1793</v>
      </c>
      <c r="E1211" s="2" t="s">
        <v>4005</v>
      </c>
      <c r="F1211" s="2"/>
      <c r="G1211" s="2" t="s">
        <v>9</v>
      </c>
      <c r="H1211" s="7"/>
      <c r="I1211" s="2" t="s">
        <v>9</v>
      </c>
    </row>
    <row r="1212" spans="1:9" ht="39" x14ac:dyDescent="0.3">
      <c r="A1212" s="1" t="str">
        <f>HYPERLINK("https://ipmanager.doe.gov/IPManager//ExternalLink.aspx?6ibkph2k9yi6F%2B0Vz7YoThEBhkR3uHVrAXg%2BNVt079w%3D","Link")</f>
        <v>Link</v>
      </c>
      <c r="B1212" s="2" t="s">
        <v>4006</v>
      </c>
      <c r="C1212" s="2" t="s">
        <v>4007</v>
      </c>
      <c r="D1212" s="2" t="s">
        <v>4008</v>
      </c>
      <c r="E1212" s="2" t="s">
        <v>4009</v>
      </c>
      <c r="F1212" s="2" t="s">
        <v>4010</v>
      </c>
      <c r="G1212" s="2" t="s">
        <v>4011</v>
      </c>
      <c r="H1212" s="7" t="s">
        <v>4012</v>
      </c>
      <c r="I1212" s="2" t="s">
        <v>597</v>
      </c>
    </row>
    <row r="1213" spans="1:9" ht="52" x14ac:dyDescent="0.3">
      <c r="A1213" s="1" t="str">
        <f>HYPERLINK("https://ipmanager.doe.gov/IPManager//ExternalLink.aspx?6ibkph2k9yi6F%2B0Vz7YoTvPUg%2FVZPl3iA9Q6oTnz7vw%3D","Link")</f>
        <v>Link</v>
      </c>
      <c r="B1213" s="2" t="s">
        <v>4014</v>
      </c>
      <c r="C1213" s="2" t="s">
        <v>4007</v>
      </c>
      <c r="D1213" s="2" t="s">
        <v>4008</v>
      </c>
      <c r="E1213" s="2" t="s">
        <v>4015</v>
      </c>
      <c r="F1213" s="2" t="s">
        <v>4016</v>
      </c>
      <c r="G1213" s="2" t="s">
        <v>4017</v>
      </c>
      <c r="H1213" s="7" t="s">
        <v>4018</v>
      </c>
      <c r="I1213" s="2" t="s">
        <v>855</v>
      </c>
    </row>
    <row r="1214" spans="1:9" ht="26" x14ac:dyDescent="0.3">
      <c r="A1214" s="1" t="str">
        <f>HYPERLINK("https://ipmanager.doe.gov/IPManager//ExternalLink.aspx?6ibkph2k9yi6F%2B0Vz7YoTo7DPLa3%2F%2FGg%2Fhs4BnmpdTo%3D","Link")</f>
        <v>Link</v>
      </c>
      <c r="B1214" s="2" t="s">
        <v>4019</v>
      </c>
      <c r="C1214" s="2" t="s">
        <v>4007</v>
      </c>
      <c r="D1214" s="2" t="s">
        <v>4008</v>
      </c>
      <c r="E1214" s="2" t="s">
        <v>4020</v>
      </c>
      <c r="F1214" s="2" t="s">
        <v>4021</v>
      </c>
      <c r="G1214" s="2" t="s">
        <v>4022</v>
      </c>
      <c r="H1214" s="7" t="s">
        <v>4023</v>
      </c>
      <c r="I1214" s="2" t="s">
        <v>4024</v>
      </c>
    </row>
    <row r="1215" spans="1:9" ht="39" x14ac:dyDescent="0.3">
      <c r="A1215" s="1" t="str">
        <f>HYPERLINK("https://ipmanager.doe.gov/IPManager//ExternalLink.aspx?6ibkph2k9yi6F%2B0Vz7YoTlNm8snv%2FZpHCjmOAHZbq9k%3D","Link")</f>
        <v>Link</v>
      </c>
      <c r="B1215" s="2" t="s">
        <v>4025</v>
      </c>
      <c r="C1215" s="2" t="s">
        <v>4007</v>
      </c>
      <c r="D1215" s="2" t="s">
        <v>4008</v>
      </c>
      <c r="E1215" s="2" t="s">
        <v>4026</v>
      </c>
      <c r="F1215" s="2" t="s">
        <v>4027</v>
      </c>
      <c r="G1215" s="2" t="s">
        <v>4022</v>
      </c>
      <c r="H1215" s="7"/>
      <c r="I1215" s="2" t="s">
        <v>9</v>
      </c>
    </row>
    <row r="1216" spans="1:9" ht="39" x14ac:dyDescent="0.3">
      <c r="A1216" s="1" t="str">
        <f>HYPERLINK("https://ipmanager.doe.gov/IPManager//ExternalLink.aspx?6ibkph2k9yi6F%2B0Vz7YoTgZwfmYxrNyK8MqsQHE3ET8%3D","Link")</f>
        <v>Link</v>
      </c>
      <c r="B1216" s="2" t="s">
        <v>5786</v>
      </c>
      <c r="C1216" s="2" t="s">
        <v>5760</v>
      </c>
      <c r="D1216" s="2" t="s">
        <v>4657</v>
      </c>
      <c r="E1216" s="2" t="s">
        <v>5787</v>
      </c>
      <c r="F1216" s="2" t="s">
        <v>5788</v>
      </c>
      <c r="G1216" s="2" t="s">
        <v>5789</v>
      </c>
      <c r="H1216" s="7"/>
      <c r="I1216" s="2" t="s">
        <v>9</v>
      </c>
    </row>
    <row r="1217" spans="1:9" ht="39" x14ac:dyDescent="0.3">
      <c r="A1217" s="1" t="str">
        <f>HYPERLINK("https://ipmanager.doe.gov/IPManager//ExternalLink.aspx?6ibkph2k9yi6F%2B0Vz7YoTlNm8snv%2FZpH%2FMbrTKCfvWc%3D","Link")</f>
        <v>Link</v>
      </c>
      <c r="B1217" s="2" t="s">
        <v>4031</v>
      </c>
      <c r="C1217" s="2" t="s">
        <v>4007</v>
      </c>
      <c r="D1217" s="2" t="s">
        <v>4008</v>
      </c>
      <c r="E1217" s="2" t="s">
        <v>4032</v>
      </c>
      <c r="F1217" s="2" t="s">
        <v>4033</v>
      </c>
      <c r="G1217" s="2" t="s">
        <v>4022</v>
      </c>
      <c r="H1217" s="7" t="s">
        <v>4034</v>
      </c>
      <c r="I1217" s="2" t="s">
        <v>4035</v>
      </c>
    </row>
    <row r="1218" spans="1:9" ht="39" x14ac:dyDescent="0.3">
      <c r="A1218" s="1" t="str">
        <f>HYPERLINK("https://ipmanager.doe.gov/IPManager//ExternalLink.aspx?6ibkph2k9yi6F%2B0Vz7YoTlNm8snv%2FZpHG%2FWzqQGz7TQ%3D","Link")</f>
        <v>Link</v>
      </c>
      <c r="B1218" s="2" t="s">
        <v>4036</v>
      </c>
      <c r="C1218" s="2" t="s">
        <v>4007</v>
      </c>
      <c r="D1218" s="2" t="s">
        <v>4008</v>
      </c>
      <c r="E1218" s="2" t="s">
        <v>4037</v>
      </c>
      <c r="F1218" s="2" t="s">
        <v>4038</v>
      </c>
      <c r="G1218" s="2" t="s">
        <v>3934</v>
      </c>
      <c r="H1218" s="7" t="s">
        <v>4039</v>
      </c>
      <c r="I1218" s="2" t="s">
        <v>689</v>
      </c>
    </row>
    <row r="1219" spans="1:9" ht="26" x14ac:dyDescent="0.3">
      <c r="A1219" s="1" t="str">
        <f>HYPERLINK("https://ipmanager.doe.gov/IPManager//ExternalLink.aspx?6ibkph2k9yi6F%2B0Vz7YoTp68px7nSN2g7TekidOi3S0%3D","Link")</f>
        <v>Link</v>
      </c>
      <c r="B1219" s="2" t="s">
        <v>5790</v>
      </c>
      <c r="C1219" s="2" t="s">
        <v>5760</v>
      </c>
      <c r="D1219" s="2" t="s">
        <v>4657</v>
      </c>
      <c r="E1219" s="2" t="s">
        <v>5791</v>
      </c>
      <c r="F1219" s="2" t="s">
        <v>5792</v>
      </c>
      <c r="G1219" s="2" t="s">
        <v>5793</v>
      </c>
      <c r="H1219" s="7"/>
      <c r="I1219" s="2" t="s">
        <v>9</v>
      </c>
    </row>
    <row r="1220" spans="1:9" ht="39" x14ac:dyDescent="0.3">
      <c r="A1220" s="1" t="str">
        <f>HYPERLINK("https://ipmanager.doe.gov/IPManager//ExternalLink.aspx?6ibkph2k9yi6F%2B0Vz7YoTk2BI6w%2FjZ2f6PUnFcAWmXg%3D","Link")</f>
        <v>Link</v>
      </c>
      <c r="B1220" s="2" t="s">
        <v>4043</v>
      </c>
      <c r="C1220" s="2" t="s">
        <v>4007</v>
      </c>
      <c r="D1220" s="2" t="s">
        <v>4008</v>
      </c>
      <c r="E1220" s="2" t="s">
        <v>4009</v>
      </c>
      <c r="F1220" s="2" t="s">
        <v>4013</v>
      </c>
      <c r="G1220" s="2" t="s">
        <v>211</v>
      </c>
      <c r="H1220" s="7" t="s">
        <v>4044</v>
      </c>
      <c r="I1220" s="2" t="s">
        <v>381</v>
      </c>
    </row>
    <row r="1221" spans="1:9" ht="26" x14ac:dyDescent="0.3">
      <c r="A1221" s="1" t="str">
        <f>HYPERLINK("https://ipmanager.doe.gov/IPManager//ExternalLink.aspx?6ibkph2k9yi6F%2B0Vz7YoTgZwfmYxrNyKKxO0GfgVh1k%3D","Link")</f>
        <v>Link</v>
      </c>
      <c r="B1221" s="2" t="s">
        <v>4045</v>
      </c>
      <c r="C1221" s="2" t="s">
        <v>4007</v>
      </c>
      <c r="D1221" s="2" t="s">
        <v>4008</v>
      </c>
      <c r="E1221" s="2" t="s">
        <v>4046</v>
      </c>
      <c r="F1221" s="2"/>
      <c r="G1221" s="2" t="s">
        <v>9</v>
      </c>
      <c r="H1221" s="7"/>
      <c r="I1221" s="2" t="s">
        <v>9</v>
      </c>
    </row>
    <row r="1222" spans="1:9" ht="52" x14ac:dyDescent="0.3">
      <c r="A1222" s="1" t="str">
        <f>HYPERLINK("https://ipmanager.doe.gov/IPManager//ExternalLink.aspx?6ibkph2k9yi6F%2B0Vz7YoTgZwfmYxrNyKo1mAIvgIbcs%3D","Link")</f>
        <v>Link</v>
      </c>
      <c r="B1222" s="2" t="s">
        <v>4047</v>
      </c>
      <c r="C1222" s="2" t="s">
        <v>4048</v>
      </c>
      <c r="D1222" s="2" t="s">
        <v>308</v>
      </c>
      <c r="E1222" s="2" t="s">
        <v>4049</v>
      </c>
      <c r="F1222" s="2"/>
      <c r="G1222" s="2" t="s">
        <v>9</v>
      </c>
      <c r="H1222" s="7"/>
      <c r="I1222" s="2" t="s">
        <v>9</v>
      </c>
    </row>
    <row r="1223" spans="1:9" ht="65" x14ac:dyDescent="0.3">
      <c r="A1223" s="1" t="str">
        <f>HYPERLINK("https://ipmanager.doe.gov/IPManager//ExternalLink.aspx?6ibkph2k9yi6F%2B0Vz7YoTgZwfmYxrNyKw8RAo%2B3C%2BUs%3D","Link")</f>
        <v>Link</v>
      </c>
      <c r="B1223" s="2" t="s">
        <v>4050</v>
      </c>
      <c r="C1223" s="2" t="s">
        <v>4048</v>
      </c>
      <c r="D1223" s="2" t="s">
        <v>308</v>
      </c>
      <c r="E1223" s="2" t="s">
        <v>4051</v>
      </c>
      <c r="F1223" s="2"/>
      <c r="G1223" s="2" t="s">
        <v>9</v>
      </c>
      <c r="H1223" s="7"/>
      <c r="I1223" s="2" t="s">
        <v>9</v>
      </c>
    </row>
    <row r="1224" spans="1:9" ht="78" x14ac:dyDescent="0.3">
      <c r="A1224" s="1" t="str">
        <f>HYPERLINK("https://ipmanager.doe.gov/IPManager//ExternalLink.aspx?6ibkph2k9yi6F%2B0Vz7YoTjN2oADz%2F5MxRuJfbqhH%2BL0%3D","Link")</f>
        <v>Link</v>
      </c>
      <c r="B1224" s="2" t="s">
        <v>1358</v>
      </c>
      <c r="C1224" s="2" t="s">
        <v>1352</v>
      </c>
      <c r="D1224" s="2" t="s">
        <v>1359</v>
      </c>
      <c r="E1224" s="2" t="s">
        <v>1360</v>
      </c>
      <c r="F1224" s="2" t="s">
        <v>1361</v>
      </c>
      <c r="G1224" s="2" t="s">
        <v>1362</v>
      </c>
      <c r="H1224" s="7"/>
      <c r="I1224" s="2" t="s">
        <v>9</v>
      </c>
    </row>
    <row r="1225" spans="1:9" ht="52" x14ac:dyDescent="0.3">
      <c r="A1225" s="1" t="str">
        <f>HYPERLINK("https://ipmanager.doe.gov/IPManager//ExternalLink.aspx?6ibkph2k9yi6F%2B0Vz7YoTvPUg%2FVZPl3i6YJFQppOPbE%3D","Link")</f>
        <v>Link</v>
      </c>
      <c r="B1225" s="2" t="s">
        <v>1351</v>
      </c>
      <c r="C1225" s="2" t="s">
        <v>1352</v>
      </c>
      <c r="D1225" s="2" t="s">
        <v>1353</v>
      </c>
      <c r="E1225" s="2" t="s">
        <v>1354</v>
      </c>
      <c r="F1225" s="2" t="s">
        <v>7640</v>
      </c>
      <c r="G1225" s="2" t="s">
        <v>98</v>
      </c>
      <c r="H1225" s="7"/>
      <c r="I1225" s="2" t="s">
        <v>9</v>
      </c>
    </row>
    <row r="1226" spans="1:9" ht="65" x14ac:dyDescent="0.3">
      <c r="A1226" s="1" t="str">
        <f>HYPERLINK("https://ipmanager.doe.gov/IPManager//ExternalLink.aspx?6ibkph2k9yi6F%2B0Vz7YoTjN2oADz%2F5MxPfTDglWxsr8%3D","Link")</f>
        <v>Link</v>
      </c>
      <c r="B1226" s="2" t="s">
        <v>1363</v>
      </c>
      <c r="C1226" s="2" t="s">
        <v>1352</v>
      </c>
      <c r="D1226" s="2" t="s">
        <v>1353</v>
      </c>
      <c r="E1226" s="2" t="s">
        <v>1364</v>
      </c>
      <c r="F1226" s="2" t="s">
        <v>1365</v>
      </c>
      <c r="G1226" s="2" t="s">
        <v>1362</v>
      </c>
      <c r="H1226" s="7"/>
      <c r="I1226" s="2" t="s">
        <v>9</v>
      </c>
    </row>
    <row r="1227" spans="1:9" ht="78" x14ac:dyDescent="0.3">
      <c r="A1227" s="1" t="str">
        <f>HYPERLINK("https://ipmanager.doe.gov/IPManager//ExternalLink.aspx?6ibkph2k9yi6F%2B0Vz7YoTr7J5I%2BY4foYCNJFlKM2Y9M%3D","Link")</f>
        <v>Link</v>
      </c>
      <c r="B1227" s="2" t="s">
        <v>4066</v>
      </c>
      <c r="C1227" s="2" t="s">
        <v>4064</v>
      </c>
      <c r="D1227" s="2" t="s">
        <v>3062</v>
      </c>
      <c r="E1227" s="2" t="s">
        <v>4067</v>
      </c>
      <c r="F1227" s="2" t="s">
        <v>4068</v>
      </c>
      <c r="G1227" s="2" t="s">
        <v>4069</v>
      </c>
      <c r="H1227" s="7" t="s">
        <v>4070</v>
      </c>
      <c r="I1227" s="2" t="s">
        <v>4071</v>
      </c>
    </row>
    <row r="1228" spans="1:9" ht="39" x14ac:dyDescent="0.3">
      <c r="A1228" s="1" t="str">
        <f>HYPERLINK("https://ipmanager.doe.gov/IPManager//ExternalLink.aspx?6ibkph2k9yi6F%2B0Vz7YoTlNm8snv%2FZpHIH4%2Fs6PmF%2FU%3D","Link")</f>
        <v>Link</v>
      </c>
      <c r="B1228" s="2" t="s">
        <v>1366</v>
      </c>
      <c r="C1228" s="2" t="s">
        <v>1352</v>
      </c>
      <c r="D1228" s="2" t="s">
        <v>1353</v>
      </c>
      <c r="E1228" s="2" t="s">
        <v>1367</v>
      </c>
      <c r="F1228" s="2" t="s">
        <v>1368</v>
      </c>
      <c r="G1228" s="2" t="s">
        <v>1369</v>
      </c>
      <c r="H1228" s="7"/>
      <c r="I1228" s="2" t="s">
        <v>9</v>
      </c>
    </row>
    <row r="1229" spans="1:9" ht="65" x14ac:dyDescent="0.3">
      <c r="A1229" s="1" t="str">
        <f>HYPERLINK("https://ipmanager.doe.gov/IPManager//ExternalLink.aspx?6ibkph2k9yi6F%2B0Vz7YoTjN2oADz%2F5MxlyYxACnutBI%3D","Link")</f>
        <v>Link</v>
      </c>
      <c r="B1229" s="2" t="s">
        <v>1370</v>
      </c>
      <c r="C1229" s="2" t="s">
        <v>1352</v>
      </c>
      <c r="D1229" s="2" t="s">
        <v>1353</v>
      </c>
      <c r="E1229" s="2" t="s">
        <v>1371</v>
      </c>
      <c r="F1229" s="2" t="s">
        <v>1372</v>
      </c>
      <c r="G1229" s="2" t="s">
        <v>875</v>
      </c>
      <c r="H1229" s="7"/>
      <c r="I1229" s="2" t="s">
        <v>9</v>
      </c>
    </row>
    <row r="1230" spans="1:9" ht="39" x14ac:dyDescent="0.3">
      <c r="A1230" s="1" t="str">
        <f>HYPERLINK("https://ipmanager.doe.gov/IPManager//ExternalLink.aspx?6ibkph2k9yi6F%2B0Vz7YoTo7DPLa3%2F%2FGgZDk34%2F55qZs%3D","Link")</f>
        <v>Link</v>
      </c>
      <c r="B1230" s="2" t="s">
        <v>5185</v>
      </c>
      <c r="C1230" s="2" t="s">
        <v>5183</v>
      </c>
      <c r="D1230" s="2" t="s">
        <v>3285</v>
      </c>
      <c r="E1230" s="2" t="s">
        <v>5186</v>
      </c>
      <c r="F1230" s="2" t="s">
        <v>5187</v>
      </c>
      <c r="G1230" s="2" t="s">
        <v>5177</v>
      </c>
      <c r="H1230" s="7"/>
      <c r="I1230" s="2" t="s">
        <v>9</v>
      </c>
    </row>
    <row r="1231" spans="1:9" ht="52" x14ac:dyDescent="0.3">
      <c r="A1231" s="1" t="str">
        <f>HYPERLINK("https://ipmanager.doe.gov/IPManager//ExternalLink.aspx?6ibkph2k9yi6F%2B0Vz7YoTlNm8snv%2FZpHBYzqxUQLoM8%3D","Link")</f>
        <v>Link</v>
      </c>
      <c r="B1231" s="2" t="s">
        <v>4083</v>
      </c>
      <c r="C1231" s="2" t="s">
        <v>4073</v>
      </c>
      <c r="D1231" s="2" t="s">
        <v>2019</v>
      </c>
      <c r="E1231" s="2" t="s">
        <v>4084</v>
      </c>
      <c r="F1231" s="2"/>
      <c r="G1231" s="2" t="s">
        <v>9</v>
      </c>
      <c r="H1231" s="7"/>
      <c r="I1231" s="2" t="s">
        <v>9</v>
      </c>
    </row>
    <row r="1232" spans="1:9" ht="52" x14ac:dyDescent="0.3">
      <c r="A1232" s="1" t="str">
        <f>HYPERLINK("https://ipmanager.doe.gov/IPManager//ExternalLink.aspx?6ibkph2k9yi6F%2B0Vz7YoTq6RR9BlGHHiCsM8kYXiNVo%3D","Link")</f>
        <v>Link</v>
      </c>
      <c r="B1232" s="2" t="s">
        <v>4085</v>
      </c>
      <c r="C1232" s="2" t="s">
        <v>4073</v>
      </c>
      <c r="D1232" s="2" t="s">
        <v>2019</v>
      </c>
      <c r="E1232" s="2" t="s">
        <v>4086</v>
      </c>
      <c r="F1232" s="2"/>
      <c r="G1232" s="2" t="s">
        <v>9</v>
      </c>
      <c r="H1232" s="7"/>
      <c r="I1232" s="2" t="s">
        <v>9</v>
      </c>
    </row>
    <row r="1233" spans="1:9" ht="39" x14ac:dyDescent="0.3">
      <c r="A1233" s="1" t="str">
        <f>HYPERLINK("https://ipmanager.doe.gov/IPManager//ExternalLink.aspx?6ibkph2k9yi6F%2B0Vz7YoTp68px7nSN2g5DT4aUAXV9o%3D","Link")</f>
        <v>Link</v>
      </c>
      <c r="B1233" s="2" t="s">
        <v>5189</v>
      </c>
      <c r="C1233" s="2" t="s">
        <v>5183</v>
      </c>
      <c r="D1233" s="2" t="s">
        <v>3285</v>
      </c>
      <c r="E1233" s="2" t="s">
        <v>5186</v>
      </c>
      <c r="F1233" s="2" t="s">
        <v>5190</v>
      </c>
      <c r="G1233" s="2" t="s">
        <v>2623</v>
      </c>
      <c r="H1233" s="7"/>
      <c r="I1233" s="2" t="s">
        <v>9</v>
      </c>
    </row>
    <row r="1234" spans="1:9" ht="26" x14ac:dyDescent="0.3">
      <c r="A1234" s="1" t="str">
        <f>HYPERLINK("https://ipmanager.doe.gov/IPManager//ExternalLink.aspx?6ibkph2k9yi6F%2B0Vz7YoTq6RR9BlGHHiCWGuMWXmq20%3D","Link")</f>
        <v>Link</v>
      </c>
      <c r="B1234" s="2" t="s">
        <v>6504</v>
      </c>
      <c r="C1234" s="2" t="s">
        <v>6505</v>
      </c>
      <c r="D1234" s="2" t="s">
        <v>3285</v>
      </c>
      <c r="E1234" s="2" t="s">
        <v>6506</v>
      </c>
      <c r="F1234" s="2" t="s">
        <v>6507</v>
      </c>
      <c r="G1234" s="2" t="s">
        <v>4451</v>
      </c>
      <c r="H1234" s="7"/>
      <c r="I1234" s="2" t="s">
        <v>9</v>
      </c>
    </row>
    <row r="1235" spans="1:9" ht="39" x14ac:dyDescent="0.3">
      <c r="A1235" s="1" t="str">
        <f>HYPERLINK("https://ipmanager.doe.gov/IPManager//ExternalLink.aspx?6ibkph2k9yi6F%2B0Vz7YoTjnDGhmGHGI7nFg0zgK6F5s%3D","Link")</f>
        <v>Link</v>
      </c>
      <c r="B1235" s="2" t="s">
        <v>3182</v>
      </c>
      <c r="C1235" s="2" t="s">
        <v>3183</v>
      </c>
      <c r="D1235" s="2" t="s">
        <v>3184</v>
      </c>
      <c r="E1235" s="2" t="s">
        <v>3185</v>
      </c>
      <c r="F1235" s="2" t="s">
        <v>3186</v>
      </c>
      <c r="G1235" s="2" t="s">
        <v>3187</v>
      </c>
      <c r="H1235" s="7"/>
      <c r="I1235" s="2" t="s">
        <v>9</v>
      </c>
    </row>
    <row r="1236" spans="1:9" ht="65" x14ac:dyDescent="0.3">
      <c r="A1236" s="1" t="str">
        <f>HYPERLINK("https://ipmanager.doe.gov/IPManager//ExternalLink.aspx?6ibkph2k9yi6F%2B0Vz7YoTlNm8snv%2FZpHOb5N1sOAjWc%3D","Link")</f>
        <v>Link</v>
      </c>
      <c r="B1236" s="2" t="s">
        <v>4098</v>
      </c>
      <c r="C1236" s="2" t="s">
        <v>4073</v>
      </c>
      <c r="D1236" s="2" t="s">
        <v>2019</v>
      </c>
      <c r="E1236" s="2" t="s">
        <v>4099</v>
      </c>
      <c r="F1236" s="2"/>
      <c r="G1236" s="2" t="s">
        <v>9</v>
      </c>
      <c r="H1236" s="7"/>
      <c r="I1236" s="2" t="s">
        <v>9</v>
      </c>
    </row>
    <row r="1237" spans="1:9" ht="52" x14ac:dyDescent="0.3">
      <c r="A1237" s="1" t="str">
        <f>HYPERLINK("https://ipmanager.doe.gov/IPManager//ExternalLink.aspx?6ibkph2k9yi6F%2B0Vz7YoTq6RR9BlGHHii%2F%2FDMN2bYI0%3D","Link")</f>
        <v>Link</v>
      </c>
      <c r="B1237" s="2" t="s">
        <v>4100</v>
      </c>
      <c r="C1237" s="2" t="s">
        <v>4073</v>
      </c>
      <c r="D1237" s="2" t="s">
        <v>2019</v>
      </c>
      <c r="E1237" s="2" t="s">
        <v>4101</v>
      </c>
      <c r="F1237" s="2"/>
      <c r="G1237" s="2" t="s">
        <v>9</v>
      </c>
      <c r="H1237" s="7"/>
      <c r="I1237" s="2" t="s">
        <v>9</v>
      </c>
    </row>
    <row r="1238" spans="1:9" ht="39" x14ac:dyDescent="0.3">
      <c r="A1238" s="1" t="str">
        <f>HYPERLINK("https://ipmanager.doe.gov/IPManager//ExternalLink.aspx?6ibkph2k9yi6F%2B0Vz7YoTgZwfmYxrNyKu42mEuNbucA%3D","Link")</f>
        <v>Link</v>
      </c>
      <c r="B1238" s="2" t="s">
        <v>3191</v>
      </c>
      <c r="C1238" s="2" t="s">
        <v>3183</v>
      </c>
      <c r="D1238" s="2" t="s">
        <v>3184</v>
      </c>
      <c r="E1238" s="2" t="s">
        <v>3192</v>
      </c>
      <c r="F1238" s="2" t="s">
        <v>3193</v>
      </c>
      <c r="G1238" s="2" t="s">
        <v>206</v>
      </c>
      <c r="H1238" s="7"/>
      <c r="I1238" s="2" t="s">
        <v>9</v>
      </c>
    </row>
    <row r="1239" spans="1:9" ht="39" x14ac:dyDescent="0.3">
      <c r="A1239" s="1" t="str">
        <f>HYPERLINK("https://ipmanager.doe.gov/IPManager//ExternalLink.aspx?6ibkph2k9yi6F%2B0Vz7YoTlNm8snv%2FZpHNFT2E%2F4PDQA%3D","Link")</f>
        <v>Link</v>
      </c>
      <c r="B1239" s="2" t="s">
        <v>4106</v>
      </c>
      <c r="C1239" s="2" t="s">
        <v>4073</v>
      </c>
      <c r="D1239" s="2" t="s">
        <v>2019</v>
      </c>
      <c r="E1239" s="2" t="s">
        <v>4107</v>
      </c>
      <c r="F1239" s="2"/>
      <c r="G1239" s="2" t="s">
        <v>9</v>
      </c>
      <c r="H1239" s="7"/>
      <c r="I1239" s="2" t="s">
        <v>9</v>
      </c>
    </row>
    <row r="1240" spans="1:9" ht="39" x14ac:dyDescent="0.3">
      <c r="A1240" s="1" t="str">
        <f>HYPERLINK("https://ipmanager.doe.gov/IPManager//ExternalLink.aspx?6ibkph2k9yi6F%2B0Vz7YoTk2BI6w%2FjZ2fPP5OaMxdKgQ%3D","Link")</f>
        <v>Link</v>
      </c>
      <c r="B1240" s="2" t="s">
        <v>4108</v>
      </c>
      <c r="C1240" s="2" t="s">
        <v>4073</v>
      </c>
      <c r="D1240" s="2" t="s">
        <v>2019</v>
      </c>
      <c r="E1240" s="2" t="s">
        <v>4109</v>
      </c>
      <c r="F1240" s="2" t="s">
        <v>4110</v>
      </c>
      <c r="G1240" s="2" t="s">
        <v>4111</v>
      </c>
      <c r="H1240" s="7"/>
      <c r="I1240" s="2" t="s">
        <v>9</v>
      </c>
    </row>
    <row r="1241" spans="1:9" ht="39" x14ac:dyDescent="0.3">
      <c r="A1241" s="1" t="str">
        <f>HYPERLINK("https://ipmanager.doe.gov/IPManager//ExternalLink.aspx?6ibkph2k9yi6F%2B0Vz7YoTjnDGhmGHGI7BSdsy%2B4o2j0%3D","Link")</f>
        <v>Link</v>
      </c>
      <c r="B1241" s="2" t="s">
        <v>3195</v>
      </c>
      <c r="C1241" s="2" t="s">
        <v>3183</v>
      </c>
      <c r="D1241" s="2" t="s">
        <v>3184</v>
      </c>
      <c r="E1241" s="2" t="s">
        <v>3196</v>
      </c>
      <c r="F1241" s="2" t="s">
        <v>3197</v>
      </c>
      <c r="G1241" s="2" t="s">
        <v>3198</v>
      </c>
      <c r="H1241" s="7"/>
      <c r="I1241" s="2" t="s">
        <v>9</v>
      </c>
    </row>
    <row r="1242" spans="1:9" ht="39" x14ac:dyDescent="0.3">
      <c r="A1242" s="1" t="str">
        <f>HYPERLINK("https://ipmanager.doe.gov/IPManager//ExternalLink.aspx?6ibkph2k9yi6F%2B0Vz7YoTgZwfmYxrNyKs%2FS%2B6oWjaZU%3D","Link")</f>
        <v>Link</v>
      </c>
      <c r="B1242" s="2" t="s">
        <v>3201</v>
      </c>
      <c r="C1242" s="2" t="s">
        <v>3183</v>
      </c>
      <c r="D1242" s="2" t="s">
        <v>3184</v>
      </c>
      <c r="E1242" s="2" t="s">
        <v>3196</v>
      </c>
      <c r="F1242" s="2" t="s">
        <v>3202</v>
      </c>
      <c r="G1242" s="2" t="s">
        <v>3198</v>
      </c>
      <c r="H1242" s="7"/>
      <c r="I1242" s="2" t="s">
        <v>9</v>
      </c>
    </row>
    <row r="1243" spans="1:9" ht="52" x14ac:dyDescent="0.3">
      <c r="A1243" s="1" t="str">
        <f>HYPERLINK("https://ipmanager.doe.gov/IPManager//ExternalLink.aspx?6ibkph2k9yi6F%2B0Vz7YoTjnDGhmGHGI7dj%2FbSWFNMdw%3D","Link")</f>
        <v>Link</v>
      </c>
      <c r="B1243" s="2" t="s">
        <v>4119</v>
      </c>
      <c r="C1243" s="2" t="s">
        <v>4073</v>
      </c>
      <c r="D1243" s="2" t="s">
        <v>2019</v>
      </c>
      <c r="E1243" s="2" t="s">
        <v>4120</v>
      </c>
      <c r="F1243" s="2"/>
      <c r="G1243" s="2" t="s">
        <v>9</v>
      </c>
      <c r="H1243" s="7"/>
      <c r="I1243" s="2" t="s">
        <v>9</v>
      </c>
    </row>
    <row r="1244" spans="1:9" ht="39" x14ac:dyDescent="0.3">
      <c r="A1244" s="1" t="str">
        <f>HYPERLINK("https://ipmanager.doe.gov/IPManager//ExternalLink.aspx?6ibkph2k9yi6F%2B0Vz7YoTp68px7nSN2gZ%2B04JH8t390%3D","Link")</f>
        <v>Link</v>
      </c>
      <c r="B1244" s="2" t="s">
        <v>3205</v>
      </c>
      <c r="C1244" s="2" t="s">
        <v>3183</v>
      </c>
      <c r="D1244" s="2" t="s">
        <v>3184</v>
      </c>
      <c r="E1244" s="2" t="s">
        <v>3196</v>
      </c>
      <c r="F1244" s="2" t="s">
        <v>3206</v>
      </c>
      <c r="G1244" s="2" t="s">
        <v>3207</v>
      </c>
      <c r="H1244" s="7"/>
      <c r="I1244" s="2" t="s">
        <v>9</v>
      </c>
    </row>
    <row r="1245" spans="1:9" ht="39" x14ac:dyDescent="0.3">
      <c r="A1245" s="1" t="str">
        <f>HYPERLINK("https://ipmanager.doe.gov/IPManager//ExternalLink.aspx?6ibkph2k9yi6F%2B0Vz7YoTp68px7nSN2gsmWXufW0gCY%3D","Link")</f>
        <v>Link</v>
      </c>
      <c r="B1245" s="2" t="s">
        <v>3210</v>
      </c>
      <c r="C1245" s="2" t="s">
        <v>3183</v>
      </c>
      <c r="D1245" s="2" t="s">
        <v>3184</v>
      </c>
      <c r="E1245" s="2" t="s">
        <v>3185</v>
      </c>
      <c r="F1245" s="2" t="s">
        <v>3211</v>
      </c>
      <c r="G1245" s="2" t="s">
        <v>3187</v>
      </c>
      <c r="H1245" s="7"/>
      <c r="I1245" s="2" t="s">
        <v>9</v>
      </c>
    </row>
    <row r="1246" spans="1:9" ht="26" x14ac:dyDescent="0.3">
      <c r="A1246" s="1" t="str">
        <f>HYPERLINK("https://ipmanager.doe.gov/IPManager//ExternalLink.aspx?6ibkph2k9yi6F%2B0Vz7YoTq6RR9BlGHHiyJDX2VH5iuM%3D","Link")</f>
        <v>Link</v>
      </c>
      <c r="B1246" s="2" t="s">
        <v>5794</v>
      </c>
      <c r="C1246" s="2" t="s">
        <v>5795</v>
      </c>
      <c r="D1246" s="2" t="s">
        <v>3184</v>
      </c>
      <c r="E1246" s="2" t="s">
        <v>5796</v>
      </c>
      <c r="F1246" s="2" t="s">
        <v>5797</v>
      </c>
      <c r="G1246" s="2" t="s">
        <v>5703</v>
      </c>
      <c r="H1246" s="7"/>
      <c r="I1246" s="2" t="s">
        <v>9</v>
      </c>
    </row>
    <row r="1247" spans="1:9" ht="26" x14ac:dyDescent="0.3">
      <c r="A1247" s="1" t="str">
        <f>HYPERLINK("https://ipmanager.doe.gov/IPManager//ExternalLink.aspx?6ibkph2k9yi6F%2B0Vz7YoTq6RR9BlGHHiA28e8ansjiM%3D","Link")</f>
        <v>Link</v>
      </c>
      <c r="B1247" s="2" t="s">
        <v>4134</v>
      </c>
      <c r="C1247" s="2" t="s">
        <v>4135</v>
      </c>
      <c r="D1247" s="2" t="s">
        <v>4136</v>
      </c>
      <c r="E1247" s="2" t="s">
        <v>4137</v>
      </c>
      <c r="F1247" s="2"/>
      <c r="G1247" s="2" t="s">
        <v>9</v>
      </c>
      <c r="H1247" s="7"/>
      <c r="I1247" s="2" t="s">
        <v>9</v>
      </c>
    </row>
    <row r="1248" spans="1:9" ht="26" x14ac:dyDescent="0.3">
      <c r="A1248" s="1" t="str">
        <f>HYPERLINK("https://ipmanager.doe.gov/IPManager//ExternalLink.aspx?6ibkph2k9yi6F%2B0Vz7YoTq6RR9BlGHHieWxbpyRd47o%3D","Link")</f>
        <v>Link</v>
      </c>
      <c r="B1248" s="2" t="s">
        <v>4138</v>
      </c>
      <c r="C1248" s="2" t="s">
        <v>4135</v>
      </c>
      <c r="D1248" s="2" t="s">
        <v>4136</v>
      </c>
      <c r="E1248" s="2" t="s">
        <v>4139</v>
      </c>
      <c r="F1248" s="2"/>
      <c r="G1248" s="2" t="s">
        <v>9</v>
      </c>
      <c r="H1248" s="7"/>
      <c r="I1248" s="2" t="s">
        <v>9</v>
      </c>
    </row>
    <row r="1249" spans="1:9" ht="39" x14ac:dyDescent="0.3">
      <c r="A1249" s="1" t="str">
        <f>HYPERLINK("https://ipmanager.doe.gov/IPManager//ExternalLink.aspx?6ibkph2k9yi6F%2B0Vz7YoTvPUg%2FVZPl3iAeE12YgaaMg%3D","Link")</f>
        <v>Link</v>
      </c>
      <c r="B1249" s="2" t="s">
        <v>5800</v>
      </c>
      <c r="C1249" s="2" t="s">
        <v>5795</v>
      </c>
      <c r="D1249" s="2" t="s">
        <v>3184</v>
      </c>
      <c r="E1249" s="2" t="s">
        <v>5801</v>
      </c>
      <c r="F1249" s="2" t="s">
        <v>5802</v>
      </c>
      <c r="G1249" s="2" t="s">
        <v>5803</v>
      </c>
      <c r="H1249" s="7"/>
      <c r="I1249" s="2" t="s">
        <v>9</v>
      </c>
    </row>
    <row r="1250" spans="1:9" ht="117" x14ac:dyDescent="0.3">
      <c r="A1250" s="1" t="str">
        <f>HYPERLINK("https://ipmanager.doe.gov/IPManager//ExternalLink.aspx?6ibkph2k9yi6F%2B0Vz7YoTq6RR9BlGHHiIwURofUct1E%3D","Link")</f>
        <v>Link</v>
      </c>
      <c r="B1250" s="2" t="s">
        <v>4144</v>
      </c>
      <c r="C1250" s="2" t="s">
        <v>4135</v>
      </c>
      <c r="D1250" s="2" t="s">
        <v>4136</v>
      </c>
      <c r="E1250" s="2" t="s">
        <v>4145</v>
      </c>
      <c r="F1250" s="2"/>
      <c r="G1250" s="2" t="s">
        <v>9</v>
      </c>
      <c r="H1250" s="7"/>
      <c r="I1250" s="2" t="s">
        <v>9</v>
      </c>
    </row>
    <row r="1251" spans="1:9" ht="65" x14ac:dyDescent="0.3">
      <c r="A1251" s="1" t="str">
        <f>HYPERLINK("https://ipmanager.doe.gov/IPManager//ExternalLink.aspx?6ibkph2k9yi6F%2B0Vz7YoTk2BI6w%2FjZ2f%2FNhMSlnu7V8%3D","Link")</f>
        <v>Link</v>
      </c>
      <c r="B1251" s="2" t="s">
        <v>4146</v>
      </c>
      <c r="C1251" s="2" t="s">
        <v>4147</v>
      </c>
      <c r="D1251" s="2" t="s">
        <v>4148</v>
      </c>
      <c r="E1251" s="2" t="s">
        <v>4149</v>
      </c>
      <c r="F1251" s="2"/>
      <c r="G1251" s="2" t="s">
        <v>9</v>
      </c>
      <c r="H1251" s="7"/>
      <c r="I1251" s="2" t="s">
        <v>9</v>
      </c>
    </row>
    <row r="1252" spans="1:9" ht="26" x14ac:dyDescent="0.3">
      <c r="A1252" s="1" t="str">
        <f>HYPERLINK("https://ipmanager.doe.gov/IPManager//ExternalLink.aspx?6ibkph2k9yi6F%2B0Vz7YoTlNm8snv%2FZpHrORWyUTCDcs%3D","Link")</f>
        <v>Link</v>
      </c>
      <c r="B1252" s="2" t="s">
        <v>4150</v>
      </c>
      <c r="C1252" s="2" t="s">
        <v>4147</v>
      </c>
      <c r="D1252" s="2" t="s">
        <v>233</v>
      </c>
      <c r="E1252" s="2" t="s">
        <v>4151</v>
      </c>
      <c r="F1252" s="2"/>
      <c r="G1252" s="2" t="s">
        <v>9</v>
      </c>
      <c r="H1252" s="7"/>
      <c r="I1252" s="2" t="s">
        <v>9</v>
      </c>
    </row>
    <row r="1253" spans="1:9" ht="26" x14ac:dyDescent="0.3">
      <c r="A1253" s="1" t="str">
        <f>HYPERLINK("https://ipmanager.doe.gov/IPManager//ExternalLink.aspx?6ibkph2k9yi6F%2B0Vz7YoTq6RR9BlGHHi5tENLqYdtNE%3D","Link")</f>
        <v>Link</v>
      </c>
      <c r="B1253" s="2" t="s">
        <v>4152</v>
      </c>
      <c r="C1253" s="2" t="s">
        <v>4147</v>
      </c>
      <c r="D1253" s="2" t="s">
        <v>233</v>
      </c>
      <c r="E1253" s="2" t="s">
        <v>4153</v>
      </c>
      <c r="F1253" s="2" t="s">
        <v>4154</v>
      </c>
      <c r="G1253" s="2" t="s">
        <v>2428</v>
      </c>
      <c r="H1253" s="8">
        <v>9923111</v>
      </c>
      <c r="I1253" s="2" t="s">
        <v>4155</v>
      </c>
    </row>
    <row r="1254" spans="1:9" ht="65" x14ac:dyDescent="0.3">
      <c r="A1254" s="1" t="str">
        <f>HYPERLINK("https://ipmanager.doe.gov/IPManager//ExternalLink.aspx?6ibkph2k9yi6F%2B0Vz7YoTr7J5I%2BY4foYTsCCyxVhHEw%3D","Link")</f>
        <v>Link</v>
      </c>
      <c r="B1254" s="2" t="s">
        <v>4157</v>
      </c>
      <c r="C1254" s="2" t="s">
        <v>4158</v>
      </c>
      <c r="D1254" s="2" t="s">
        <v>4159</v>
      </c>
      <c r="E1254" s="2" t="s">
        <v>4160</v>
      </c>
      <c r="F1254" s="2"/>
      <c r="G1254" s="2" t="s">
        <v>9</v>
      </c>
      <c r="H1254" s="7"/>
      <c r="I1254" s="2" t="s">
        <v>9</v>
      </c>
    </row>
    <row r="1255" spans="1:9" ht="39" x14ac:dyDescent="0.3">
      <c r="A1255" s="1" t="str">
        <f>HYPERLINK("https://ipmanager.doe.gov/IPManager//ExternalLink.aspx?6ibkph2k9yi6F%2B0Vz7YoTipZ798QK%2BbPNjmKJpNS5bU%3D","Link")</f>
        <v>Link</v>
      </c>
      <c r="B1255" s="2" t="s">
        <v>4161</v>
      </c>
      <c r="C1255" s="2" t="s">
        <v>4158</v>
      </c>
      <c r="D1255" s="2" t="s">
        <v>4159</v>
      </c>
      <c r="E1255" s="2" t="s">
        <v>4162</v>
      </c>
      <c r="F1255" s="2"/>
      <c r="G1255" s="2" t="s">
        <v>9</v>
      </c>
      <c r="H1255" s="7"/>
      <c r="I1255" s="2" t="s">
        <v>9</v>
      </c>
    </row>
    <row r="1256" spans="1:9" ht="26" x14ac:dyDescent="0.3">
      <c r="A1256" s="1" t="str">
        <f>HYPERLINK("https://ipmanager.doe.gov/IPManager//ExternalLink.aspx?6ibkph2k9yi6F%2B0Vz7YoTvPUg%2FVZPl3iHfYWKaPZKCI%3D","Link")</f>
        <v>Link</v>
      </c>
      <c r="B1256" s="2" t="s">
        <v>5804</v>
      </c>
      <c r="C1256" s="2" t="s">
        <v>5795</v>
      </c>
      <c r="D1256" s="2" t="s">
        <v>3184</v>
      </c>
      <c r="E1256" s="2" t="s">
        <v>5796</v>
      </c>
      <c r="F1256" s="2" t="s">
        <v>5805</v>
      </c>
      <c r="G1256" s="2" t="s">
        <v>5703</v>
      </c>
      <c r="H1256" s="7"/>
      <c r="I1256" s="2" t="s">
        <v>9</v>
      </c>
    </row>
    <row r="1257" spans="1:9" ht="26" x14ac:dyDescent="0.3">
      <c r="A1257" s="1" t="str">
        <f>HYPERLINK("https://ipmanager.doe.gov/IPManager//ExternalLink.aspx?6ibkph2k9yi6F%2B0Vz7YoTr7J5I%2BY4foYyc7%2FIWa72%2FA%3D","Link")</f>
        <v>Link</v>
      </c>
      <c r="B1257" s="2" t="s">
        <v>3525</v>
      </c>
      <c r="C1257" s="2" t="s">
        <v>3526</v>
      </c>
      <c r="D1257" s="2" t="s">
        <v>3527</v>
      </c>
      <c r="E1257" s="2" t="s">
        <v>3528</v>
      </c>
      <c r="F1257" s="2" t="s">
        <v>3529</v>
      </c>
      <c r="G1257" s="2" t="s">
        <v>3530</v>
      </c>
      <c r="H1257" s="7"/>
      <c r="I1257" s="2" t="s">
        <v>9</v>
      </c>
    </row>
    <row r="1258" spans="1:9" ht="52" x14ac:dyDescent="0.3">
      <c r="A1258" s="1" t="str">
        <f>HYPERLINK("https://ipmanager.doe.gov/IPManager//ExternalLink.aspx?6ibkph2k9yi6F%2B0Vz7YoTk2BI6w%2FjZ2fmyS73SsU2KA%3D","Link")</f>
        <v>Link</v>
      </c>
      <c r="B1258" s="2" t="s">
        <v>3535</v>
      </c>
      <c r="C1258" s="2" t="s">
        <v>3526</v>
      </c>
      <c r="D1258" s="2" t="s">
        <v>3527</v>
      </c>
      <c r="E1258" s="2" t="s">
        <v>3536</v>
      </c>
      <c r="F1258" s="2" t="s">
        <v>3537</v>
      </c>
      <c r="G1258" s="2" t="s">
        <v>3538</v>
      </c>
      <c r="H1258" s="7"/>
      <c r="I1258" s="2" t="s">
        <v>9</v>
      </c>
    </row>
    <row r="1259" spans="1:9" ht="39" x14ac:dyDescent="0.3">
      <c r="A1259" s="1" t="str">
        <f>HYPERLINK("https://ipmanager.doe.gov/IPManager//ExternalLink.aspx?6ibkph2k9yi6F%2B0Vz7YoTjnDGhmGHGI71f3kn1666nE%3D","Link")</f>
        <v>Link</v>
      </c>
      <c r="B1259" s="2" t="s">
        <v>3539</v>
      </c>
      <c r="C1259" s="2" t="s">
        <v>3526</v>
      </c>
      <c r="D1259" s="2" t="s">
        <v>3527</v>
      </c>
      <c r="E1259" s="2" t="s">
        <v>3540</v>
      </c>
      <c r="F1259" s="2" t="s">
        <v>3541</v>
      </c>
      <c r="G1259" s="2" t="s">
        <v>3542</v>
      </c>
      <c r="H1259" s="7"/>
      <c r="I1259" s="2" t="s">
        <v>9</v>
      </c>
    </row>
    <row r="1260" spans="1:9" ht="52" x14ac:dyDescent="0.3">
      <c r="A1260" s="1" t="str">
        <f>HYPERLINK("https://ipmanager.doe.gov/IPManager//ExternalLink.aspx?6ibkph2k9yi6F%2B0Vz7YoTgZwfmYxrNyKCcEagYZxzjo%3D","Link")</f>
        <v>Link</v>
      </c>
      <c r="B1260" s="2" t="s">
        <v>4181</v>
      </c>
      <c r="C1260" s="2" t="s">
        <v>4182</v>
      </c>
      <c r="D1260" s="2" t="s">
        <v>770</v>
      </c>
      <c r="E1260" s="2" t="s">
        <v>4183</v>
      </c>
      <c r="F1260" s="2"/>
      <c r="G1260" s="2" t="s">
        <v>9</v>
      </c>
      <c r="H1260" s="7"/>
      <c r="I1260" s="2" t="s">
        <v>9</v>
      </c>
    </row>
    <row r="1261" spans="1:9" ht="39" x14ac:dyDescent="0.3">
      <c r="A1261" s="1" t="str">
        <f>HYPERLINK("https://ipmanager.doe.gov/IPManager//ExternalLink.aspx?6ibkph2k9yi6F%2B0Vz7YoTr7J5I%2BY4foYfS3vr0FemaU%3D","Link")</f>
        <v>Link</v>
      </c>
      <c r="B1261" s="2" t="s">
        <v>4184</v>
      </c>
      <c r="C1261" s="2" t="s">
        <v>4185</v>
      </c>
      <c r="D1261" s="2" t="s">
        <v>4186</v>
      </c>
      <c r="E1261" s="2" t="s">
        <v>4187</v>
      </c>
      <c r="F1261" s="2"/>
      <c r="G1261" s="2" t="s">
        <v>9</v>
      </c>
      <c r="H1261" s="7"/>
      <c r="I1261" s="2" t="s">
        <v>9</v>
      </c>
    </row>
    <row r="1262" spans="1:9" ht="39" x14ac:dyDescent="0.3">
      <c r="A1262" s="1" t="str">
        <f>HYPERLINK("https://ipmanager.doe.gov/IPManager//ExternalLink.aspx?6ibkph2k9yi6F%2B0Vz7YoTgZwfmYxrNyKa8hgXxsqDbs%3D","Link")</f>
        <v>Link</v>
      </c>
      <c r="B1262" s="2" t="s">
        <v>4188</v>
      </c>
      <c r="C1262" s="2" t="s">
        <v>4189</v>
      </c>
      <c r="D1262" s="2" t="s">
        <v>3527</v>
      </c>
      <c r="E1262" s="2" t="s">
        <v>4190</v>
      </c>
      <c r="F1262" s="2"/>
      <c r="G1262" s="2" t="s">
        <v>9</v>
      </c>
      <c r="H1262" s="7"/>
      <c r="I1262" s="2" t="s">
        <v>9</v>
      </c>
    </row>
    <row r="1263" spans="1:9" ht="39" x14ac:dyDescent="0.3">
      <c r="A1263" s="1" t="str">
        <f>HYPERLINK("https://ipmanager.doe.gov/IPManager//ExternalLink.aspx?6ibkph2k9yi6F%2B0Vz7YoTipZ798QK%2BbP26ayhaGGros%3D","Link")</f>
        <v>Link</v>
      </c>
      <c r="B1263" s="2" t="s">
        <v>4191</v>
      </c>
      <c r="C1263" s="2" t="s">
        <v>4189</v>
      </c>
      <c r="D1263" s="2" t="s">
        <v>3527</v>
      </c>
      <c r="E1263" s="2" t="s">
        <v>4192</v>
      </c>
      <c r="F1263" s="2"/>
      <c r="G1263" s="2" t="s">
        <v>9</v>
      </c>
      <c r="H1263" s="7"/>
      <c r="I1263" s="2" t="s">
        <v>9</v>
      </c>
    </row>
    <row r="1264" spans="1:9" ht="39" x14ac:dyDescent="0.3">
      <c r="A1264" s="1" t="str">
        <f>HYPERLINK("https://ipmanager.doe.gov/IPManager//ExternalLink.aspx?6ibkph2k9yi6F%2B0Vz7YoTr7J5I%2BY4foY3d3iVRwsYkE%3D","Link")</f>
        <v>Link</v>
      </c>
      <c r="B1264" s="2" t="s">
        <v>4194</v>
      </c>
      <c r="C1264" s="2" t="s">
        <v>4189</v>
      </c>
      <c r="D1264" s="2" t="s">
        <v>3527</v>
      </c>
      <c r="E1264" s="2" t="s">
        <v>4190</v>
      </c>
      <c r="F1264" s="2"/>
      <c r="G1264" s="2" t="s">
        <v>9</v>
      </c>
      <c r="H1264" s="7"/>
      <c r="I1264" s="2" t="s">
        <v>9</v>
      </c>
    </row>
    <row r="1265" spans="1:9" ht="39" x14ac:dyDescent="0.3">
      <c r="A1265" s="1" t="str">
        <f>HYPERLINK("https://ipmanager.doe.gov/IPManager//ExternalLink.aspx?6ibkph2k9yi6F%2B0Vz7YoTgZwfmYxrNyKZbcqZRBAS%2Bc%3D","Link")</f>
        <v>Link</v>
      </c>
      <c r="B1265" s="2" t="s">
        <v>4195</v>
      </c>
      <c r="C1265" s="2" t="s">
        <v>4189</v>
      </c>
      <c r="D1265" s="2" t="s">
        <v>3527</v>
      </c>
      <c r="E1265" s="2" t="s">
        <v>4192</v>
      </c>
      <c r="F1265" s="2"/>
      <c r="G1265" s="2" t="s">
        <v>9</v>
      </c>
      <c r="H1265" s="7"/>
      <c r="I1265" s="2" t="s">
        <v>9</v>
      </c>
    </row>
    <row r="1266" spans="1:9" ht="52" x14ac:dyDescent="0.3">
      <c r="A1266" s="1" t="str">
        <f>HYPERLINK("https://ipmanager.doe.gov/IPManager//ExternalLink.aspx?6ibkph2k9yi6F%2B0Vz7YoTgZwfmYxrNyKTU9vDm4pPG8%3D","Link")</f>
        <v>Link</v>
      </c>
      <c r="B1266" s="2" t="s">
        <v>4196</v>
      </c>
      <c r="C1266" s="2" t="s">
        <v>4197</v>
      </c>
      <c r="D1266" s="2" t="s">
        <v>4198</v>
      </c>
      <c r="E1266" s="2" t="s">
        <v>4199</v>
      </c>
      <c r="F1266" s="2"/>
      <c r="G1266" s="2" t="s">
        <v>9</v>
      </c>
      <c r="H1266" s="7"/>
      <c r="I1266" s="2" t="s">
        <v>9</v>
      </c>
    </row>
    <row r="1267" spans="1:9" ht="26" x14ac:dyDescent="0.3">
      <c r="A1267" s="1" t="str">
        <f>HYPERLINK("https://ipmanager.doe.gov/IPManager//ExternalLink.aspx?6ibkph2k9yi6F%2B0Vz7YoTjnDGhmGHGI7DOtZByR%2BqMQ%3D","Link")</f>
        <v>Link</v>
      </c>
      <c r="B1267" s="2" t="s">
        <v>3553</v>
      </c>
      <c r="C1267" s="2" t="s">
        <v>3526</v>
      </c>
      <c r="D1267" s="2" t="s">
        <v>3527</v>
      </c>
      <c r="E1267" s="2" t="s">
        <v>3554</v>
      </c>
      <c r="F1267" s="2" t="s">
        <v>3555</v>
      </c>
      <c r="G1267" s="2" t="s">
        <v>901</v>
      </c>
      <c r="H1267" s="7"/>
      <c r="I1267" s="2" t="s">
        <v>9</v>
      </c>
    </row>
    <row r="1268" spans="1:9" ht="39" x14ac:dyDescent="0.3">
      <c r="A1268" s="1" t="str">
        <f>HYPERLINK("https://ipmanager.doe.gov/IPManager//ExternalLink.aspx?6ibkph2k9yi6F%2B0Vz7YoTjnDGhmGHGI72VGI6%2BPDD%2FA%3D","Link")</f>
        <v>Link</v>
      </c>
      <c r="B1268" s="2" t="s">
        <v>3563</v>
      </c>
      <c r="C1268" s="2" t="s">
        <v>3526</v>
      </c>
      <c r="D1268" s="2" t="s">
        <v>3527</v>
      </c>
      <c r="E1268" s="2" t="s">
        <v>3564</v>
      </c>
      <c r="F1268" s="2" t="s">
        <v>3565</v>
      </c>
      <c r="G1268" s="2" t="s">
        <v>901</v>
      </c>
      <c r="H1268" s="7"/>
      <c r="I1268" s="2" t="s">
        <v>9</v>
      </c>
    </row>
    <row r="1269" spans="1:9" ht="52" x14ac:dyDescent="0.3">
      <c r="A1269" s="1" t="str">
        <f>HYPERLINK("https://ipmanager.doe.gov/IPManager//ExternalLink.aspx?6ibkph2k9yi6F%2B0Vz7YoTjnDGhmGHGI78qV%2BWQC3i4Q%3D","Link")</f>
        <v>Link</v>
      </c>
      <c r="B1269" s="2" t="s">
        <v>3571</v>
      </c>
      <c r="C1269" s="2" t="s">
        <v>3526</v>
      </c>
      <c r="D1269" s="2" t="s">
        <v>3527</v>
      </c>
      <c r="E1269" s="2" t="s">
        <v>3572</v>
      </c>
      <c r="F1269" s="2" t="s">
        <v>3573</v>
      </c>
      <c r="G1269" s="2" t="s">
        <v>3574</v>
      </c>
      <c r="H1269" s="7"/>
      <c r="I1269" s="2" t="s">
        <v>9</v>
      </c>
    </row>
    <row r="1270" spans="1:9" ht="26" x14ac:dyDescent="0.3">
      <c r="A1270" s="1" t="str">
        <f>HYPERLINK("https://ipmanager.doe.gov/IPManager//ExternalLink.aspx?6ibkph2k9yi6F%2B0Vz7YoTr7J5I%2BY4foY1FRVy%2BXjO64%3D","Link")</f>
        <v>Link</v>
      </c>
      <c r="B1270" s="2" t="s">
        <v>4945</v>
      </c>
      <c r="C1270" s="2" t="s">
        <v>4942</v>
      </c>
      <c r="D1270" s="2" t="s">
        <v>3527</v>
      </c>
      <c r="E1270" s="2" t="s">
        <v>4943</v>
      </c>
      <c r="F1270" s="2" t="s">
        <v>4946</v>
      </c>
      <c r="G1270" s="2" t="s">
        <v>4947</v>
      </c>
      <c r="H1270" s="7"/>
      <c r="I1270" s="2" t="s">
        <v>9</v>
      </c>
    </row>
    <row r="1271" spans="1:9" ht="52" x14ac:dyDescent="0.3">
      <c r="A1271" s="1" t="str">
        <f>HYPERLINK("https://ipmanager.doe.gov/IPManager//ExternalLink.aspx?6ibkph2k9yi6F%2B0Vz7YoTo7DPLa3%2F%2FGgqFV08ydAr90%3D","Link")</f>
        <v>Link</v>
      </c>
      <c r="B1271" s="2" t="s">
        <v>4213</v>
      </c>
      <c r="C1271" s="2" t="s">
        <v>4201</v>
      </c>
      <c r="D1271" s="2" t="s">
        <v>1891</v>
      </c>
      <c r="E1271" s="2" t="s">
        <v>4208</v>
      </c>
      <c r="F1271" s="2"/>
      <c r="G1271" s="2" t="s">
        <v>9</v>
      </c>
      <c r="H1271" s="7"/>
      <c r="I1271" s="2" t="s">
        <v>9</v>
      </c>
    </row>
    <row r="1272" spans="1:9" ht="26" x14ac:dyDescent="0.3">
      <c r="A1272" s="1" t="str">
        <f>HYPERLINK("https://ipmanager.doe.gov/IPManager//ExternalLink.aspx?6ibkph2k9yi6F%2B0Vz7YoTipZ798QK%2BbPTUWOhtrwcnU%3D","Link")</f>
        <v>Link</v>
      </c>
      <c r="B1272" s="2" t="s">
        <v>4214</v>
      </c>
      <c r="C1272" s="2" t="s">
        <v>4201</v>
      </c>
      <c r="D1272" s="2" t="s">
        <v>452</v>
      </c>
      <c r="E1272" s="2" t="s">
        <v>4215</v>
      </c>
      <c r="F1272" s="2"/>
      <c r="G1272" s="2" t="s">
        <v>9</v>
      </c>
      <c r="H1272" s="7"/>
      <c r="I1272" s="2" t="s">
        <v>9</v>
      </c>
    </row>
    <row r="1273" spans="1:9" ht="26" x14ac:dyDescent="0.3">
      <c r="A1273" s="1" t="str">
        <f>HYPERLINK("https://ipmanager.doe.gov/IPManager//ExternalLink.aspx?6ibkph2k9yi6F%2B0Vz7YoTnXVN2REjGcWsYZPmmjxxXY%3D","Link")</f>
        <v>Link</v>
      </c>
      <c r="B1273" s="2" t="s">
        <v>5906</v>
      </c>
      <c r="C1273" s="2" t="s">
        <v>5907</v>
      </c>
      <c r="D1273" s="2" t="s">
        <v>3527</v>
      </c>
      <c r="E1273" s="2" t="s">
        <v>5908</v>
      </c>
      <c r="F1273" s="2" t="s">
        <v>5909</v>
      </c>
      <c r="G1273" s="2" t="s">
        <v>5910</v>
      </c>
      <c r="H1273" s="7"/>
      <c r="I1273" s="2" t="s">
        <v>9</v>
      </c>
    </row>
    <row r="1274" spans="1:9" ht="52" x14ac:dyDescent="0.3">
      <c r="A1274" s="1" t="str">
        <f>HYPERLINK("https://ipmanager.doe.gov/IPManager//ExternalLink.aspx?6ibkph2k9yi6F%2B0Vz7YoTjnDGhmGHGI7PVeFnnl6HBY%3D","Link")</f>
        <v>Link</v>
      </c>
      <c r="B1274" s="2" t="s">
        <v>4219</v>
      </c>
      <c r="C1274" s="2" t="s">
        <v>4201</v>
      </c>
      <c r="D1274" s="2" t="s">
        <v>452</v>
      </c>
      <c r="E1274" s="2" t="s">
        <v>4220</v>
      </c>
      <c r="F1274" s="2"/>
      <c r="G1274" s="2" t="s">
        <v>9</v>
      </c>
      <c r="H1274" s="7"/>
      <c r="I1274" s="2" t="s">
        <v>9</v>
      </c>
    </row>
    <row r="1275" spans="1:9" ht="26" x14ac:dyDescent="0.3">
      <c r="A1275" s="1" t="str">
        <f>HYPERLINK("https://ipmanager.doe.gov/IPManager//ExternalLink.aspx?6ibkph2k9yi6F%2B0Vz7YoTvPUg%2FVZPl3iH67qbB%2Bx8CI%3D","Link")</f>
        <v>Link</v>
      </c>
      <c r="B1275" s="2" t="s">
        <v>5914</v>
      </c>
      <c r="C1275" s="2" t="s">
        <v>5907</v>
      </c>
      <c r="D1275" s="2" t="s">
        <v>3527</v>
      </c>
      <c r="E1275" s="2" t="s">
        <v>5915</v>
      </c>
      <c r="F1275" s="2" t="s">
        <v>5916</v>
      </c>
      <c r="G1275" s="2" t="s">
        <v>5917</v>
      </c>
      <c r="H1275" s="7"/>
      <c r="I1275" s="2" t="s">
        <v>9</v>
      </c>
    </row>
    <row r="1276" spans="1:9" ht="39" x14ac:dyDescent="0.3">
      <c r="A1276" s="1" t="str">
        <f>HYPERLINK("https://ipmanager.doe.gov/IPManager//ExternalLink.aspx?6ibkph2k9yi6F%2B0Vz7YoTr7J5I%2BY4foYAJ5e%2B038lOE%3D","Link")</f>
        <v>Link</v>
      </c>
      <c r="B1276" s="2" t="s">
        <v>4224</v>
      </c>
      <c r="C1276" s="2" t="s">
        <v>4201</v>
      </c>
      <c r="D1276" s="2" t="s">
        <v>452</v>
      </c>
      <c r="E1276" s="2" t="s">
        <v>4202</v>
      </c>
      <c r="F1276" s="2"/>
      <c r="G1276" s="2" t="s">
        <v>9</v>
      </c>
      <c r="H1276" s="7"/>
      <c r="I1276" s="2" t="s">
        <v>9</v>
      </c>
    </row>
    <row r="1277" spans="1:9" ht="26" x14ac:dyDescent="0.3">
      <c r="A1277" s="1" t="str">
        <f>HYPERLINK("https://ipmanager.doe.gov/IPManager//ExternalLink.aspx?6ibkph2k9yi6F%2B0Vz7YoTr7J5I%2BY4foYmn2t%2BE53%2Fac%3D","Link")</f>
        <v>Link</v>
      </c>
      <c r="B1277" s="2" t="s">
        <v>4225</v>
      </c>
      <c r="C1277" s="2" t="s">
        <v>4201</v>
      </c>
      <c r="D1277" s="2" t="s">
        <v>452</v>
      </c>
      <c r="E1277" s="2" t="s">
        <v>4226</v>
      </c>
      <c r="F1277" s="2"/>
      <c r="G1277" s="2" t="s">
        <v>9</v>
      </c>
      <c r="H1277" s="7"/>
      <c r="I1277" s="2" t="s">
        <v>9</v>
      </c>
    </row>
    <row r="1278" spans="1:9" ht="52" x14ac:dyDescent="0.3">
      <c r="A1278" s="1" t="str">
        <f>HYPERLINK("https://ipmanager.doe.gov/IPManager//ExternalLink.aspx?6ibkph2k9yi6F%2B0Vz7YoTjnDGhmGHGI7%2FzoP%2F6nGvB0%3D","Link")</f>
        <v>Link</v>
      </c>
      <c r="B1278" s="2" t="s">
        <v>4227</v>
      </c>
      <c r="C1278" s="2" t="s">
        <v>4201</v>
      </c>
      <c r="D1278" s="2" t="s">
        <v>452</v>
      </c>
      <c r="E1278" s="2" t="s">
        <v>4222</v>
      </c>
      <c r="F1278" s="2"/>
      <c r="G1278" s="2" t="s">
        <v>9</v>
      </c>
      <c r="H1278" s="7"/>
      <c r="I1278" s="2" t="s">
        <v>9</v>
      </c>
    </row>
    <row r="1279" spans="1:9" ht="26" x14ac:dyDescent="0.3">
      <c r="A1279" s="1" t="str">
        <f>HYPERLINK("https://ipmanager.doe.gov/IPManager//ExternalLink.aspx?6ibkph2k9yi6F%2B0Vz7YoTo7DPLa3%2F%2FGgXU9V1J1Pfys%3D","Link")</f>
        <v>Link</v>
      </c>
      <c r="B1279" s="2" t="s">
        <v>5918</v>
      </c>
      <c r="C1279" s="2" t="s">
        <v>5907</v>
      </c>
      <c r="D1279" s="2" t="s">
        <v>3527</v>
      </c>
      <c r="E1279" s="2" t="s">
        <v>5919</v>
      </c>
      <c r="F1279" s="2" t="s">
        <v>5920</v>
      </c>
      <c r="G1279" s="2" t="s">
        <v>4517</v>
      </c>
      <c r="H1279" s="7"/>
      <c r="I1279" s="2" t="s">
        <v>9</v>
      </c>
    </row>
    <row r="1280" spans="1:9" ht="39" x14ac:dyDescent="0.3">
      <c r="A1280" s="1" t="str">
        <f>HYPERLINK("https://ipmanager.doe.gov/IPManager//ExternalLink.aspx?6ibkph2k9yi6F%2B0Vz7YoTvE8yjoHgvp6upIacIi1KpU%3D","Link")</f>
        <v>Link</v>
      </c>
      <c r="B1280" s="2" t="s">
        <v>6249</v>
      </c>
      <c r="C1280" s="2" t="s">
        <v>6250</v>
      </c>
      <c r="D1280" s="2" t="s">
        <v>3527</v>
      </c>
      <c r="E1280" s="2" t="s">
        <v>6251</v>
      </c>
      <c r="F1280" s="2" t="s">
        <v>6252</v>
      </c>
      <c r="G1280" s="2" t="s">
        <v>4517</v>
      </c>
      <c r="H1280" s="7"/>
      <c r="I1280" s="2" t="s">
        <v>9</v>
      </c>
    </row>
    <row r="1281" spans="1:9" ht="39" x14ac:dyDescent="0.3">
      <c r="A1281" s="1" t="str">
        <f>HYPERLINK("https://ipmanager.doe.gov/IPManager//ExternalLink.aspx?6ibkph2k9yi6F%2B0Vz7YoTvPUg%2FVZPl3iXXtvHobymoE%3D","Link")</f>
        <v>Link</v>
      </c>
      <c r="B1281" s="2" t="s">
        <v>6253</v>
      </c>
      <c r="C1281" s="2" t="s">
        <v>6250</v>
      </c>
      <c r="D1281" s="2" t="s">
        <v>3527</v>
      </c>
      <c r="E1281" s="2" t="s">
        <v>6254</v>
      </c>
      <c r="F1281" s="2" t="s">
        <v>6255</v>
      </c>
      <c r="G1281" s="2" t="s">
        <v>5307</v>
      </c>
      <c r="H1281" s="7"/>
      <c r="I1281" s="2" t="s">
        <v>9</v>
      </c>
    </row>
    <row r="1282" spans="1:9" ht="52" x14ac:dyDescent="0.3">
      <c r="A1282" s="1" t="str">
        <f>HYPERLINK("https://ipmanager.doe.gov/IPManager//ExternalLink.aspx?6ibkph2k9yi6F%2B0Vz7YoTp68px7nSN2gxwvqHmERH%2Fs%3D","Link")</f>
        <v>Link</v>
      </c>
      <c r="B1282" s="2" t="s">
        <v>6660</v>
      </c>
      <c r="C1282" s="2" t="s">
        <v>6661</v>
      </c>
      <c r="D1282" s="2" t="s">
        <v>3527</v>
      </c>
      <c r="E1282" s="2" t="s">
        <v>6662</v>
      </c>
      <c r="F1282" s="2" t="s">
        <v>6663</v>
      </c>
      <c r="G1282" s="2" t="s">
        <v>6566</v>
      </c>
      <c r="H1282" s="7"/>
      <c r="I1282" s="2" t="s">
        <v>9</v>
      </c>
    </row>
    <row r="1283" spans="1:9" ht="52" x14ac:dyDescent="0.3">
      <c r="A1283" s="1" t="str">
        <f>HYPERLINK("https://ipmanager.doe.gov/IPManager//ExternalLink.aspx?6ibkph2k9yi6F%2B0Vz7YoTlNm8snv%2FZpHj9cguHxft%2B8%3D","Link")</f>
        <v>Link</v>
      </c>
      <c r="B1283" s="2" t="s">
        <v>954</v>
      </c>
      <c r="C1283" s="2" t="s">
        <v>943</v>
      </c>
      <c r="D1283" s="2" t="s">
        <v>944</v>
      </c>
      <c r="E1283" s="2" t="s">
        <v>955</v>
      </c>
      <c r="F1283" s="2" t="s">
        <v>956</v>
      </c>
      <c r="G1283" s="2" t="s">
        <v>897</v>
      </c>
      <c r="H1283" s="7"/>
      <c r="I1283" s="2" t="s">
        <v>9</v>
      </c>
    </row>
    <row r="1284" spans="1:9" ht="78" x14ac:dyDescent="0.3">
      <c r="A1284" s="1" t="str">
        <f>HYPERLINK("https://ipmanager.doe.gov/IPManager//ExternalLink.aspx?6ibkph2k9yi6F%2B0Vz7YoTp68px7nSN2gL3qsN%2Fn19SE%3D","Link")</f>
        <v>Link</v>
      </c>
      <c r="B1284" s="2" t="s">
        <v>4240</v>
      </c>
      <c r="C1284" s="2" t="s">
        <v>4241</v>
      </c>
      <c r="D1284" s="2" t="s">
        <v>1246</v>
      </c>
      <c r="E1284" s="2" t="s">
        <v>4242</v>
      </c>
      <c r="F1284" s="2"/>
      <c r="G1284" s="2" t="s">
        <v>9</v>
      </c>
      <c r="H1284" s="7"/>
      <c r="I1284" s="2" t="s">
        <v>9</v>
      </c>
    </row>
    <row r="1285" spans="1:9" ht="52" x14ac:dyDescent="0.3">
      <c r="A1285" s="1" t="str">
        <f>HYPERLINK("https://ipmanager.doe.gov/IPManager//ExternalLink.aspx?6ibkph2k9yi6F%2B0Vz7YoTlNm8snv%2FZpHDn4mL2dDWz0%3D","Link")</f>
        <v>Link</v>
      </c>
      <c r="B1285" s="2" t="s">
        <v>957</v>
      </c>
      <c r="C1285" s="2" t="s">
        <v>943</v>
      </c>
      <c r="D1285" s="2" t="s">
        <v>944</v>
      </c>
      <c r="E1285" s="2" t="s">
        <v>958</v>
      </c>
      <c r="F1285" s="2" t="s">
        <v>959</v>
      </c>
      <c r="G1285" s="2" t="s">
        <v>960</v>
      </c>
      <c r="H1285" s="7"/>
      <c r="I1285" s="2" t="s">
        <v>9</v>
      </c>
    </row>
    <row r="1286" spans="1:9" ht="52" x14ac:dyDescent="0.3">
      <c r="A1286" s="1" t="str">
        <f>HYPERLINK("https://ipmanager.doe.gov/IPManager//ExternalLink.aspx?6ibkph2k9yi6F%2B0Vz7YoTlNm8snv%2FZpHvoM80kV%2B6kQ%3D","Link")</f>
        <v>Link</v>
      </c>
      <c r="B1286" s="2" t="s">
        <v>961</v>
      </c>
      <c r="C1286" s="2" t="s">
        <v>943</v>
      </c>
      <c r="D1286" s="2" t="s">
        <v>944</v>
      </c>
      <c r="E1286" s="2" t="s">
        <v>955</v>
      </c>
      <c r="F1286" s="2" t="s">
        <v>962</v>
      </c>
      <c r="G1286" s="2" t="s">
        <v>897</v>
      </c>
      <c r="H1286" s="7"/>
      <c r="I1286" s="2" t="s">
        <v>9</v>
      </c>
    </row>
    <row r="1287" spans="1:9" ht="78" x14ac:dyDescent="0.3">
      <c r="A1287" s="1" t="str">
        <f>HYPERLINK("https://ipmanager.doe.gov/IPManager//ExternalLink.aspx?6ibkph2k9yi6F%2B0Vz7YoTvPUg%2FVZPl3iz7AoMHS9XWw%3D","Link")</f>
        <v>Link</v>
      </c>
      <c r="B1287" s="2" t="s">
        <v>4251</v>
      </c>
      <c r="C1287" s="2" t="s">
        <v>4241</v>
      </c>
      <c r="D1287" s="2" t="s">
        <v>4248</v>
      </c>
      <c r="E1287" s="2" t="s">
        <v>4252</v>
      </c>
      <c r="F1287" s="2" t="s">
        <v>4253</v>
      </c>
      <c r="G1287" s="2" t="s">
        <v>4254</v>
      </c>
      <c r="H1287" s="8">
        <v>10138182</v>
      </c>
      <c r="I1287" s="2" t="s">
        <v>4255</v>
      </c>
    </row>
    <row r="1288" spans="1:9" ht="52" x14ac:dyDescent="0.3">
      <c r="A1288" s="1" t="str">
        <f>HYPERLINK("https://ipmanager.doe.gov/IPManager//ExternalLink.aspx?6ibkph2k9yi6F%2B0Vz7YoTr7J5I%2BY4foYT%2B8ck6R54Ls%3D","Link")</f>
        <v>Link</v>
      </c>
      <c r="B1288" s="2" t="s">
        <v>4207</v>
      </c>
      <c r="C1288" s="2" t="s">
        <v>4201</v>
      </c>
      <c r="D1288" s="2" t="s">
        <v>1891</v>
      </c>
      <c r="E1288" s="2" t="s">
        <v>4208</v>
      </c>
      <c r="F1288" s="2" t="s">
        <v>4209</v>
      </c>
      <c r="G1288" s="2" t="s">
        <v>1478</v>
      </c>
      <c r="H1288" s="7"/>
      <c r="I1288" s="2" t="s">
        <v>9</v>
      </c>
    </row>
    <row r="1289" spans="1:9" ht="52" x14ac:dyDescent="0.3">
      <c r="A1289" s="1" t="str">
        <f>HYPERLINK("https://ipmanager.doe.gov/IPManager//ExternalLink.aspx?6ibkph2k9yi6F%2B0Vz7YoTvPUg%2FVZPl3i0PFG9C0ZO1U%3D","Link")</f>
        <v>Link</v>
      </c>
      <c r="B1289" s="2" t="s">
        <v>4259</v>
      </c>
      <c r="C1289" s="2" t="s">
        <v>4241</v>
      </c>
      <c r="D1289" s="2" t="s">
        <v>1246</v>
      </c>
      <c r="E1289" s="2" t="s">
        <v>4260</v>
      </c>
      <c r="F1289" s="2"/>
      <c r="G1289" s="2" t="s">
        <v>9</v>
      </c>
      <c r="H1289" s="7"/>
      <c r="I1289" s="2" t="s">
        <v>9</v>
      </c>
    </row>
    <row r="1290" spans="1:9" ht="39" x14ac:dyDescent="0.3">
      <c r="A1290" s="1" t="str">
        <f>HYPERLINK("https://ipmanager.doe.gov/IPManager//ExternalLink.aspx?6ibkph2k9yi6F%2B0Vz7YoTvPUg%2FVZPl3ipHftV9IdS68%3D","Link")</f>
        <v>Link</v>
      </c>
      <c r="B1290" s="2" t="s">
        <v>4261</v>
      </c>
      <c r="C1290" s="2" t="s">
        <v>4241</v>
      </c>
      <c r="D1290" s="2" t="s">
        <v>1246</v>
      </c>
      <c r="E1290" s="2" t="s">
        <v>4249</v>
      </c>
      <c r="F1290" s="2"/>
      <c r="G1290" s="2" t="s">
        <v>9</v>
      </c>
      <c r="H1290" s="7"/>
      <c r="I1290" s="2" t="s">
        <v>9</v>
      </c>
    </row>
    <row r="1291" spans="1:9" ht="52" x14ac:dyDescent="0.3">
      <c r="A1291" s="1" t="str">
        <f>HYPERLINK("https://ipmanager.doe.gov/IPManager//ExternalLink.aspx?6ibkph2k9yi6F%2B0Vz7YoTr7J5I%2BY4foYhv%2F4lM6kyKI%3D","Link")</f>
        <v>Link</v>
      </c>
      <c r="B1291" s="2" t="s">
        <v>4212</v>
      </c>
      <c r="C1291" s="2" t="s">
        <v>4201</v>
      </c>
      <c r="D1291" s="2" t="s">
        <v>1891</v>
      </c>
      <c r="E1291" s="2" t="s">
        <v>4208</v>
      </c>
      <c r="F1291" s="2" t="s">
        <v>4210</v>
      </c>
      <c r="G1291" s="2" t="s">
        <v>4211</v>
      </c>
      <c r="H1291" s="7"/>
      <c r="I1291" s="2" t="s">
        <v>9</v>
      </c>
    </row>
    <row r="1292" spans="1:9" ht="26" x14ac:dyDescent="0.3">
      <c r="A1292" s="1" t="str">
        <f>HYPERLINK("https://ipmanager.doe.gov/IPManager//ExternalLink.aspx?6ibkph2k9yi6F%2B0Vz7YoTjnDGhmGHGI7heKldcM7W28%3D","Link")</f>
        <v>Link</v>
      </c>
      <c r="B1292" s="2" t="s">
        <v>4228</v>
      </c>
      <c r="C1292" s="2" t="s">
        <v>4201</v>
      </c>
      <c r="D1292" s="2" t="s">
        <v>1891</v>
      </c>
      <c r="E1292" s="2" t="s">
        <v>4229</v>
      </c>
      <c r="F1292" s="2" t="s">
        <v>4230</v>
      </c>
      <c r="G1292" s="2" t="s">
        <v>4231</v>
      </c>
      <c r="H1292" s="7"/>
      <c r="I1292" s="2" t="s">
        <v>9</v>
      </c>
    </row>
    <row r="1293" spans="1:9" ht="78" x14ac:dyDescent="0.3">
      <c r="A1293" s="1" t="str">
        <f>HYPERLINK("https://ipmanager.doe.gov/IPManager//ExternalLink.aspx?6ibkph2k9yi6F%2B0Vz7YoTkqAgjuWMa9QqhdG7yN7MdY%3D","Link")</f>
        <v>Link</v>
      </c>
      <c r="B1293" s="2" t="s">
        <v>4266</v>
      </c>
      <c r="C1293" s="2" t="s">
        <v>4241</v>
      </c>
      <c r="D1293" s="2" t="s">
        <v>4248</v>
      </c>
      <c r="E1293" s="2" t="s">
        <v>4267</v>
      </c>
      <c r="F1293" s="2"/>
      <c r="G1293" s="2" t="s">
        <v>9</v>
      </c>
      <c r="H1293" s="7"/>
      <c r="I1293" s="2" t="s">
        <v>9</v>
      </c>
    </row>
    <row r="1294" spans="1:9" ht="26" x14ac:dyDescent="0.3">
      <c r="A1294" s="1" t="str">
        <f>HYPERLINK("https://ipmanager.doe.gov/IPManager//ExternalLink.aspx?6ibkph2k9yi6F%2B0Vz7YoTgZwfmYxrNyKjKIfOKwz4cU%3D","Link")</f>
        <v>Link</v>
      </c>
      <c r="B1294" s="2" t="s">
        <v>4233</v>
      </c>
      <c r="C1294" s="2" t="s">
        <v>4201</v>
      </c>
      <c r="D1294" s="2" t="s">
        <v>1891</v>
      </c>
      <c r="E1294" s="2" t="s">
        <v>4229</v>
      </c>
      <c r="F1294" s="2" t="s">
        <v>4234</v>
      </c>
      <c r="G1294" s="2" t="s">
        <v>3150</v>
      </c>
      <c r="H1294" s="7"/>
      <c r="I1294" s="2" t="s">
        <v>9</v>
      </c>
    </row>
    <row r="1295" spans="1:9" ht="26" x14ac:dyDescent="0.3">
      <c r="A1295" s="1" t="str">
        <f>HYPERLINK("https://ipmanager.doe.gov/IPManager//ExternalLink.aspx?6ibkph2k9yi6F%2B0Vz7YoTvPUg%2FVZPl3itN%2ByRjvHUlU%3D","Link")</f>
        <v>Link</v>
      </c>
      <c r="B1295" s="2" t="s">
        <v>4273</v>
      </c>
      <c r="C1295" s="2" t="s">
        <v>4274</v>
      </c>
      <c r="D1295" s="2" t="s">
        <v>4275</v>
      </c>
      <c r="E1295" s="2" t="s">
        <v>4276</v>
      </c>
      <c r="F1295" s="2" t="s">
        <v>4277</v>
      </c>
      <c r="G1295" s="2" t="s">
        <v>2006</v>
      </c>
      <c r="H1295" s="7"/>
      <c r="I1295" s="2" t="s">
        <v>9</v>
      </c>
    </row>
    <row r="1296" spans="1:9" ht="65" x14ac:dyDescent="0.3">
      <c r="A1296" s="1" t="str">
        <f>HYPERLINK("https://ipmanager.doe.gov/IPManager//ExternalLink.aspx?6ibkph2k9yi6F%2B0Vz7YoTk2BI6w%2FjZ2f1JObDnYFKBc%3D","Link")</f>
        <v>Link</v>
      </c>
      <c r="B1296" s="2" t="s">
        <v>4278</v>
      </c>
      <c r="C1296" s="2" t="s">
        <v>4274</v>
      </c>
      <c r="D1296" s="2" t="s">
        <v>4275</v>
      </c>
      <c r="E1296" s="2" t="s">
        <v>4279</v>
      </c>
      <c r="F1296" s="2"/>
      <c r="G1296" s="2" t="s">
        <v>9</v>
      </c>
      <c r="H1296" s="7"/>
      <c r="I1296" s="2" t="s">
        <v>9</v>
      </c>
    </row>
    <row r="1297" spans="1:9" ht="26" x14ac:dyDescent="0.3">
      <c r="A1297" s="1" t="str">
        <f>HYPERLINK("https://ipmanager.doe.gov/IPManager//ExternalLink.aspx?6ibkph2k9yi6F%2B0Vz7YoTo7DPLa3%2F%2FGgi%2FqjPemrK8A%3D","Link")</f>
        <v>Link</v>
      </c>
      <c r="B1297" s="2" t="s">
        <v>4690</v>
      </c>
      <c r="C1297" s="2" t="s">
        <v>4691</v>
      </c>
      <c r="D1297" s="2" t="s">
        <v>1891</v>
      </c>
      <c r="E1297" s="2" t="s">
        <v>4692</v>
      </c>
      <c r="F1297" s="2" t="s">
        <v>4693</v>
      </c>
      <c r="G1297" s="2" t="s">
        <v>1217</v>
      </c>
      <c r="H1297" s="7"/>
      <c r="I1297" s="2" t="s">
        <v>9</v>
      </c>
    </row>
    <row r="1298" spans="1:9" ht="26" x14ac:dyDescent="0.3">
      <c r="A1298" s="1" t="str">
        <f>HYPERLINK("https://ipmanager.doe.gov/IPManager//ExternalLink.aspx?6ibkph2k9yi6F%2B0Vz7YoTo7DPLa3%2F%2FGg1OyHYMC0KgY%3D","Link")</f>
        <v>Link</v>
      </c>
      <c r="B1298" s="2" t="s">
        <v>4695</v>
      </c>
      <c r="C1298" s="2" t="s">
        <v>4691</v>
      </c>
      <c r="D1298" s="2" t="s">
        <v>1891</v>
      </c>
      <c r="E1298" s="2" t="s">
        <v>4692</v>
      </c>
      <c r="F1298" s="2" t="s">
        <v>4694</v>
      </c>
      <c r="G1298" s="2" t="s">
        <v>4696</v>
      </c>
      <c r="H1298" s="7"/>
      <c r="I1298" s="2" t="s">
        <v>9</v>
      </c>
    </row>
    <row r="1299" spans="1:9" ht="26" x14ac:dyDescent="0.3">
      <c r="A1299" s="1" t="str">
        <f>HYPERLINK("https://ipmanager.doe.gov/IPManager//ExternalLink.aspx?6ibkph2k9yi6F%2B0Vz7YoTgZwfmYxrNyKpUv6W8QeknQ%3D","Link")</f>
        <v>Link</v>
      </c>
      <c r="B1299" s="2" t="s">
        <v>5102</v>
      </c>
      <c r="C1299" s="2" t="s">
        <v>5098</v>
      </c>
      <c r="D1299" s="2" t="s">
        <v>1891</v>
      </c>
      <c r="E1299" s="2" t="s">
        <v>5103</v>
      </c>
      <c r="F1299" s="2" t="s">
        <v>5104</v>
      </c>
      <c r="G1299" s="2" t="s">
        <v>5105</v>
      </c>
      <c r="H1299" s="7"/>
      <c r="I1299" s="2" t="s">
        <v>9</v>
      </c>
    </row>
    <row r="1300" spans="1:9" ht="26" x14ac:dyDescent="0.3">
      <c r="A1300" s="1" t="str">
        <f>HYPERLINK("https://ipmanager.doe.gov/IPManager//ExternalLink.aspx?6ibkph2k9yi6F%2B0Vz7YoTvPUg%2FVZPl3izO%2Bv4%2B9NM7k%3D","Link")</f>
        <v>Link</v>
      </c>
      <c r="B1300" s="2" t="s">
        <v>4291</v>
      </c>
      <c r="C1300" s="2" t="s">
        <v>4281</v>
      </c>
      <c r="D1300" s="2" t="s">
        <v>4169</v>
      </c>
      <c r="E1300" s="2" t="s">
        <v>4292</v>
      </c>
      <c r="F1300" s="2" t="s">
        <v>4293</v>
      </c>
      <c r="G1300" s="2" t="s">
        <v>4294</v>
      </c>
      <c r="H1300" s="8">
        <v>10135388</v>
      </c>
      <c r="I1300" s="2" t="s">
        <v>3482</v>
      </c>
    </row>
    <row r="1301" spans="1:9" ht="26" x14ac:dyDescent="0.3">
      <c r="A1301" s="1" t="str">
        <f>HYPERLINK("https://ipmanager.doe.gov/IPManager//ExternalLink.aspx?6ibkph2k9yi6F%2B0Vz7YoTjnDGhmGHGI7ZfuK4B1ElVc%3D","Link")</f>
        <v>Link</v>
      </c>
      <c r="B1301" s="2" t="s">
        <v>5108</v>
      </c>
      <c r="C1301" s="2" t="s">
        <v>5098</v>
      </c>
      <c r="D1301" s="2" t="s">
        <v>1891</v>
      </c>
      <c r="E1301" s="2" t="s">
        <v>5103</v>
      </c>
      <c r="F1301" s="2" t="s">
        <v>5109</v>
      </c>
      <c r="G1301" s="2" t="s">
        <v>5110</v>
      </c>
      <c r="H1301" s="7"/>
      <c r="I1301" s="2" t="s">
        <v>9</v>
      </c>
    </row>
    <row r="1302" spans="1:9" ht="26" x14ac:dyDescent="0.3">
      <c r="A1302" s="1" t="str">
        <f>HYPERLINK("https://ipmanager.doe.gov/IPManager//ExternalLink.aspx?6ibkph2k9yi6F%2B0Vz7YoTvPUg%2FVZPl3i%2BVITeYPhgHg%3D","Link")</f>
        <v>Link</v>
      </c>
      <c r="B1302" s="2" t="s">
        <v>4298</v>
      </c>
      <c r="C1302" s="2" t="s">
        <v>4281</v>
      </c>
      <c r="D1302" s="2" t="s">
        <v>4169</v>
      </c>
      <c r="E1302" s="2" t="s">
        <v>4299</v>
      </c>
      <c r="F1302" s="2" t="s">
        <v>4300</v>
      </c>
      <c r="G1302" s="2" t="s">
        <v>4156</v>
      </c>
      <c r="H1302" s="7" t="s">
        <v>4301</v>
      </c>
      <c r="I1302" s="2" t="s">
        <v>3947</v>
      </c>
    </row>
    <row r="1303" spans="1:9" ht="26" x14ac:dyDescent="0.3">
      <c r="A1303" s="1" t="str">
        <f>HYPERLINK("https://ipmanager.doe.gov/IPManager//ExternalLink.aspx?6ibkph2k9yi6F%2B0Vz7YoTvPUg%2FVZPl3i1q0r%2BbJw5dc%3D","Link")</f>
        <v>Link</v>
      </c>
      <c r="B1303" s="2" t="s">
        <v>5111</v>
      </c>
      <c r="C1303" s="2" t="s">
        <v>5098</v>
      </c>
      <c r="D1303" s="2" t="s">
        <v>1891</v>
      </c>
      <c r="E1303" s="2" t="s">
        <v>5103</v>
      </c>
      <c r="F1303" s="2" t="s">
        <v>5106</v>
      </c>
      <c r="G1303" s="2" t="s">
        <v>4071</v>
      </c>
      <c r="H1303" s="7"/>
      <c r="I1303" s="2" t="s">
        <v>9</v>
      </c>
    </row>
    <row r="1304" spans="1:9" ht="39" x14ac:dyDescent="0.3">
      <c r="A1304" s="1" t="str">
        <f>HYPERLINK("https://ipmanager.doe.gov/IPManager//ExternalLink.aspx?6ibkph2k9yi6F%2B0Vz7YoTvPUg%2FVZPl3iGA7Up7778yA%3D","Link")</f>
        <v>Link</v>
      </c>
      <c r="B1304" s="2" t="s">
        <v>6232</v>
      </c>
      <c r="C1304" s="2" t="s">
        <v>6233</v>
      </c>
      <c r="D1304" s="2" t="s">
        <v>1891</v>
      </c>
      <c r="E1304" s="2" t="s">
        <v>6234</v>
      </c>
      <c r="F1304" s="2" t="s">
        <v>6235</v>
      </c>
      <c r="G1304" s="2" t="s">
        <v>3391</v>
      </c>
      <c r="H1304" s="7"/>
      <c r="I1304" s="2" t="s">
        <v>9</v>
      </c>
    </row>
    <row r="1305" spans="1:9" ht="26" x14ac:dyDescent="0.3">
      <c r="A1305" s="1" t="str">
        <f>HYPERLINK("https://ipmanager.doe.gov/IPManager//ExternalLink.aspx?6ibkph2k9yi6F%2B0Vz7YoTgZwfmYxrNyKWag955DYyDo%3D","Link")</f>
        <v>Link</v>
      </c>
      <c r="B1305" s="2" t="s">
        <v>4312</v>
      </c>
      <c r="C1305" s="2" t="s">
        <v>4313</v>
      </c>
      <c r="D1305" s="2" t="s">
        <v>4314</v>
      </c>
      <c r="E1305" s="2" t="s">
        <v>4315</v>
      </c>
      <c r="F1305" s="2"/>
      <c r="G1305" s="2" t="s">
        <v>9</v>
      </c>
      <c r="H1305" s="7"/>
      <c r="I1305" s="2" t="s">
        <v>9</v>
      </c>
    </row>
    <row r="1306" spans="1:9" ht="39" x14ac:dyDescent="0.3">
      <c r="A1306" s="1" t="str">
        <f>HYPERLINK("https://ipmanager.doe.gov/IPManager//ExternalLink.aspx?6ibkph2k9yi6F%2B0Vz7YoTvPUg%2FVZPl3ieCXGUOYm5jc%3D","Link")</f>
        <v>Link</v>
      </c>
      <c r="B1306" s="2" t="s">
        <v>6236</v>
      </c>
      <c r="C1306" s="2" t="s">
        <v>6233</v>
      </c>
      <c r="D1306" s="2" t="s">
        <v>1891</v>
      </c>
      <c r="E1306" s="2" t="s">
        <v>6234</v>
      </c>
      <c r="F1306" s="2" t="s">
        <v>6237</v>
      </c>
      <c r="G1306" s="2" t="s">
        <v>6179</v>
      </c>
      <c r="H1306" s="7"/>
      <c r="I1306" s="2" t="s">
        <v>9</v>
      </c>
    </row>
    <row r="1307" spans="1:9" ht="26" x14ac:dyDescent="0.3">
      <c r="A1307" s="1" t="str">
        <f>HYPERLINK("https://ipmanager.doe.gov/IPManager//ExternalLink.aspx?6ibkph2k9yi6F%2B0Vz7YoTnXVN2REjGcWwl11NQbSOfI%3D","Link")</f>
        <v>Link</v>
      </c>
      <c r="B1307" s="2" t="s">
        <v>6784</v>
      </c>
      <c r="C1307" s="2" t="s">
        <v>6785</v>
      </c>
      <c r="D1307" s="2" t="s">
        <v>1891</v>
      </c>
      <c r="E1307" s="2" t="s">
        <v>6786</v>
      </c>
      <c r="F1307" s="2" t="s">
        <v>6787</v>
      </c>
      <c r="G1307" s="2" t="s">
        <v>5434</v>
      </c>
      <c r="H1307" s="7"/>
      <c r="I1307" s="2" t="s">
        <v>9</v>
      </c>
    </row>
    <row r="1308" spans="1:9" ht="39" x14ac:dyDescent="0.3">
      <c r="A1308" s="1" t="str">
        <f>HYPERLINK("https://ipmanager.doe.gov/IPManager//ExternalLink.aspx?6ibkph2k9yi6F%2B0Vz7YoTp68px7nSN2gv9qtHIFJ%2FlM%3D","Link")</f>
        <v>Link</v>
      </c>
      <c r="B1308" s="2" t="s">
        <v>907</v>
      </c>
      <c r="C1308" s="2" t="s">
        <v>908</v>
      </c>
      <c r="D1308" s="2" t="s">
        <v>909</v>
      </c>
      <c r="E1308" s="2" t="s">
        <v>910</v>
      </c>
      <c r="F1308" s="2" t="s">
        <v>911</v>
      </c>
      <c r="G1308" s="2" t="s">
        <v>912</v>
      </c>
      <c r="H1308" s="7"/>
      <c r="I1308" s="2" t="s">
        <v>9</v>
      </c>
    </row>
    <row r="1309" spans="1:9" ht="26" x14ac:dyDescent="0.3">
      <c r="A1309" s="1" t="str">
        <f>HYPERLINK("https://ipmanager.doe.gov/IPManager//ExternalLink.aspx?6ibkph2k9yi6F%2B0Vz7YoTu0g4zH%2BOsvyPlDfUPOz3Wc%3D","Link")</f>
        <v>Link</v>
      </c>
      <c r="B1309" s="2" t="s">
        <v>913</v>
      </c>
      <c r="C1309" s="2" t="s">
        <v>908</v>
      </c>
      <c r="D1309" s="2" t="s">
        <v>909</v>
      </c>
      <c r="E1309" s="2" t="s">
        <v>914</v>
      </c>
      <c r="F1309" s="2" t="s">
        <v>915</v>
      </c>
      <c r="G1309" s="2" t="s">
        <v>916</v>
      </c>
      <c r="H1309" s="7"/>
      <c r="I1309" s="2" t="s">
        <v>9</v>
      </c>
    </row>
    <row r="1310" spans="1:9" ht="52" x14ac:dyDescent="0.3">
      <c r="A1310" s="1" t="str">
        <f>HYPERLINK("https://ipmanager.doe.gov/IPManager//ExternalLink.aspx?6ibkph2k9yi6F%2B0Vz7YoTo7DPLa3%2F%2FGgImSawhHmvtU%3D","Link")</f>
        <v>Link</v>
      </c>
      <c r="B1310" s="2" t="s">
        <v>3433</v>
      </c>
      <c r="C1310" s="2" t="s">
        <v>4331</v>
      </c>
      <c r="D1310" s="2" t="s">
        <v>348</v>
      </c>
      <c r="E1310" s="2" t="s">
        <v>4332</v>
      </c>
      <c r="F1310" s="2"/>
      <c r="G1310" s="2" t="s">
        <v>9</v>
      </c>
      <c r="H1310" s="7"/>
      <c r="I1310" s="2" t="s">
        <v>9</v>
      </c>
    </row>
    <row r="1311" spans="1:9" ht="65" x14ac:dyDescent="0.3">
      <c r="A1311" s="1" t="str">
        <f>HYPERLINK("https://ipmanager.doe.gov/IPManager//ExternalLink.aspx?6ibkph2k9yi6F%2B0Vz7YoTo7DPLa3%2F%2FGgKeDU8pPgdbg%3D","Link")</f>
        <v>Link</v>
      </c>
      <c r="B1311" s="2" t="s">
        <v>4333</v>
      </c>
      <c r="C1311" s="2" t="s">
        <v>4334</v>
      </c>
      <c r="D1311" s="2" t="s">
        <v>4335</v>
      </c>
      <c r="E1311" s="2" t="s">
        <v>4336</v>
      </c>
      <c r="F1311" s="2" t="s">
        <v>4337</v>
      </c>
      <c r="G1311" s="2" t="s">
        <v>4338</v>
      </c>
      <c r="H1311" s="7" t="s">
        <v>4339</v>
      </c>
      <c r="I1311" s="2" t="s">
        <v>1949</v>
      </c>
    </row>
    <row r="1312" spans="1:9" ht="104" x14ac:dyDescent="0.3">
      <c r="A1312" s="1" t="str">
        <f>HYPERLINK("https://ipmanager.doe.gov/IPManager//ExternalLink.aspx?6ibkph2k9yi6F%2B0Vz7YoTgZwfmYxrNyKR74%2FJ6v8%2F4E%3D","Link")</f>
        <v>Link</v>
      </c>
      <c r="B1312" s="2" t="s">
        <v>4340</v>
      </c>
      <c r="C1312" s="2" t="s">
        <v>4341</v>
      </c>
      <c r="D1312" s="2"/>
      <c r="E1312" s="2" t="s">
        <v>4342</v>
      </c>
      <c r="F1312" s="2"/>
      <c r="G1312" s="2" t="s">
        <v>9</v>
      </c>
      <c r="H1312" s="7"/>
      <c r="I1312" s="2" t="s">
        <v>9</v>
      </c>
    </row>
    <row r="1313" spans="1:9" ht="26" x14ac:dyDescent="0.3">
      <c r="A1313" s="1" t="str">
        <f>HYPERLINK("https://ipmanager.doe.gov/IPManager//ExternalLink.aspx?6ibkph2k9yi6F%2B0Vz7YoThEBhkR3uHVrOILCHIc6FLk%3D","Link")</f>
        <v>Link</v>
      </c>
      <c r="B1313" s="2" t="s">
        <v>922</v>
      </c>
      <c r="C1313" s="2" t="s">
        <v>908</v>
      </c>
      <c r="D1313" s="2" t="s">
        <v>909</v>
      </c>
      <c r="E1313" s="2" t="s">
        <v>914</v>
      </c>
      <c r="F1313" s="2" t="s">
        <v>923</v>
      </c>
      <c r="G1313" s="2" t="s">
        <v>916</v>
      </c>
      <c r="H1313" s="7"/>
      <c r="I1313" s="2" t="s">
        <v>9</v>
      </c>
    </row>
    <row r="1314" spans="1:9" ht="52" x14ac:dyDescent="0.3">
      <c r="A1314" s="1" t="str">
        <f>HYPERLINK("https://ipmanager.doe.gov/IPManager//ExternalLink.aspx?6ibkph2k9yi6F%2B0Vz7YoTr7J5I%2BY4foYRFHossm6dAo%3D","Link")</f>
        <v>Link</v>
      </c>
      <c r="B1314" s="2" t="s">
        <v>4348</v>
      </c>
      <c r="C1314" s="2" t="s">
        <v>4344</v>
      </c>
      <c r="D1314" s="2" t="s">
        <v>100</v>
      </c>
      <c r="E1314" s="2" t="s">
        <v>4349</v>
      </c>
      <c r="F1314" s="2"/>
      <c r="G1314" s="2" t="s">
        <v>9</v>
      </c>
      <c r="H1314" s="7"/>
      <c r="I1314" s="2" t="s">
        <v>9</v>
      </c>
    </row>
    <row r="1315" spans="1:9" ht="39" x14ac:dyDescent="0.3">
      <c r="A1315" s="1" t="str">
        <f>HYPERLINK("https://ipmanager.doe.gov/IPManager//ExternalLink.aspx?6ibkph2k9yi6F%2B0Vz7YoTu0g4zH%2BOsvyMTCGjtwsSP8%3D","Link")</f>
        <v>Link</v>
      </c>
      <c r="B1315" s="2" t="s">
        <v>930</v>
      </c>
      <c r="C1315" s="2" t="s">
        <v>908</v>
      </c>
      <c r="D1315" s="2" t="s">
        <v>909</v>
      </c>
      <c r="E1315" s="2" t="s">
        <v>931</v>
      </c>
      <c r="F1315" s="2" t="s">
        <v>932</v>
      </c>
      <c r="G1315" s="2" t="s">
        <v>933</v>
      </c>
      <c r="H1315" s="7"/>
      <c r="I1315" s="2" t="s">
        <v>9</v>
      </c>
    </row>
    <row r="1316" spans="1:9" ht="26" x14ac:dyDescent="0.3">
      <c r="A1316" s="1" t="str">
        <f>HYPERLINK("https://ipmanager.doe.gov/IPManager//ExternalLink.aspx?6ibkph2k9yi6F%2B0Vz7YoTjnDGhmGHGI7P6nCty4ZKzQ%3D","Link")</f>
        <v>Link</v>
      </c>
      <c r="B1316" s="2" t="s">
        <v>4355</v>
      </c>
      <c r="C1316" s="2" t="s">
        <v>4351</v>
      </c>
      <c r="D1316" s="2" t="s">
        <v>2316</v>
      </c>
      <c r="E1316" s="2" t="s">
        <v>4356</v>
      </c>
      <c r="F1316" s="2" t="s">
        <v>4357</v>
      </c>
      <c r="G1316" s="2" t="s">
        <v>4358</v>
      </c>
      <c r="H1316" s="7"/>
      <c r="I1316" s="2" t="s">
        <v>9</v>
      </c>
    </row>
    <row r="1317" spans="1:9" ht="78" x14ac:dyDescent="0.3">
      <c r="A1317" s="1" t="str">
        <f>HYPERLINK("https://ipmanager.doe.gov/IPManager//ExternalLink.aspx?6ibkph2k9yi6F%2B0Vz7YoTgZwfmYxrNyKHj7H1IMwt6w%3D","Link")</f>
        <v>Link</v>
      </c>
      <c r="B1317" s="2" t="s">
        <v>4497</v>
      </c>
      <c r="C1317" s="2" t="s">
        <v>4498</v>
      </c>
      <c r="D1317" s="2" t="s">
        <v>909</v>
      </c>
      <c r="E1317" s="2" t="s">
        <v>4499</v>
      </c>
      <c r="F1317" s="2" t="s">
        <v>4500</v>
      </c>
      <c r="G1317" s="2" t="s">
        <v>1642</v>
      </c>
      <c r="H1317" s="7"/>
      <c r="I1317" s="2" t="s">
        <v>9</v>
      </c>
    </row>
    <row r="1318" spans="1:9" ht="39" x14ac:dyDescent="0.3">
      <c r="A1318" s="1" t="str">
        <f>HYPERLINK("https://ipmanager.doe.gov/IPManager//ExternalLink.aspx?6ibkph2k9yi6F%2B0Vz7YoTgZwfmYxrNyKBj8alGGSiyY%3D","Link")</f>
        <v>Link</v>
      </c>
      <c r="B1318" s="2" t="s">
        <v>4501</v>
      </c>
      <c r="C1318" s="2" t="s">
        <v>4498</v>
      </c>
      <c r="D1318" s="2" t="s">
        <v>909</v>
      </c>
      <c r="E1318" s="2" t="s">
        <v>4502</v>
      </c>
      <c r="F1318" s="2" t="s">
        <v>4503</v>
      </c>
      <c r="G1318" s="2" t="s">
        <v>489</v>
      </c>
      <c r="H1318" s="7"/>
      <c r="I1318" s="2" t="s">
        <v>9</v>
      </c>
    </row>
    <row r="1319" spans="1:9" ht="78" x14ac:dyDescent="0.3">
      <c r="A1319" s="1" t="str">
        <f>HYPERLINK("https://ipmanager.doe.gov/IPManager//ExternalLink.aspx?6ibkph2k9yi6F%2B0Vz7YoTu0g4zH%2BOsvykz57glFNQF4%3D","Link")</f>
        <v>Link</v>
      </c>
      <c r="B1319" s="2" t="s">
        <v>4504</v>
      </c>
      <c r="C1319" s="2" t="s">
        <v>4498</v>
      </c>
      <c r="D1319" s="2" t="s">
        <v>909</v>
      </c>
      <c r="E1319" s="2" t="s">
        <v>4505</v>
      </c>
      <c r="F1319" s="2" t="s">
        <v>4506</v>
      </c>
      <c r="G1319" s="2" t="s">
        <v>4507</v>
      </c>
      <c r="H1319" s="7"/>
      <c r="I1319" s="2" t="s">
        <v>9</v>
      </c>
    </row>
    <row r="1320" spans="1:9" ht="78" x14ac:dyDescent="0.3">
      <c r="A1320" s="1" t="str">
        <f>HYPERLINK("https://ipmanager.doe.gov/IPManager//ExternalLink.aspx?6ibkph2k9yi6F%2B0Vz7YoTu0g4zH%2BOsvy9xOUihLX7Lw%3D","Link")</f>
        <v>Link</v>
      </c>
      <c r="B1320" s="2" t="s">
        <v>4511</v>
      </c>
      <c r="C1320" s="2" t="s">
        <v>4498</v>
      </c>
      <c r="D1320" s="2" t="s">
        <v>909</v>
      </c>
      <c r="E1320" s="2" t="s">
        <v>4508</v>
      </c>
      <c r="F1320" s="2" t="s">
        <v>4512</v>
      </c>
      <c r="G1320" s="2" t="s">
        <v>4513</v>
      </c>
      <c r="H1320" s="7"/>
      <c r="I1320" s="2" t="s">
        <v>9</v>
      </c>
    </row>
    <row r="1321" spans="1:9" ht="39" x14ac:dyDescent="0.3">
      <c r="A1321" s="1" t="str">
        <f>HYPERLINK("https://ipmanager.doe.gov/IPManager//ExternalLink.aspx?6ibkph2k9yi6F%2B0Vz7YoTu0g4zH%2BOsvyFT0Dn3VJIIg%3D","Link")</f>
        <v>Link</v>
      </c>
      <c r="B1321" s="2" t="s">
        <v>4514</v>
      </c>
      <c r="C1321" s="2" t="s">
        <v>4498</v>
      </c>
      <c r="D1321" s="2" t="s">
        <v>909</v>
      </c>
      <c r="E1321" s="2" t="s">
        <v>4515</v>
      </c>
      <c r="F1321" s="2" t="s">
        <v>4516</v>
      </c>
      <c r="G1321" s="2" t="s">
        <v>4517</v>
      </c>
      <c r="H1321" s="7"/>
      <c r="I1321" s="2" t="s">
        <v>9</v>
      </c>
    </row>
    <row r="1322" spans="1:9" ht="78" x14ac:dyDescent="0.3">
      <c r="A1322" s="1" t="str">
        <f>HYPERLINK("https://ipmanager.doe.gov/IPManager//ExternalLink.aspx?6ibkph2k9yi6F%2B0Vz7YoTu0g4zH%2BOsvy8x63ZusCidk%3D","Link")</f>
        <v>Link</v>
      </c>
      <c r="B1322" s="2" t="s">
        <v>4518</v>
      </c>
      <c r="C1322" s="2" t="s">
        <v>4498</v>
      </c>
      <c r="D1322" s="2" t="s">
        <v>909</v>
      </c>
      <c r="E1322" s="2" t="s">
        <v>4519</v>
      </c>
      <c r="F1322" s="2" t="s">
        <v>4520</v>
      </c>
      <c r="G1322" s="2" t="s">
        <v>311</v>
      </c>
      <c r="H1322" s="7"/>
      <c r="I1322" s="2" t="s">
        <v>9</v>
      </c>
    </row>
    <row r="1323" spans="1:9" ht="78" x14ac:dyDescent="0.3">
      <c r="A1323" s="1" t="str">
        <f>HYPERLINK("https://ipmanager.doe.gov/IPManager//ExternalLink.aspx?6ibkph2k9yi6F%2B0Vz7YoTu0g4zH%2BOsvy1XemeSEaiaY%3D","Link")</f>
        <v>Link</v>
      </c>
      <c r="B1323" s="2" t="s">
        <v>4521</v>
      </c>
      <c r="C1323" s="2" t="s">
        <v>4498</v>
      </c>
      <c r="D1323" s="2" t="s">
        <v>909</v>
      </c>
      <c r="E1323" s="2" t="s">
        <v>4499</v>
      </c>
      <c r="F1323" s="2" t="s">
        <v>4522</v>
      </c>
      <c r="G1323" s="2" t="s">
        <v>311</v>
      </c>
      <c r="H1323" s="7"/>
      <c r="I1323" s="2" t="s">
        <v>9</v>
      </c>
    </row>
    <row r="1324" spans="1:9" ht="78" x14ac:dyDescent="0.3">
      <c r="A1324" s="1" t="str">
        <f>HYPERLINK("https://ipmanager.doe.gov/IPManager//ExternalLink.aspx?6ibkph2k9yi6F%2B0Vz7YoTp68px7nSN2gkCpwjhVYoMY%3D","Link")</f>
        <v>Link</v>
      </c>
      <c r="B1324" s="2" t="s">
        <v>4523</v>
      </c>
      <c r="C1324" s="2" t="s">
        <v>4498</v>
      </c>
      <c r="D1324" s="2" t="s">
        <v>909</v>
      </c>
      <c r="E1324" s="2" t="s">
        <v>4524</v>
      </c>
      <c r="F1324" s="2" t="s">
        <v>4509</v>
      </c>
      <c r="G1324" s="2" t="s">
        <v>4525</v>
      </c>
      <c r="H1324" s="7"/>
      <c r="I1324" s="2" t="s">
        <v>9</v>
      </c>
    </row>
    <row r="1325" spans="1:9" ht="26" x14ac:dyDescent="0.3">
      <c r="A1325" s="1" t="str">
        <f>HYPERLINK("https://ipmanager.doe.gov/IPManager//ExternalLink.aspx?6ibkph2k9yi6F%2B0Vz7YoTp68px7nSN2gL3gUPLrlPW8%3D","Link")</f>
        <v>Link</v>
      </c>
      <c r="B1325" s="2" t="s">
        <v>4526</v>
      </c>
      <c r="C1325" s="2" t="s">
        <v>4498</v>
      </c>
      <c r="D1325" s="2" t="s">
        <v>909</v>
      </c>
      <c r="E1325" s="2" t="s">
        <v>4527</v>
      </c>
      <c r="F1325" s="2" t="s">
        <v>4512</v>
      </c>
      <c r="G1325" s="2" t="s">
        <v>4525</v>
      </c>
      <c r="H1325" s="7"/>
      <c r="I1325" s="2" t="s">
        <v>9</v>
      </c>
    </row>
    <row r="1326" spans="1:9" ht="65" x14ac:dyDescent="0.3">
      <c r="A1326" s="1" t="str">
        <f>HYPERLINK("https://ipmanager.doe.gov/IPManager//ExternalLink.aspx?6ibkph2k9yi6F%2B0Vz7YoTp68px7nSN2g7%2BF40rdn450%3D","Link")</f>
        <v>Link</v>
      </c>
      <c r="B1326" s="2" t="s">
        <v>4528</v>
      </c>
      <c r="C1326" s="2" t="s">
        <v>4498</v>
      </c>
      <c r="D1326" s="2" t="s">
        <v>909</v>
      </c>
      <c r="E1326" s="2" t="s">
        <v>4529</v>
      </c>
      <c r="F1326" s="2" t="s">
        <v>4530</v>
      </c>
      <c r="G1326" s="2" t="s">
        <v>1993</v>
      </c>
      <c r="H1326" s="7"/>
      <c r="I1326" s="2" t="s">
        <v>9</v>
      </c>
    </row>
    <row r="1327" spans="1:9" ht="39" x14ac:dyDescent="0.3">
      <c r="A1327" s="1" t="str">
        <f>HYPERLINK("https://ipmanager.doe.gov/IPManager//ExternalLink.aspx?6ibkph2k9yi6F%2B0Vz7YoTvPUg%2FVZPl3iIuqtPD4epvE%3D","Link")</f>
        <v>Link</v>
      </c>
      <c r="B1327" s="2" t="s">
        <v>4395</v>
      </c>
      <c r="C1327" s="2" t="s">
        <v>4391</v>
      </c>
      <c r="D1327" s="2" t="s">
        <v>4396</v>
      </c>
      <c r="E1327" s="2" t="s">
        <v>4397</v>
      </c>
      <c r="F1327" s="2"/>
      <c r="G1327" s="2" t="s">
        <v>9</v>
      </c>
      <c r="H1327" s="7"/>
      <c r="I1327" s="2" t="s">
        <v>9</v>
      </c>
    </row>
    <row r="1328" spans="1:9" ht="78" x14ac:dyDescent="0.3">
      <c r="A1328" s="1" t="str">
        <f>HYPERLINK("https://ipmanager.doe.gov/IPManager//ExternalLink.aspx?6ibkph2k9yi6F%2B0Vz7YoTp68px7nSN2g26c%2BcbQcuQw%3D","Link")</f>
        <v>Link</v>
      </c>
      <c r="B1328" s="2" t="s">
        <v>4534</v>
      </c>
      <c r="C1328" s="2" t="s">
        <v>4498</v>
      </c>
      <c r="D1328" s="2" t="s">
        <v>909</v>
      </c>
      <c r="E1328" s="2" t="s">
        <v>4505</v>
      </c>
      <c r="F1328" s="2" t="s">
        <v>4535</v>
      </c>
      <c r="G1328" s="2" t="s">
        <v>1899</v>
      </c>
      <c r="H1328" s="7"/>
      <c r="I1328" s="2" t="s">
        <v>9</v>
      </c>
    </row>
    <row r="1329" spans="1:9" ht="26" x14ac:dyDescent="0.3">
      <c r="A1329" s="1" t="str">
        <f>HYPERLINK("https://ipmanager.doe.gov/IPManager//ExternalLink.aspx?6ibkph2k9yi6F%2B0Vz7YoTp68px7nSN2gGSqyp35XwRw%3D","Link")</f>
        <v>Link</v>
      </c>
      <c r="B1329" s="2" t="s">
        <v>4536</v>
      </c>
      <c r="C1329" s="2" t="s">
        <v>4498</v>
      </c>
      <c r="D1329" s="2" t="s">
        <v>909</v>
      </c>
      <c r="E1329" s="2" t="s">
        <v>4537</v>
      </c>
      <c r="F1329" s="2" t="s">
        <v>4538</v>
      </c>
      <c r="G1329" s="2" t="s">
        <v>2374</v>
      </c>
      <c r="H1329" s="7"/>
      <c r="I1329" s="2" t="s">
        <v>9</v>
      </c>
    </row>
    <row r="1330" spans="1:9" ht="39" x14ac:dyDescent="0.3">
      <c r="A1330" s="1" t="str">
        <f>HYPERLINK("https://ipmanager.doe.gov/IPManager//ExternalLink.aspx?6ibkph2k9yi6F%2B0Vz7YoTkqAgjuWMa9QBU%2FZPgb0jjk%3D","Link")</f>
        <v>Link</v>
      </c>
      <c r="B1330" s="2" t="s">
        <v>6869</v>
      </c>
      <c r="C1330" s="2" t="s">
        <v>6870</v>
      </c>
      <c r="D1330" s="2" t="s">
        <v>909</v>
      </c>
      <c r="E1330" s="2" t="s">
        <v>6871</v>
      </c>
      <c r="F1330" s="2" t="s">
        <v>6872</v>
      </c>
      <c r="G1330" s="2" t="s">
        <v>6571</v>
      </c>
      <c r="H1330" s="7"/>
      <c r="I1330" s="2" t="s">
        <v>9</v>
      </c>
    </row>
    <row r="1331" spans="1:9" ht="39" x14ac:dyDescent="0.3">
      <c r="A1331" s="1" t="str">
        <f>HYPERLINK("https://ipmanager.doe.gov/IPManager//ExternalLink.aspx?6ibkph2k9yi6F%2B0Vz7YoTipZ798QK%2BbPiPvb6vNroqI%3D","Link")</f>
        <v>Link</v>
      </c>
      <c r="B1331" s="2" t="s">
        <v>4409</v>
      </c>
      <c r="C1331" s="2" t="s">
        <v>4403</v>
      </c>
      <c r="D1331" s="2" t="s">
        <v>4410</v>
      </c>
      <c r="E1331" s="2" t="s">
        <v>4411</v>
      </c>
      <c r="F1331" s="2"/>
      <c r="G1331" s="2" t="s">
        <v>9</v>
      </c>
      <c r="H1331" s="7"/>
      <c r="I1331" s="2" t="s">
        <v>9</v>
      </c>
    </row>
    <row r="1332" spans="1:9" ht="78" x14ac:dyDescent="0.3">
      <c r="A1332" s="1" t="str">
        <f>HYPERLINK("https://ipmanager.doe.gov/IPManager//ExternalLink.aspx?6ibkph2k9yi6F%2B0Vz7YoTsTAnuFk5EoAINC3Zmm8sEo%3D","Link")</f>
        <v>Link</v>
      </c>
      <c r="B1332" s="2" t="s">
        <v>4413</v>
      </c>
      <c r="C1332" s="2" t="s">
        <v>4403</v>
      </c>
      <c r="D1332" s="2" t="s">
        <v>4404</v>
      </c>
      <c r="E1332" s="2" t="s">
        <v>4414</v>
      </c>
      <c r="F1332" s="2"/>
      <c r="G1332" s="2" t="s">
        <v>9</v>
      </c>
      <c r="H1332" s="7"/>
      <c r="I1332" s="2" t="s">
        <v>9</v>
      </c>
    </row>
    <row r="1333" spans="1:9" ht="65" x14ac:dyDescent="0.3">
      <c r="A1333" s="1" t="str">
        <f>HYPERLINK("https://ipmanager.doe.gov/IPManager//ExternalLink.aspx?6ibkph2k9yi6F%2B0Vz7YoTgZwfmYxrNyK2v1WNNydW64%3D","Link")</f>
        <v>Link</v>
      </c>
      <c r="B1333" s="2" t="s">
        <v>4415</v>
      </c>
      <c r="C1333" s="2" t="s">
        <v>4403</v>
      </c>
      <c r="D1333" s="2" t="s">
        <v>4404</v>
      </c>
      <c r="E1333" s="2" t="s">
        <v>4416</v>
      </c>
      <c r="F1333" s="2"/>
      <c r="G1333" s="2" t="s">
        <v>9</v>
      </c>
      <c r="H1333" s="7"/>
      <c r="I1333" s="2" t="s">
        <v>9</v>
      </c>
    </row>
    <row r="1334" spans="1:9" ht="39" x14ac:dyDescent="0.3">
      <c r="A1334" s="1" t="str">
        <f>HYPERLINK("https://ipmanager.doe.gov/IPManager//ExternalLink.aspx?6ibkph2k9yi6F%2B0Vz7YoTipZ798QK%2BbPTs2eqXlosTE%3D","Link")</f>
        <v>Link</v>
      </c>
      <c r="B1334" s="2" t="s">
        <v>4417</v>
      </c>
      <c r="C1334" s="2" t="s">
        <v>4418</v>
      </c>
      <c r="D1334" s="2" t="s">
        <v>4419</v>
      </c>
      <c r="E1334" s="2" t="s">
        <v>4420</v>
      </c>
      <c r="F1334" s="2"/>
      <c r="G1334" s="2" t="s">
        <v>9</v>
      </c>
      <c r="H1334" s="7"/>
      <c r="I1334" s="2" t="s">
        <v>9</v>
      </c>
    </row>
    <row r="1335" spans="1:9" ht="26" x14ac:dyDescent="0.3">
      <c r="A1335" s="1" t="str">
        <f>HYPERLINK("https://ipmanager.doe.gov/IPManager//ExternalLink.aspx?6ibkph2k9yi6F%2B0Vz7YoTo7DPLa3%2F%2FGgCE0CgpTaz1w%3D","Link")</f>
        <v>Link</v>
      </c>
      <c r="B1335" s="2" t="s">
        <v>4421</v>
      </c>
      <c r="C1335" s="2" t="s">
        <v>4418</v>
      </c>
      <c r="D1335" s="2" t="s">
        <v>4419</v>
      </c>
      <c r="E1335" s="2" t="s">
        <v>4422</v>
      </c>
      <c r="F1335" s="2"/>
      <c r="G1335" s="2" t="s">
        <v>9</v>
      </c>
      <c r="H1335" s="8">
        <v>9370773</v>
      </c>
      <c r="I1335" s="2" t="s">
        <v>2197</v>
      </c>
    </row>
    <row r="1336" spans="1:9" ht="26" x14ac:dyDescent="0.3">
      <c r="A1336" s="1" t="str">
        <f>HYPERLINK("https://ipmanager.doe.gov/IPManager//ExternalLink.aspx?6ibkph2k9yi6F%2B0Vz7YoTo7DPLa3%2F%2FGgwyydp%2B9M4t0%3D","Link")</f>
        <v>Link</v>
      </c>
      <c r="B1336" s="2" t="s">
        <v>4424</v>
      </c>
      <c r="C1336" s="2" t="s">
        <v>4418</v>
      </c>
      <c r="D1336" s="2" t="s">
        <v>4419</v>
      </c>
      <c r="E1336" s="2" t="s">
        <v>4422</v>
      </c>
      <c r="F1336" s="2" t="s">
        <v>4423</v>
      </c>
      <c r="G1336" s="2" t="s">
        <v>3866</v>
      </c>
      <c r="H1336" s="8">
        <v>9370773</v>
      </c>
      <c r="I1336" s="2" t="s">
        <v>2197</v>
      </c>
    </row>
    <row r="1337" spans="1:9" ht="26" x14ac:dyDescent="0.3">
      <c r="A1337" s="1" t="str">
        <f>HYPERLINK("https://ipmanager.doe.gov/IPManager//ExternalLink.aspx?6ibkph2k9yi6F%2B0Vz7YoTvPUg%2FVZPl3iEyENOQo6FRg%3D","Link")</f>
        <v>Link</v>
      </c>
      <c r="B1337" s="2" t="s">
        <v>4425</v>
      </c>
      <c r="C1337" s="2" t="s">
        <v>4418</v>
      </c>
      <c r="D1337" s="2" t="s">
        <v>4419</v>
      </c>
      <c r="E1337" s="2" t="s">
        <v>4426</v>
      </c>
      <c r="F1337" s="2"/>
      <c r="G1337" s="2" t="s">
        <v>9</v>
      </c>
      <c r="H1337" s="7"/>
      <c r="I1337" s="2" t="s">
        <v>9</v>
      </c>
    </row>
    <row r="1338" spans="1:9" ht="39" x14ac:dyDescent="0.3">
      <c r="A1338" s="1" t="str">
        <f>HYPERLINK("https://ipmanager.doe.gov/IPManager//ExternalLink.aspx?6ibkph2k9yi6F%2B0Vz7YoTp68px7nSN2gu8x4ehNB9Do%3D","Link")</f>
        <v>Link</v>
      </c>
      <c r="B1338" s="2" t="s">
        <v>6873</v>
      </c>
      <c r="C1338" s="2" t="s">
        <v>6870</v>
      </c>
      <c r="D1338" s="2" t="s">
        <v>909</v>
      </c>
      <c r="E1338" s="2" t="s">
        <v>6874</v>
      </c>
      <c r="F1338" s="2" t="s">
        <v>6875</v>
      </c>
      <c r="G1338" s="2" t="s">
        <v>6571</v>
      </c>
      <c r="H1338" s="7"/>
      <c r="I1338" s="2" t="s">
        <v>9</v>
      </c>
    </row>
    <row r="1339" spans="1:9" ht="39" x14ac:dyDescent="0.3">
      <c r="A1339" s="1" t="str">
        <f>HYPERLINK("https://ipmanager.doe.gov/IPManager//ExternalLink.aspx?6ibkph2k9yi6F%2B0Vz7YoTo7DPLa3%2F%2FGgJ002DmtQf%2Fs%3D","Link")</f>
        <v>Link</v>
      </c>
      <c r="B1339" s="2" t="s">
        <v>4430</v>
      </c>
      <c r="C1339" s="2" t="s">
        <v>4418</v>
      </c>
      <c r="D1339" s="2" t="s">
        <v>4419</v>
      </c>
      <c r="E1339" s="2" t="s">
        <v>4431</v>
      </c>
      <c r="F1339" s="2" t="s">
        <v>4432</v>
      </c>
      <c r="G1339" s="2" t="s">
        <v>2948</v>
      </c>
      <c r="H1339" s="7">
        <v>9957624</v>
      </c>
      <c r="I1339" s="3">
        <v>43221</v>
      </c>
    </row>
    <row r="1340" spans="1:9" ht="39" x14ac:dyDescent="0.3">
      <c r="A1340" s="1" t="str">
        <f>HYPERLINK("https://ipmanager.doe.gov/IPManager//ExternalLink.aspx?6ibkph2k9yi6F%2B0Vz7YoTp68px7nSN2g%2FjVLnYmoDF4%3D","Link")</f>
        <v>Link</v>
      </c>
      <c r="B1340" s="2" t="s">
        <v>6880</v>
      </c>
      <c r="C1340" s="2" t="s">
        <v>6870</v>
      </c>
      <c r="D1340" s="2" t="s">
        <v>909</v>
      </c>
      <c r="E1340" s="2" t="s">
        <v>6881</v>
      </c>
      <c r="F1340" s="2" t="s">
        <v>6882</v>
      </c>
      <c r="G1340" s="2" t="s">
        <v>6883</v>
      </c>
      <c r="H1340" s="7"/>
      <c r="I1340" s="2" t="s">
        <v>9</v>
      </c>
    </row>
    <row r="1341" spans="1:9" ht="26" x14ac:dyDescent="0.3">
      <c r="A1341" s="1" t="str">
        <f>HYPERLINK("https://ipmanager.doe.gov/IPManager//ExternalLink.aspx?6ibkph2k9yi6F%2B0Vz7YoTq6RR9BlGHHihEiXm0L30V4%3D","Link")</f>
        <v>Link</v>
      </c>
      <c r="B1341" s="2" t="s">
        <v>4437</v>
      </c>
      <c r="C1341" s="2" t="s">
        <v>4418</v>
      </c>
      <c r="D1341" s="2" t="s">
        <v>4419</v>
      </c>
      <c r="E1341" s="2" t="s">
        <v>4422</v>
      </c>
      <c r="F1341" s="2" t="s">
        <v>4438</v>
      </c>
      <c r="G1341" s="2" t="s">
        <v>4439</v>
      </c>
      <c r="H1341" s="8">
        <v>9580824</v>
      </c>
      <c r="I1341" s="2" t="s">
        <v>1965</v>
      </c>
    </row>
    <row r="1342" spans="1:9" ht="52" x14ac:dyDescent="0.3">
      <c r="A1342" s="1" t="str">
        <f>HYPERLINK("https://ipmanager.doe.gov/IPManager//ExternalLink.aspx?6ibkph2k9yi6F%2B0Vz7YoTq6RR9BlGHHibQ4pe0R9UOA%3D","Link")</f>
        <v>Link</v>
      </c>
      <c r="B1342" s="2" t="s">
        <v>4440</v>
      </c>
      <c r="C1342" s="2" t="s">
        <v>4418</v>
      </c>
      <c r="D1342" s="2" t="s">
        <v>4419</v>
      </c>
      <c r="E1342" s="2" t="s">
        <v>4441</v>
      </c>
      <c r="F1342" s="2" t="s">
        <v>4442</v>
      </c>
      <c r="G1342" s="2" t="s">
        <v>3866</v>
      </c>
      <c r="H1342" s="8">
        <v>9481939</v>
      </c>
      <c r="I1342" s="2" t="s">
        <v>1325</v>
      </c>
    </row>
    <row r="1343" spans="1:9" ht="39" x14ac:dyDescent="0.3">
      <c r="A1343" s="1" t="str">
        <f>HYPERLINK("https://ipmanager.doe.gov/IPManager//ExternalLink.aspx?6ibkph2k9yi6F%2B0Vz7YoTgZwfmYxrNyKWS154GJvjTI%3D","Link")</f>
        <v>Link</v>
      </c>
      <c r="B1343" s="2" t="s">
        <v>4443</v>
      </c>
      <c r="C1343" s="2" t="s">
        <v>4444</v>
      </c>
      <c r="D1343" s="2" t="s">
        <v>95</v>
      </c>
      <c r="E1343" s="2" t="s">
        <v>4445</v>
      </c>
      <c r="F1343" s="2" t="s">
        <v>107</v>
      </c>
      <c r="G1343" s="2" t="s">
        <v>105</v>
      </c>
      <c r="H1343" s="8">
        <v>9917323</v>
      </c>
      <c r="I1343" s="2" t="s">
        <v>4446</v>
      </c>
    </row>
    <row r="1344" spans="1:9" ht="39" x14ac:dyDescent="0.3">
      <c r="A1344" s="1" t="str">
        <f>HYPERLINK("https://ipmanager.doe.gov/IPManager//ExternalLink.aspx?6ibkph2k9yi6F%2B0Vz7YoTr7J5I%2BY4foYElM76f0p6Gs%3D","Link")</f>
        <v>Link</v>
      </c>
      <c r="B1344" s="2" t="s">
        <v>4447</v>
      </c>
      <c r="C1344" s="2" t="s">
        <v>4444</v>
      </c>
      <c r="D1344" s="2" t="s">
        <v>95</v>
      </c>
      <c r="E1344" s="2" t="s">
        <v>4448</v>
      </c>
      <c r="F1344" s="2" t="s">
        <v>104</v>
      </c>
      <c r="G1344" s="2" t="s">
        <v>105</v>
      </c>
      <c r="H1344" s="8">
        <v>9640826</v>
      </c>
      <c r="I1344" s="2" t="s">
        <v>105</v>
      </c>
    </row>
    <row r="1345" spans="1:9" ht="52" x14ac:dyDescent="0.3">
      <c r="A1345" s="1" t="str">
        <f>HYPERLINK("https://ipmanager.doe.gov/IPManager//ExternalLink.aspx?6ibkph2k9yi6F%2B0Vz7YoTk2BI6w%2FjZ2fXKdaw8f5tcQ%3D","Link")</f>
        <v>Link</v>
      </c>
      <c r="B1345" s="2" t="s">
        <v>4449</v>
      </c>
      <c r="C1345" s="2" t="s">
        <v>4444</v>
      </c>
      <c r="D1345" s="2" t="s">
        <v>95</v>
      </c>
      <c r="E1345" s="2" t="s">
        <v>4450</v>
      </c>
      <c r="F1345" s="2"/>
      <c r="G1345" s="2" t="s">
        <v>9</v>
      </c>
      <c r="H1345" s="7"/>
      <c r="I1345" s="2" t="s">
        <v>9</v>
      </c>
    </row>
    <row r="1346" spans="1:9" ht="52" x14ac:dyDescent="0.3">
      <c r="A1346" s="1" t="str">
        <f>HYPERLINK("https://ipmanager.doe.gov/IPManager//ExternalLink.aspx?6ibkph2k9yi6F%2B0Vz7YoTk2BI6w%2FjZ2fFJqxuO6IKuo%3D","Link")</f>
        <v>Link</v>
      </c>
      <c r="B1346" s="2" t="s">
        <v>4452</v>
      </c>
      <c r="C1346" s="2" t="s">
        <v>4453</v>
      </c>
      <c r="D1346" s="2" t="s">
        <v>4454</v>
      </c>
      <c r="E1346" s="2" t="s">
        <v>4455</v>
      </c>
      <c r="F1346" s="2"/>
      <c r="G1346" s="2" t="s">
        <v>9</v>
      </c>
      <c r="H1346" s="7"/>
      <c r="I1346" s="2" t="s">
        <v>9</v>
      </c>
    </row>
    <row r="1347" spans="1:9" ht="52" x14ac:dyDescent="0.3">
      <c r="A1347" s="1" t="str">
        <f>HYPERLINK("https://ipmanager.doe.gov/IPManager//ExternalLink.aspx?6ibkph2k9yi6F%2B0Vz7YoTo7DPLa3%2F%2FGgNLG90izCA%2FI%3D","Link")</f>
        <v>Link</v>
      </c>
      <c r="B1347" s="2" t="s">
        <v>4456</v>
      </c>
      <c r="C1347" s="2" t="s">
        <v>4453</v>
      </c>
      <c r="D1347" s="2" t="s">
        <v>4454</v>
      </c>
      <c r="E1347" s="2" t="s">
        <v>4457</v>
      </c>
      <c r="F1347" s="2"/>
      <c r="G1347" s="2" t="s">
        <v>9</v>
      </c>
      <c r="H1347" s="7"/>
      <c r="I1347" s="2" t="s">
        <v>9</v>
      </c>
    </row>
    <row r="1348" spans="1:9" ht="65" x14ac:dyDescent="0.3">
      <c r="A1348" s="1" t="str">
        <f>HYPERLINK("https://ipmanager.doe.gov/IPManager//ExternalLink.aspx?6ibkph2k9yi6F%2B0Vz7YoTnXVN2REjGcWSmYKkLQ2ojg%3D","Link")</f>
        <v>Link</v>
      </c>
      <c r="B1348" s="2" t="s">
        <v>6888</v>
      </c>
      <c r="C1348" s="2" t="s">
        <v>6870</v>
      </c>
      <c r="D1348" s="2" t="s">
        <v>909</v>
      </c>
      <c r="E1348" s="2" t="s">
        <v>6889</v>
      </c>
      <c r="F1348" s="2" t="s">
        <v>6890</v>
      </c>
      <c r="G1348" s="2" t="s">
        <v>4376</v>
      </c>
      <c r="H1348" s="7"/>
      <c r="I1348" s="2" t="s">
        <v>9</v>
      </c>
    </row>
    <row r="1349" spans="1:9" ht="39" x14ac:dyDescent="0.3">
      <c r="A1349" s="1" t="str">
        <f>HYPERLINK("https://ipmanager.doe.gov/IPManager//ExternalLink.aspx?6ibkph2k9yi6F%2B0Vz7YoTp68px7nSN2gSrLO7ZmamQA%3D","Link")</f>
        <v>Link</v>
      </c>
      <c r="B1349" s="2" t="s">
        <v>6891</v>
      </c>
      <c r="C1349" s="2" t="s">
        <v>6870</v>
      </c>
      <c r="D1349" s="2" t="s">
        <v>909</v>
      </c>
      <c r="E1349" s="2" t="s">
        <v>6892</v>
      </c>
      <c r="F1349" s="2" t="s">
        <v>6893</v>
      </c>
      <c r="G1349" s="2" t="s">
        <v>5217</v>
      </c>
      <c r="H1349" s="7"/>
      <c r="I1349" s="2" t="s">
        <v>9</v>
      </c>
    </row>
    <row r="1350" spans="1:9" ht="26" x14ac:dyDescent="0.3">
      <c r="A1350" s="1" t="str">
        <f>HYPERLINK("https://ipmanager.doe.gov/IPManager//ExternalLink.aspx?6ibkph2k9yi6F%2B0Vz7YoTp68px7nSN2gYqY26LVE5Lc%3D","Link")</f>
        <v>Link</v>
      </c>
      <c r="B1350" s="2" t="s">
        <v>6894</v>
      </c>
      <c r="C1350" s="2" t="s">
        <v>6870</v>
      </c>
      <c r="D1350" s="2" t="s">
        <v>909</v>
      </c>
      <c r="E1350" s="2" t="s">
        <v>6895</v>
      </c>
      <c r="F1350" s="2" t="s">
        <v>6896</v>
      </c>
      <c r="G1350" s="2" t="s">
        <v>9</v>
      </c>
      <c r="H1350" s="7"/>
      <c r="I1350" s="2" t="s">
        <v>9</v>
      </c>
    </row>
    <row r="1351" spans="1:9" ht="26" x14ac:dyDescent="0.3">
      <c r="A1351" s="1" t="str">
        <f>HYPERLINK("https://ipmanager.doe.gov/IPManager//ExternalLink.aspx?6ibkph2k9yi6F%2B0Vz7YoTsTAnuFk5EoAFkpYLUozWkI%3D","Link")</f>
        <v>Link</v>
      </c>
      <c r="B1351" s="2" t="s">
        <v>6897</v>
      </c>
      <c r="C1351" s="2" t="s">
        <v>6870</v>
      </c>
      <c r="D1351" s="2" t="s">
        <v>909</v>
      </c>
      <c r="E1351" s="2" t="s">
        <v>6898</v>
      </c>
      <c r="F1351" s="2" t="s">
        <v>6899</v>
      </c>
      <c r="G1351" s="2" t="s">
        <v>6900</v>
      </c>
      <c r="H1351" s="7"/>
      <c r="I1351" s="2" t="s">
        <v>9</v>
      </c>
    </row>
    <row r="1352" spans="1:9" ht="52" x14ac:dyDescent="0.3">
      <c r="A1352" s="1" t="str">
        <f>HYPERLINK("https://ipmanager.doe.gov/IPManager//ExternalLink.aspx?6ibkph2k9yi6F%2B0Vz7YoTkqAgjuWMa9QjLrkzw5Vef0%3D","Link")</f>
        <v>Link</v>
      </c>
      <c r="B1352" s="2" t="s">
        <v>6901</v>
      </c>
      <c r="C1352" s="2" t="s">
        <v>6870</v>
      </c>
      <c r="D1352" s="2" t="s">
        <v>909</v>
      </c>
      <c r="E1352" s="2" t="s">
        <v>6902</v>
      </c>
      <c r="F1352" s="2" t="s">
        <v>6903</v>
      </c>
      <c r="G1352" s="2" t="s">
        <v>6276</v>
      </c>
      <c r="H1352" s="7"/>
      <c r="I1352" s="2" t="s">
        <v>9</v>
      </c>
    </row>
    <row r="1353" spans="1:9" ht="65" x14ac:dyDescent="0.3">
      <c r="A1353" s="1" t="str">
        <f>HYPERLINK("https://ipmanager.doe.gov/IPManager//ExternalLink.aspx?6ibkph2k9yi6F%2B0Vz7YoTu0g4zH%2BOsvyodwNwp9zY6o%3D","Link")</f>
        <v>Link</v>
      </c>
      <c r="B1353" s="2" t="s">
        <v>6906</v>
      </c>
      <c r="C1353" s="2" t="s">
        <v>6870</v>
      </c>
      <c r="D1353" s="2" t="s">
        <v>909</v>
      </c>
      <c r="E1353" s="2" t="s">
        <v>4529</v>
      </c>
      <c r="F1353" s="2" t="s">
        <v>6907</v>
      </c>
      <c r="G1353" s="2" t="s">
        <v>5443</v>
      </c>
      <c r="H1353" s="7"/>
      <c r="I1353" s="2" t="s">
        <v>9</v>
      </c>
    </row>
    <row r="1354" spans="1:9" ht="65" x14ac:dyDescent="0.3">
      <c r="A1354" s="1" t="str">
        <f>HYPERLINK("https://ipmanager.doe.gov/IPManager//ExternalLink.aspx?6ibkph2k9yi6F%2B0Vz7YoTnXVN2REjGcWOQx%2FhZPHAmg%3D","Link")</f>
        <v>Link</v>
      </c>
      <c r="B1354" s="2" t="s">
        <v>6891</v>
      </c>
      <c r="C1354" s="2" t="s">
        <v>6870</v>
      </c>
      <c r="D1354" s="2" t="s">
        <v>909</v>
      </c>
      <c r="E1354" s="2" t="s">
        <v>6909</v>
      </c>
      <c r="F1354" s="2" t="s">
        <v>6893</v>
      </c>
      <c r="G1354" s="2" t="s">
        <v>5217</v>
      </c>
      <c r="H1354" s="7"/>
      <c r="I1354" s="2" t="s">
        <v>9</v>
      </c>
    </row>
    <row r="1355" spans="1:9" ht="65" x14ac:dyDescent="0.3">
      <c r="A1355" s="1" t="str">
        <f>HYPERLINK("https://ipmanager.doe.gov/IPManager//ExternalLink.aspx?6ibkph2k9yi6F%2B0Vz7YoTp68px7nSN2g%2BQUEFJEyxbY%3D","Link")</f>
        <v>Link</v>
      </c>
      <c r="B1355" s="2" t="s">
        <v>6910</v>
      </c>
      <c r="C1355" s="2" t="s">
        <v>6870</v>
      </c>
      <c r="D1355" s="2" t="s">
        <v>909</v>
      </c>
      <c r="E1355" s="2" t="s">
        <v>6909</v>
      </c>
      <c r="F1355" s="2" t="s">
        <v>6890</v>
      </c>
      <c r="G1355" s="2" t="s">
        <v>4376</v>
      </c>
      <c r="H1355" s="7"/>
      <c r="I1355" s="2" t="s">
        <v>9</v>
      </c>
    </row>
    <row r="1356" spans="1:9" ht="39" x14ac:dyDescent="0.3">
      <c r="A1356" s="1" t="str">
        <f>HYPERLINK("https://ipmanager.doe.gov/IPManager//ExternalLink.aspx?6ibkph2k9yi6F%2B0Vz7YoTvE8yjoHgvp6ka0BqubW8AA%3D","Link")</f>
        <v>Link</v>
      </c>
      <c r="B1356" s="2" t="s">
        <v>4485</v>
      </c>
      <c r="C1356" s="2" t="s">
        <v>4464</v>
      </c>
      <c r="D1356" s="2" t="s">
        <v>452</v>
      </c>
      <c r="E1356" s="2" t="s">
        <v>4486</v>
      </c>
      <c r="F1356" s="2"/>
      <c r="G1356" s="2" t="s">
        <v>9</v>
      </c>
      <c r="H1356" s="7"/>
      <c r="I1356" s="2" t="s">
        <v>9</v>
      </c>
    </row>
    <row r="1357" spans="1:9" ht="39" x14ac:dyDescent="0.3">
      <c r="A1357" s="1" t="str">
        <f>HYPERLINK("https://ipmanager.doe.gov/IPManager//ExternalLink.aspx?6ibkph2k9yi6F%2B0Vz7YoTp68px7nSN2gy1LKOUlMllM%3D","Link")</f>
        <v>Link</v>
      </c>
      <c r="B1357" s="2" t="s">
        <v>6911</v>
      </c>
      <c r="C1357" s="2" t="s">
        <v>6870</v>
      </c>
      <c r="D1357" s="2" t="s">
        <v>909</v>
      </c>
      <c r="E1357" s="2" t="s">
        <v>6912</v>
      </c>
      <c r="F1357" s="2" t="s">
        <v>6913</v>
      </c>
      <c r="G1357" s="2" t="s">
        <v>5307</v>
      </c>
      <c r="H1357" s="7"/>
      <c r="I1357" s="2" t="s">
        <v>9</v>
      </c>
    </row>
    <row r="1358" spans="1:9" ht="65" x14ac:dyDescent="0.3">
      <c r="A1358" s="1" t="str">
        <f>HYPERLINK("https://ipmanager.doe.gov/IPManager//ExternalLink.aspx?6ibkph2k9yi6F%2B0Vz7YoTipZ798QK%2BbPleFtrJ42I2E%3D","Link")</f>
        <v>Link</v>
      </c>
      <c r="B1358" s="2" t="s">
        <v>4489</v>
      </c>
      <c r="C1358" s="2" t="s">
        <v>4464</v>
      </c>
      <c r="D1358" s="2" t="s">
        <v>4490</v>
      </c>
      <c r="E1358" s="2" t="s">
        <v>4491</v>
      </c>
      <c r="F1358" s="2"/>
      <c r="G1358" s="2" t="s">
        <v>9</v>
      </c>
      <c r="H1358" s="7"/>
      <c r="I1358" s="2" t="s">
        <v>9</v>
      </c>
    </row>
    <row r="1359" spans="1:9" ht="26" x14ac:dyDescent="0.3">
      <c r="A1359" s="1" t="str">
        <f>HYPERLINK("https://ipmanager.doe.gov/IPManager//ExternalLink.aspx?6ibkph2k9yi6F%2B0Vz7YoTipZ798QK%2BbPJCRx6tOJe0k%3D","Link")</f>
        <v>Link</v>
      </c>
      <c r="B1359" s="2" t="s">
        <v>4492</v>
      </c>
      <c r="C1359" s="2" t="s">
        <v>4464</v>
      </c>
      <c r="D1359" s="2" t="s">
        <v>452</v>
      </c>
      <c r="E1359" s="2" t="s">
        <v>4493</v>
      </c>
      <c r="F1359" s="2"/>
      <c r="G1359" s="2" t="s">
        <v>9</v>
      </c>
      <c r="H1359" s="7"/>
      <c r="I1359" s="2" t="s">
        <v>9</v>
      </c>
    </row>
    <row r="1360" spans="1:9" ht="26" x14ac:dyDescent="0.3">
      <c r="A1360" s="1" t="str">
        <f>HYPERLINK("https://ipmanager.doe.gov/IPManager//ExternalLink.aspx?6ibkph2k9yi6F%2B0Vz7YoTo7DPLa3%2F%2FGg4NfKDlrsMXI%3D","Link")</f>
        <v>Link</v>
      </c>
      <c r="B1360" s="2" t="s">
        <v>5818</v>
      </c>
      <c r="C1360" s="2" t="s">
        <v>5815</v>
      </c>
      <c r="D1360" s="2" t="s">
        <v>5816</v>
      </c>
      <c r="E1360" s="2" t="s">
        <v>5819</v>
      </c>
      <c r="F1360" s="2" t="s">
        <v>5820</v>
      </c>
      <c r="G1360" s="2" t="s">
        <v>5821</v>
      </c>
      <c r="H1360" s="7"/>
      <c r="I1360" s="2" t="s">
        <v>9</v>
      </c>
    </row>
    <row r="1361" spans="1:9" ht="26" x14ac:dyDescent="0.3">
      <c r="A1361" s="1" t="str">
        <f>HYPERLINK("https://ipmanager.doe.gov/IPManager//ExternalLink.aspx?6ibkph2k9yi6F%2B0Vz7YoTvE8yjoHgvp6qcpVNoBImvQ%3D","Link")</f>
        <v>Link</v>
      </c>
      <c r="B1361" s="2" t="s">
        <v>6164</v>
      </c>
      <c r="C1361" s="2" t="s">
        <v>6165</v>
      </c>
      <c r="D1361" s="2" t="s">
        <v>6166</v>
      </c>
      <c r="E1361" s="2" t="s">
        <v>6167</v>
      </c>
      <c r="F1361" s="2" t="s">
        <v>6168</v>
      </c>
      <c r="G1361" s="2" t="s">
        <v>5997</v>
      </c>
      <c r="H1361" s="7"/>
      <c r="I1361" s="2" t="s">
        <v>9</v>
      </c>
    </row>
    <row r="1362" spans="1:9" ht="52" x14ac:dyDescent="0.3">
      <c r="A1362" s="1" t="str">
        <f>HYPERLINK("https://ipmanager.doe.gov/IPManager//ExternalLink.aspx?6ibkph2k9yi6F%2B0Vz7YoTlNm8snv%2FZpH13AQyPEzJMw%3D","Link")</f>
        <v>Link</v>
      </c>
      <c r="B1362" s="2" t="s">
        <v>2011</v>
      </c>
      <c r="C1362" s="2" t="s">
        <v>2008</v>
      </c>
      <c r="D1362" s="2" t="s">
        <v>2009</v>
      </c>
      <c r="E1362" s="2" t="s">
        <v>2012</v>
      </c>
      <c r="F1362" s="2" t="s">
        <v>2013</v>
      </c>
      <c r="G1362" s="2" t="s">
        <v>9</v>
      </c>
      <c r="H1362" s="7"/>
      <c r="I1362" s="2" t="s">
        <v>9</v>
      </c>
    </row>
    <row r="1363" spans="1:9" ht="26" x14ac:dyDescent="0.3">
      <c r="A1363" s="1" t="str">
        <f>HYPERLINK("https://ipmanager.doe.gov/IPManager//ExternalLink.aspx?6ibkph2k9yi6F%2B0Vz7YoTgZwfmYxrNyK4vrQpScImVk%3D","Link")</f>
        <v>Link</v>
      </c>
      <c r="B1363" s="2" t="s">
        <v>2014</v>
      </c>
      <c r="C1363" s="2" t="s">
        <v>2008</v>
      </c>
      <c r="D1363" s="2" t="s">
        <v>2009</v>
      </c>
      <c r="E1363" s="2" t="s">
        <v>2015</v>
      </c>
      <c r="F1363" s="2" t="s">
        <v>2016</v>
      </c>
      <c r="G1363" s="2" t="s">
        <v>9</v>
      </c>
      <c r="H1363" s="7"/>
      <c r="I1363" s="2" t="s">
        <v>9</v>
      </c>
    </row>
    <row r="1364" spans="1:9" ht="78" x14ac:dyDescent="0.3">
      <c r="A1364" s="1" t="str">
        <f>HYPERLINK("https://ipmanager.doe.gov/IPManager//ExternalLink.aspx?6ibkph2k9yi6F%2B0Vz7YoTipZ798QK%2BbPBwB60%2FlznIg%3D","Link")</f>
        <v>Link</v>
      </c>
      <c r="B1364" s="2" t="s">
        <v>4172</v>
      </c>
      <c r="C1364" s="2" t="s">
        <v>4168</v>
      </c>
      <c r="D1364" s="2" t="s">
        <v>4173</v>
      </c>
      <c r="E1364" s="2" t="s">
        <v>4174</v>
      </c>
      <c r="F1364" s="2" t="s">
        <v>4175</v>
      </c>
      <c r="G1364" s="2" t="s">
        <v>4176</v>
      </c>
      <c r="H1364" s="7"/>
      <c r="I1364" s="2" t="s">
        <v>9</v>
      </c>
    </row>
    <row r="1365" spans="1:9" ht="78" x14ac:dyDescent="0.3">
      <c r="A1365" s="1" t="str">
        <f>HYPERLINK("https://ipmanager.doe.gov/IPManager//ExternalLink.aspx?6ibkph2k9yi6F%2B0Vz7YoTipZ798QK%2BbP0DLDbwgJL5A%3D","Link")</f>
        <v>Link</v>
      </c>
      <c r="B1365" s="2" t="s">
        <v>4177</v>
      </c>
      <c r="C1365" s="2" t="s">
        <v>4168</v>
      </c>
      <c r="D1365" s="2" t="s">
        <v>4173</v>
      </c>
      <c r="E1365" s="2" t="s">
        <v>4178</v>
      </c>
      <c r="F1365" s="2" t="s">
        <v>4179</v>
      </c>
      <c r="G1365" s="2" t="s">
        <v>4180</v>
      </c>
      <c r="H1365" s="7"/>
      <c r="I1365" s="2" t="s">
        <v>9</v>
      </c>
    </row>
    <row r="1366" spans="1:9" ht="143" x14ac:dyDescent="0.3">
      <c r="A1366" s="1" t="str">
        <f>HYPERLINK("https://ipmanager.doe.gov/IPManager//ExternalLink.aspx?6ibkph2k9yi6F%2B0Vz7YoTq6RR9BlGHHi3iqmuuLVSSI%3D","Link")</f>
        <v>Link</v>
      </c>
      <c r="B1366" s="2" t="s">
        <v>4383</v>
      </c>
      <c r="C1366" s="2" t="s">
        <v>4363</v>
      </c>
      <c r="D1366" s="2" t="s">
        <v>4384</v>
      </c>
      <c r="E1366" s="2" t="s">
        <v>4385</v>
      </c>
      <c r="F1366" s="2" t="s">
        <v>4386</v>
      </c>
      <c r="G1366" s="2" t="s">
        <v>2289</v>
      </c>
      <c r="H1366" s="7"/>
      <c r="I1366" s="2" t="s">
        <v>9</v>
      </c>
    </row>
    <row r="1367" spans="1:9" ht="65" x14ac:dyDescent="0.3">
      <c r="A1367" s="1" t="str">
        <f>HYPERLINK("https://ipmanager.doe.gov/IPManager//ExternalLink.aspx?6ibkph2k9yi6F%2B0Vz7YoTq6RR9BlGHHiUEAD5XLitXI%3D","Link")</f>
        <v>Link</v>
      </c>
      <c r="B1367" s="2" t="s">
        <v>4387</v>
      </c>
      <c r="C1367" s="2" t="s">
        <v>4363</v>
      </c>
      <c r="D1367" s="2" t="s">
        <v>4384</v>
      </c>
      <c r="E1367" s="2" t="s">
        <v>4388</v>
      </c>
      <c r="F1367" s="2" t="s">
        <v>4389</v>
      </c>
      <c r="G1367" s="2" t="s">
        <v>3947</v>
      </c>
      <c r="H1367" s="7"/>
      <c r="I1367" s="2" t="s">
        <v>9</v>
      </c>
    </row>
    <row r="1368" spans="1:9" ht="26" x14ac:dyDescent="0.3">
      <c r="A1368" s="1" t="str">
        <f>HYPERLINK("https://ipmanager.doe.gov/IPManager//ExternalLink.aspx?6ibkph2k9yi6F%2B0Vz7YoTjnDGhmGHGI7oOLwbhA3a9c%3D","Link")</f>
        <v>Link</v>
      </c>
      <c r="B1368" s="2" t="s">
        <v>4652</v>
      </c>
      <c r="C1368" s="2" t="s">
        <v>4638</v>
      </c>
      <c r="D1368" s="2" t="s">
        <v>4384</v>
      </c>
      <c r="E1368" s="2" t="s">
        <v>4653</v>
      </c>
      <c r="F1368" s="2" t="s">
        <v>7641</v>
      </c>
      <c r="G1368" s="2" t="s">
        <v>4654</v>
      </c>
      <c r="H1368" s="7"/>
      <c r="I1368" s="2" t="s">
        <v>9</v>
      </c>
    </row>
    <row r="1369" spans="1:9" ht="78" x14ac:dyDescent="0.3">
      <c r="A1369" s="1" t="str">
        <f>HYPERLINK("https://ipmanager.doe.gov/IPManager//ExternalLink.aspx?6ibkph2k9yi6F%2B0Vz7YoTvPUg%2FVZPl3itm7cmiPbveI%3D","Link")</f>
        <v>Link</v>
      </c>
      <c r="B1369" s="2" t="s">
        <v>6088</v>
      </c>
      <c r="C1369" s="2" t="s">
        <v>6082</v>
      </c>
      <c r="D1369" s="2" t="s">
        <v>4384</v>
      </c>
      <c r="E1369" s="2" t="s">
        <v>6089</v>
      </c>
      <c r="F1369" s="2" t="s">
        <v>6090</v>
      </c>
      <c r="G1369" s="2" t="s">
        <v>5744</v>
      </c>
      <c r="H1369" s="7"/>
      <c r="I1369" s="2" t="s">
        <v>9</v>
      </c>
    </row>
    <row r="1370" spans="1:9" ht="26" x14ac:dyDescent="0.3">
      <c r="A1370" s="1" t="str">
        <f>HYPERLINK("https://ipmanager.doe.gov/IPManager//ExternalLink.aspx?6ibkph2k9yi6F%2B0Vz7YoTvPUg%2FVZPl3i6lOMiJwpjtM%3D","Link")</f>
        <v>Link</v>
      </c>
      <c r="B1370" s="2" t="s">
        <v>6091</v>
      </c>
      <c r="C1370" s="2" t="s">
        <v>6082</v>
      </c>
      <c r="D1370" s="2" t="s">
        <v>4384</v>
      </c>
      <c r="E1370" s="2" t="s">
        <v>6092</v>
      </c>
      <c r="F1370" s="2" t="s">
        <v>6093</v>
      </c>
      <c r="G1370" s="2" t="s">
        <v>6094</v>
      </c>
      <c r="H1370" s="7"/>
      <c r="I1370" s="2" t="s">
        <v>9</v>
      </c>
    </row>
    <row r="1371" spans="1:9" ht="39" x14ac:dyDescent="0.3">
      <c r="A1371" s="1" t="str">
        <f>HYPERLINK("https://ipmanager.doe.gov/IPManager//ExternalLink.aspx?6ibkph2k9yi6F%2B0Vz7YoTp68px7nSN2gNRb%2FlP2wQPs%3D","Link")</f>
        <v>Link</v>
      </c>
      <c r="B1371" s="2" t="s">
        <v>4531</v>
      </c>
      <c r="C1371" s="2" t="s">
        <v>4498</v>
      </c>
      <c r="D1371" s="2" t="s">
        <v>909</v>
      </c>
      <c r="E1371" s="2" t="s">
        <v>4502</v>
      </c>
      <c r="F1371" s="2" t="s">
        <v>4532</v>
      </c>
      <c r="G1371" s="2" t="s">
        <v>3619</v>
      </c>
      <c r="H1371" s="7" t="s">
        <v>4533</v>
      </c>
      <c r="I1371" s="2" t="s">
        <v>689</v>
      </c>
    </row>
    <row r="1372" spans="1:9" ht="65" x14ac:dyDescent="0.3">
      <c r="A1372" s="1" t="str">
        <f>HYPERLINK("https://ipmanager.doe.gov/IPManager//ExternalLink.aspx?6ibkph2k9yi6F%2B0Vz7YoTq6RR9BlGHHiOchl5BIypxI%3D","Link")</f>
        <v>Link</v>
      </c>
      <c r="B1372" s="2" t="s">
        <v>6095</v>
      </c>
      <c r="C1372" s="2" t="s">
        <v>6082</v>
      </c>
      <c r="D1372" s="2" t="s">
        <v>4384</v>
      </c>
      <c r="E1372" s="2" t="s">
        <v>6096</v>
      </c>
      <c r="F1372" s="2" t="s">
        <v>6097</v>
      </c>
      <c r="G1372" s="2" t="s">
        <v>6098</v>
      </c>
      <c r="H1372" s="7"/>
      <c r="I1372" s="2" t="s">
        <v>9</v>
      </c>
    </row>
    <row r="1373" spans="1:9" ht="26" x14ac:dyDescent="0.3">
      <c r="A1373" s="1" t="str">
        <f>HYPERLINK("https://ipmanager.doe.gov/IPManager//ExternalLink.aspx?6ibkph2k9yi6F%2B0Vz7YoTq6RR9BlGHHicy%2BOi1eyI1g%3D","Link")</f>
        <v>Link</v>
      </c>
      <c r="B1373" s="2" t="s">
        <v>5895</v>
      </c>
      <c r="C1373" s="2" t="s">
        <v>5896</v>
      </c>
      <c r="D1373" s="2" t="s">
        <v>5897</v>
      </c>
      <c r="E1373" s="2" t="s">
        <v>5898</v>
      </c>
      <c r="F1373" s="2" t="s">
        <v>5899</v>
      </c>
      <c r="G1373" s="2" t="s">
        <v>4716</v>
      </c>
      <c r="H1373" s="7"/>
      <c r="I1373" s="2" t="s">
        <v>9</v>
      </c>
    </row>
    <row r="1374" spans="1:9" ht="39" x14ac:dyDescent="0.3">
      <c r="A1374" s="1" t="str">
        <f>HYPERLINK("https://ipmanager.doe.gov/IPManager//ExternalLink.aspx?6ibkph2k9yi6F%2B0Vz7YoTp68px7nSN2g54lFCcMIfUc%3D","Link")</f>
        <v>Link</v>
      </c>
      <c r="B1374" s="2" t="s">
        <v>4539</v>
      </c>
      <c r="C1374" s="2" t="s">
        <v>4498</v>
      </c>
      <c r="D1374" s="2" t="s">
        <v>909</v>
      </c>
      <c r="E1374" s="2" t="s">
        <v>4515</v>
      </c>
      <c r="F1374" s="2" t="s">
        <v>4540</v>
      </c>
      <c r="G1374" s="2" t="s">
        <v>3318</v>
      </c>
      <c r="H1374" s="7" t="s">
        <v>4541</v>
      </c>
      <c r="I1374" s="2" t="s">
        <v>940</v>
      </c>
    </row>
    <row r="1375" spans="1:9" ht="39" x14ac:dyDescent="0.3">
      <c r="A1375" s="1" t="str">
        <f>HYPERLINK("https://ipmanager.doe.gov/IPManager//ExternalLink.aspx?6ibkph2k9yi6F%2B0Vz7YoTp68px7nSN2gYchahXTh6Zc%3D","Link")</f>
        <v>Link</v>
      </c>
      <c r="B1375" s="2" t="s">
        <v>4542</v>
      </c>
      <c r="C1375" s="2" t="s">
        <v>4498</v>
      </c>
      <c r="D1375" s="2" t="s">
        <v>909</v>
      </c>
      <c r="E1375" s="2" t="s">
        <v>4543</v>
      </c>
      <c r="F1375" s="2" t="s">
        <v>4544</v>
      </c>
      <c r="G1375" s="2" t="s">
        <v>1159</v>
      </c>
      <c r="H1375" s="7" t="s">
        <v>4545</v>
      </c>
      <c r="I1375" s="2" t="s">
        <v>1421</v>
      </c>
    </row>
    <row r="1376" spans="1:9" ht="26" x14ac:dyDescent="0.3">
      <c r="A1376" s="1" t="str">
        <f>HYPERLINK("https://ipmanager.doe.gov/IPManager//ExternalLink.aspx?6ibkph2k9yi6F%2B0Vz7YoTnXVN2REjGcWx7TpoSu1wrw%3D","Link")</f>
        <v>Link</v>
      </c>
      <c r="B1376" s="2" t="s">
        <v>5901</v>
      </c>
      <c r="C1376" s="2" t="s">
        <v>5896</v>
      </c>
      <c r="D1376" s="2" t="s">
        <v>5897</v>
      </c>
      <c r="E1376" s="2" t="s">
        <v>5898</v>
      </c>
      <c r="F1376" s="2" t="s">
        <v>5902</v>
      </c>
      <c r="G1376" s="2" t="s">
        <v>3466</v>
      </c>
      <c r="H1376" s="7"/>
      <c r="I1376" s="2" t="s">
        <v>9</v>
      </c>
    </row>
    <row r="1377" spans="1:9" ht="26" x14ac:dyDescent="0.3">
      <c r="A1377" s="1" t="str">
        <f>HYPERLINK("https://ipmanager.doe.gov/IPManager//ExternalLink.aspx?6ibkph2k9yi6F%2B0Vz7YoTp68px7nSN2gPDcvgKYv1SU%3D","Link")</f>
        <v>Link</v>
      </c>
      <c r="B1377" s="2" t="s">
        <v>4551</v>
      </c>
      <c r="C1377" s="2" t="s">
        <v>4547</v>
      </c>
      <c r="D1377" s="2" t="s">
        <v>4548</v>
      </c>
      <c r="E1377" s="2" t="s">
        <v>4552</v>
      </c>
      <c r="F1377" s="2"/>
      <c r="G1377" s="2" t="s">
        <v>9</v>
      </c>
      <c r="H1377" s="7"/>
      <c r="I1377" s="2" t="s">
        <v>9</v>
      </c>
    </row>
    <row r="1378" spans="1:9" ht="26" x14ac:dyDescent="0.3">
      <c r="A1378" s="1" t="str">
        <f>HYPERLINK("https://ipmanager.doe.gov/IPManager//ExternalLink.aspx?6ibkph2k9yi6F%2B0Vz7YoTo7DPLa3%2F%2FGgJ%2FRrVyOkT%2FI%3D","Link")</f>
        <v>Link</v>
      </c>
      <c r="B1378" s="2" t="s">
        <v>5903</v>
      </c>
      <c r="C1378" s="2" t="s">
        <v>5896</v>
      </c>
      <c r="D1378" s="2" t="s">
        <v>5897</v>
      </c>
      <c r="E1378" s="2" t="s">
        <v>5898</v>
      </c>
      <c r="F1378" s="2" t="s">
        <v>5904</v>
      </c>
      <c r="G1378" s="2" t="s">
        <v>5905</v>
      </c>
      <c r="H1378" s="7"/>
      <c r="I1378" s="2" t="s">
        <v>9</v>
      </c>
    </row>
    <row r="1379" spans="1:9" ht="52" x14ac:dyDescent="0.3">
      <c r="A1379" s="1" t="str">
        <f>HYPERLINK("https://ipmanager.doe.gov/IPManager//ExternalLink.aspx?6ibkph2k9yi6F%2B0Vz7YoTgZwfmYxrNyKfnrmeXt9sOo%3D","Link")</f>
        <v>Link</v>
      </c>
      <c r="B1379" s="2" t="s">
        <v>4557</v>
      </c>
      <c r="C1379" s="2" t="s">
        <v>4558</v>
      </c>
      <c r="D1379" s="2" t="s">
        <v>8</v>
      </c>
      <c r="E1379" s="2" t="s">
        <v>4559</v>
      </c>
      <c r="F1379" s="2"/>
      <c r="G1379" s="2" t="s">
        <v>9</v>
      </c>
      <c r="H1379" s="7"/>
      <c r="I1379" s="2" t="s">
        <v>9</v>
      </c>
    </row>
    <row r="1380" spans="1:9" ht="26" x14ac:dyDescent="0.3">
      <c r="A1380" s="1" t="str">
        <f>HYPERLINK("https://ipmanager.doe.gov/IPManager//ExternalLink.aspx?6ibkph2k9yi6F%2B0Vz7YoTlNm8snv%2FZpHnonhukHDNAQ%3D","Link")</f>
        <v>Link</v>
      </c>
      <c r="B1380" s="2" t="s">
        <v>1140</v>
      </c>
      <c r="C1380" s="2" t="s">
        <v>1141</v>
      </c>
      <c r="D1380" s="2" t="s">
        <v>1142</v>
      </c>
      <c r="E1380" s="2" t="s">
        <v>1143</v>
      </c>
      <c r="F1380" s="2" t="s">
        <v>7642</v>
      </c>
      <c r="G1380" s="2" t="s">
        <v>978</v>
      </c>
      <c r="H1380" s="7"/>
      <c r="I1380" s="2" t="s">
        <v>9</v>
      </c>
    </row>
    <row r="1381" spans="1:9" ht="26" x14ac:dyDescent="0.3">
      <c r="A1381" s="1" t="str">
        <f>HYPERLINK("https://ipmanager.doe.gov/IPManager//ExternalLink.aspx?6ibkph2k9yi6F%2B0Vz7YoTvE8yjoHgvp6obWoME6Uktg%3D","Link")</f>
        <v>Link</v>
      </c>
      <c r="B1381" s="2" t="s">
        <v>4564</v>
      </c>
      <c r="C1381" s="2" t="s">
        <v>4561</v>
      </c>
      <c r="D1381" s="2" t="s">
        <v>1775</v>
      </c>
      <c r="E1381" s="2" t="s">
        <v>4565</v>
      </c>
      <c r="F1381" s="2"/>
      <c r="G1381" s="2" t="s">
        <v>9</v>
      </c>
      <c r="H1381" s="7"/>
      <c r="I1381" s="2" t="s">
        <v>9</v>
      </c>
    </row>
    <row r="1382" spans="1:9" ht="39" x14ac:dyDescent="0.3">
      <c r="A1382" s="1" t="str">
        <f>HYPERLINK("https://ipmanager.doe.gov/IPManager//ExternalLink.aspx?6ibkph2k9yi6F%2B0Vz7YoTipZ798QK%2BbPmwC1%2Fj8yJ1k%3D","Link")</f>
        <v>Link</v>
      </c>
      <c r="B1382" s="2" t="s">
        <v>4566</v>
      </c>
      <c r="C1382" s="2" t="s">
        <v>4561</v>
      </c>
      <c r="D1382" s="2" t="s">
        <v>1775</v>
      </c>
      <c r="E1382" s="2" t="s">
        <v>4567</v>
      </c>
      <c r="F1382" s="2"/>
      <c r="G1382" s="2" t="s">
        <v>9</v>
      </c>
      <c r="H1382" s="7"/>
      <c r="I1382" s="2" t="s">
        <v>9</v>
      </c>
    </row>
    <row r="1383" spans="1:9" x14ac:dyDescent="0.3">
      <c r="A1383" s="1" t="str">
        <f>HYPERLINK("https://ipmanager.doe.gov/IPManager//ExternalLink.aspx?6ibkph2k9yi6F%2B0Vz7YoTjnDGhmGHGI7t3VXqmbFVOo%3D","Link")</f>
        <v>Link</v>
      </c>
      <c r="B1383" s="2" t="s">
        <v>4569</v>
      </c>
      <c r="C1383" s="2" t="s">
        <v>4561</v>
      </c>
      <c r="D1383" s="2" t="s">
        <v>1775</v>
      </c>
      <c r="E1383" s="2" t="s">
        <v>4570</v>
      </c>
      <c r="F1383" s="2" t="s">
        <v>4568</v>
      </c>
      <c r="G1383" s="2" t="s">
        <v>3308</v>
      </c>
      <c r="H1383" s="7" t="s">
        <v>4571</v>
      </c>
      <c r="I1383" s="2" t="s">
        <v>406</v>
      </c>
    </row>
    <row r="1384" spans="1:9" ht="39" x14ac:dyDescent="0.3">
      <c r="A1384" s="1" t="str">
        <f>HYPERLINK("https://ipmanager.doe.gov/IPManager//ExternalLink.aspx?6ibkph2k9yi6F%2B0Vz7YoTipZ798QK%2BbPE4wKuR9mAD8%3D","Link")</f>
        <v>Link</v>
      </c>
      <c r="B1384" s="2" t="s">
        <v>1499</v>
      </c>
      <c r="C1384" s="2" t="s">
        <v>2923</v>
      </c>
      <c r="D1384" s="2" t="s">
        <v>2933</v>
      </c>
      <c r="E1384" s="2" t="s">
        <v>2934</v>
      </c>
      <c r="F1384" s="2" t="s">
        <v>2935</v>
      </c>
      <c r="G1384" s="2" t="s">
        <v>2936</v>
      </c>
      <c r="H1384" s="7"/>
      <c r="I1384" s="2" t="s">
        <v>9</v>
      </c>
    </row>
    <row r="1385" spans="1:9" ht="39" x14ac:dyDescent="0.3">
      <c r="A1385" s="1" t="str">
        <f>HYPERLINK("https://ipmanager.doe.gov/IPManager//ExternalLink.aspx?6ibkph2k9yi6F%2B0Vz7YoTlNm8snv%2FZpHuGNZhgpub40%3D","Link")</f>
        <v>Link</v>
      </c>
      <c r="B1385" s="2" t="s">
        <v>4576</v>
      </c>
      <c r="C1385" s="2" t="s">
        <v>4561</v>
      </c>
      <c r="D1385" s="2" t="s">
        <v>1775</v>
      </c>
      <c r="E1385" s="2" t="s">
        <v>4577</v>
      </c>
      <c r="F1385" s="2"/>
      <c r="G1385" s="2" t="s">
        <v>9</v>
      </c>
      <c r="H1385" s="7"/>
      <c r="I1385" s="2" t="s">
        <v>9</v>
      </c>
    </row>
    <row r="1386" spans="1:9" x14ac:dyDescent="0.3">
      <c r="A1386" s="1" t="str">
        <f>HYPERLINK("https://ipmanager.doe.gov/IPManager//ExternalLink.aspx?6ibkph2k9yi6F%2B0Vz7YoTgZwfmYxrNyKOqA0s8Hjgb4%3D","Link")</f>
        <v>Link</v>
      </c>
      <c r="B1386" s="2" t="s">
        <v>4578</v>
      </c>
      <c r="C1386" s="2" t="s">
        <v>4561</v>
      </c>
      <c r="D1386" s="2" t="s">
        <v>1775</v>
      </c>
      <c r="E1386" s="2" t="s">
        <v>4570</v>
      </c>
      <c r="F1386" s="2" t="s">
        <v>4568</v>
      </c>
      <c r="G1386" s="2" t="s">
        <v>3308</v>
      </c>
      <c r="H1386" s="7" t="s">
        <v>4571</v>
      </c>
      <c r="I1386" s="2" t="s">
        <v>406</v>
      </c>
    </row>
    <row r="1387" spans="1:9" ht="26" x14ac:dyDescent="0.3">
      <c r="A1387" s="1" t="str">
        <f>HYPERLINK("https://ipmanager.doe.gov/IPManager//ExternalLink.aspx?6ibkph2k9yi6F%2B0Vz7YoTjnDGhmGHGI7AIorrvbB%2F4c%3D","Link")</f>
        <v>Link</v>
      </c>
      <c r="B1387" s="2" t="s">
        <v>3126</v>
      </c>
      <c r="C1387" s="2" t="s">
        <v>3121</v>
      </c>
      <c r="D1387" s="2" t="s">
        <v>2933</v>
      </c>
      <c r="E1387" s="2" t="s">
        <v>3127</v>
      </c>
      <c r="F1387" s="2" t="s">
        <v>3128</v>
      </c>
      <c r="G1387" s="2" t="s">
        <v>35</v>
      </c>
      <c r="H1387" s="7"/>
      <c r="I1387" s="2" t="s">
        <v>9</v>
      </c>
    </row>
    <row r="1388" spans="1:9" ht="26" x14ac:dyDescent="0.3">
      <c r="A1388" s="1" t="str">
        <f>HYPERLINK("https://ipmanager.doe.gov/IPManager//ExternalLink.aspx?6ibkph2k9yi6F%2B0Vz7YoTvPUg%2FVZPl3ibBi5SKn9iOo%3D","Link")</f>
        <v>Link</v>
      </c>
      <c r="B1388" s="2" t="s">
        <v>3129</v>
      </c>
      <c r="C1388" s="2" t="s">
        <v>3121</v>
      </c>
      <c r="D1388" s="2" t="s">
        <v>2933</v>
      </c>
      <c r="E1388" s="2" t="s">
        <v>3130</v>
      </c>
      <c r="F1388" s="2" t="s">
        <v>3131</v>
      </c>
      <c r="G1388" s="2" t="s">
        <v>35</v>
      </c>
      <c r="H1388" s="7"/>
      <c r="I1388" s="2" t="s">
        <v>9</v>
      </c>
    </row>
    <row r="1389" spans="1:9" ht="104" x14ac:dyDescent="0.3">
      <c r="A1389" s="1" t="str">
        <f>HYPERLINK("https://ipmanager.doe.gov/IPManager//ExternalLink.aspx?6ibkph2k9yi6F%2B0Vz7YoTq6RR9BlGHHiE9cf1vIFEYE%3D","Link")</f>
        <v>Link</v>
      </c>
      <c r="B1389" s="2" t="s">
        <v>4053</v>
      </c>
      <c r="C1389" s="2" t="s">
        <v>4054</v>
      </c>
      <c r="D1389" s="2" t="s">
        <v>4055</v>
      </c>
      <c r="E1389" s="2" t="s">
        <v>4056</v>
      </c>
      <c r="F1389" s="2" t="s">
        <v>4057</v>
      </c>
      <c r="G1389" s="2" t="s">
        <v>2902</v>
      </c>
      <c r="H1389" s="7"/>
      <c r="I1389" s="2" t="s">
        <v>9</v>
      </c>
    </row>
    <row r="1390" spans="1:9" ht="39" x14ac:dyDescent="0.3">
      <c r="A1390" s="1" t="str">
        <f>HYPERLINK("https://ipmanager.doe.gov/IPManager//ExternalLink.aspx?6ibkph2k9yi6F%2B0Vz7YoTipZ798QK%2BbPfWLM3dOdvx8%3D","Link")</f>
        <v>Link</v>
      </c>
      <c r="B1390" s="2" t="s">
        <v>2956</v>
      </c>
      <c r="C1390" s="2" t="s">
        <v>2942</v>
      </c>
      <c r="D1390" s="2" t="s">
        <v>2957</v>
      </c>
      <c r="E1390" s="2" t="s">
        <v>2958</v>
      </c>
      <c r="F1390" s="2" t="s">
        <v>2959</v>
      </c>
      <c r="G1390" s="2" t="s">
        <v>1834</v>
      </c>
      <c r="H1390" s="7"/>
      <c r="I1390" s="2" t="s">
        <v>9</v>
      </c>
    </row>
    <row r="1391" spans="1:9" ht="52" x14ac:dyDescent="0.3">
      <c r="A1391" s="1" t="str">
        <f>HYPERLINK("https://ipmanager.doe.gov/IPManager//ExternalLink.aspx?6ibkph2k9yi6F%2B0Vz7YoTgZwfmYxrNyKpP8o4bzM7GI%3D","Link")</f>
        <v>Link</v>
      </c>
      <c r="B1391" s="2" t="s">
        <v>2960</v>
      </c>
      <c r="C1391" s="2" t="s">
        <v>2942</v>
      </c>
      <c r="D1391" s="2" t="s">
        <v>2957</v>
      </c>
      <c r="E1391" s="2" t="s">
        <v>2961</v>
      </c>
      <c r="F1391" s="2" t="s">
        <v>2962</v>
      </c>
      <c r="G1391" s="2" t="s">
        <v>2894</v>
      </c>
      <c r="H1391" s="7"/>
      <c r="I1391" s="2" t="s">
        <v>9</v>
      </c>
    </row>
    <row r="1392" spans="1:9" ht="39" x14ac:dyDescent="0.3">
      <c r="A1392" s="1" t="str">
        <f>HYPERLINK("https://ipmanager.doe.gov/IPManager//ExternalLink.aspx?6ibkph2k9yi6F%2B0Vz7YoTp68px7nSN2gXHq4xNbKA20%3D","Link")</f>
        <v>Link</v>
      </c>
      <c r="B1392" s="2" t="s">
        <v>6817</v>
      </c>
      <c r="C1392" s="2" t="s">
        <v>6818</v>
      </c>
      <c r="D1392" s="2" t="s">
        <v>2957</v>
      </c>
      <c r="E1392" s="2" t="s">
        <v>6819</v>
      </c>
      <c r="F1392" s="2" t="s">
        <v>6820</v>
      </c>
      <c r="G1392" s="2" t="s">
        <v>4733</v>
      </c>
      <c r="H1392" s="7"/>
      <c r="I1392" s="2" t="s">
        <v>9</v>
      </c>
    </row>
    <row r="1393" spans="1:9" ht="52" x14ac:dyDescent="0.3">
      <c r="A1393" s="1" t="str">
        <f>HYPERLINK("https://ipmanager.doe.gov/IPManager//ExternalLink.aspx?6ibkph2k9yi6F%2B0Vz7YoTvE8yjoHgvp6ccyrP%2BC3C2I%3D","Link")</f>
        <v>Link</v>
      </c>
      <c r="B1393" s="2" t="s">
        <v>4600</v>
      </c>
      <c r="C1393" s="2" t="s">
        <v>4585</v>
      </c>
      <c r="D1393" s="2" t="s">
        <v>100</v>
      </c>
      <c r="E1393" s="2" t="s">
        <v>4601</v>
      </c>
      <c r="F1393" s="2" t="s">
        <v>4602</v>
      </c>
      <c r="G1393" s="2" t="s">
        <v>2374</v>
      </c>
      <c r="H1393" s="7" t="s">
        <v>4603</v>
      </c>
      <c r="I1393" s="2" t="s">
        <v>3396</v>
      </c>
    </row>
    <row r="1394" spans="1:9" ht="52" x14ac:dyDescent="0.3">
      <c r="A1394" s="1" t="str">
        <f>HYPERLINK("https://ipmanager.doe.gov/IPManager//ExternalLink.aspx?6ibkph2k9yi6F%2B0Vz7YoTp68px7nSN2gd5VOVyAMmNo%3D","Link")</f>
        <v>Link</v>
      </c>
      <c r="B1394" s="2" t="s">
        <v>6822</v>
      </c>
      <c r="C1394" s="2" t="s">
        <v>6818</v>
      </c>
      <c r="D1394" s="2" t="s">
        <v>2957</v>
      </c>
      <c r="E1394" s="2" t="s">
        <v>6823</v>
      </c>
      <c r="F1394" s="2" t="s">
        <v>6824</v>
      </c>
      <c r="G1394" s="2" t="s">
        <v>4733</v>
      </c>
      <c r="H1394" s="7"/>
      <c r="I1394" s="2" t="s">
        <v>9</v>
      </c>
    </row>
    <row r="1395" spans="1:9" ht="39" x14ac:dyDescent="0.3">
      <c r="A1395" s="1" t="str">
        <f>HYPERLINK("https://ipmanager.doe.gov/IPManager//ExternalLink.aspx?6ibkph2k9yi6F%2B0Vz7YoTvPUg%2FVZPl3iEFKvxTtWwYo%3D","Link")</f>
        <v>Link</v>
      </c>
      <c r="B1395" s="2" t="s">
        <v>6834</v>
      </c>
      <c r="C1395" s="2" t="s">
        <v>6818</v>
      </c>
      <c r="D1395" s="2" t="s">
        <v>2957</v>
      </c>
      <c r="E1395" s="2" t="s">
        <v>6835</v>
      </c>
      <c r="F1395" s="2" t="s">
        <v>6836</v>
      </c>
      <c r="G1395" s="2" t="s">
        <v>1830</v>
      </c>
      <c r="H1395" s="7"/>
      <c r="I1395" s="2" t="s">
        <v>9</v>
      </c>
    </row>
    <row r="1396" spans="1:9" ht="52" x14ac:dyDescent="0.3">
      <c r="A1396" s="1" t="str">
        <f>HYPERLINK("https://ipmanager.doe.gov/IPManager//ExternalLink.aspx?6ibkph2k9yi6F%2B0Vz7YoThEBhkR3uHVr5buGNQ2lb5Q%3D","Link")</f>
        <v>Link</v>
      </c>
      <c r="B1396" s="2" t="s">
        <v>4608</v>
      </c>
      <c r="C1396" s="2" t="s">
        <v>4585</v>
      </c>
      <c r="D1396" s="2" t="s">
        <v>100</v>
      </c>
      <c r="E1396" s="2" t="s">
        <v>4586</v>
      </c>
      <c r="F1396" s="2"/>
      <c r="G1396" s="2" t="s">
        <v>9</v>
      </c>
      <c r="H1396" s="7"/>
      <c r="I1396" s="2" t="s">
        <v>9</v>
      </c>
    </row>
    <row r="1397" spans="1:9" ht="39" x14ac:dyDescent="0.3">
      <c r="A1397" s="1" t="str">
        <f>HYPERLINK("https://ipmanager.doe.gov/IPManager//ExternalLink.aspx?6ibkph2k9yi6F%2B0Vz7YoTvE8yjoHgvp6CxQvu40Ia68%3D","Link")</f>
        <v>Link</v>
      </c>
      <c r="B1397" s="2" t="s">
        <v>6837</v>
      </c>
      <c r="C1397" s="2" t="s">
        <v>6818</v>
      </c>
      <c r="D1397" s="2" t="s">
        <v>2957</v>
      </c>
      <c r="E1397" s="2" t="s">
        <v>6835</v>
      </c>
      <c r="F1397" s="2" t="s">
        <v>6838</v>
      </c>
      <c r="G1397" s="2" t="s">
        <v>6821</v>
      </c>
      <c r="H1397" s="7"/>
      <c r="I1397" s="2" t="s">
        <v>9</v>
      </c>
    </row>
    <row r="1398" spans="1:9" ht="39" x14ac:dyDescent="0.3">
      <c r="A1398" s="1" t="str">
        <f>HYPERLINK("https://ipmanager.doe.gov/IPManager//ExternalLink.aspx?6ibkph2k9yi6F%2B0Vz7YoTvE8yjoHgvp6Z%2FJIHy12ilw%3D","Link")</f>
        <v>Link</v>
      </c>
      <c r="B1398" s="2" t="s">
        <v>6839</v>
      </c>
      <c r="C1398" s="2" t="s">
        <v>6818</v>
      </c>
      <c r="D1398" s="2" t="s">
        <v>2957</v>
      </c>
      <c r="E1398" s="2" t="s">
        <v>6835</v>
      </c>
      <c r="F1398" s="2" t="s">
        <v>6840</v>
      </c>
      <c r="G1398" s="2" t="s">
        <v>6542</v>
      </c>
      <c r="H1398" s="7"/>
      <c r="I1398" s="2" t="s">
        <v>9</v>
      </c>
    </row>
    <row r="1399" spans="1:9" ht="52" x14ac:dyDescent="0.3">
      <c r="A1399" s="1" t="str">
        <f>HYPERLINK("https://ipmanager.doe.gov/IPManager//ExternalLink.aspx?6ibkph2k9yi6F%2B0Vz7YoTu0g4zH%2BOsvyimc0kbLJh9M%3D","Link")</f>
        <v>Link</v>
      </c>
      <c r="B1399" s="2" t="s">
        <v>6843</v>
      </c>
      <c r="C1399" s="2" t="s">
        <v>6818</v>
      </c>
      <c r="D1399" s="2" t="s">
        <v>2957</v>
      </c>
      <c r="E1399" s="2" t="s">
        <v>6844</v>
      </c>
      <c r="F1399" s="2" t="s">
        <v>6845</v>
      </c>
      <c r="G1399" s="2" t="s">
        <v>6846</v>
      </c>
      <c r="H1399" s="7"/>
      <c r="I1399" s="2" t="s">
        <v>9</v>
      </c>
    </row>
    <row r="1400" spans="1:9" ht="65" x14ac:dyDescent="0.3">
      <c r="A1400" s="1" t="str">
        <f>HYPERLINK("https://ipmanager.doe.gov/IPManager//ExternalLink.aspx?6ibkph2k9yi6F%2B0Vz7YoTgZwfmYxrNyKk4ZbUhs6ilk%3D","Link")</f>
        <v>Link</v>
      </c>
      <c r="B1400" s="2" t="s">
        <v>4618</v>
      </c>
      <c r="C1400" s="2" t="s">
        <v>4619</v>
      </c>
      <c r="D1400" s="2" t="s">
        <v>348</v>
      </c>
      <c r="E1400" s="2" t="s">
        <v>4620</v>
      </c>
      <c r="F1400" s="2"/>
      <c r="G1400" s="2" t="s">
        <v>9</v>
      </c>
      <c r="H1400" s="7"/>
      <c r="I1400" s="2" t="s">
        <v>9</v>
      </c>
    </row>
    <row r="1401" spans="1:9" ht="65" x14ac:dyDescent="0.3">
      <c r="A1401" s="1" t="str">
        <f>HYPERLINK("https://ipmanager.doe.gov/IPManager//ExternalLink.aspx?6ibkph2k9yi6F%2B0Vz7YoTgZwfmYxrNyKnkXXYchNoxc%3D","Link")</f>
        <v>Link</v>
      </c>
      <c r="B1401" s="2" t="s">
        <v>4621</v>
      </c>
      <c r="C1401" s="2" t="s">
        <v>4619</v>
      </c>
      <c r="D1401" s="2" t="s">
        <v>348</v>
      </c>
      <c r="E1401" s="2" t="s">
        <v>4620</v>
      </c>
      <c r="F1401" s="2"/>
      <c r="G1401" s="2" t="s">
        <v>9</v>
      </c>
      <c r="H1401" s="7"/>
      <c r="I1401" s="2" t="s">
        <v>9</v>
      </c>
    </row>
    <row r="1402" spans="1:9" ht="52" x14ac:dyDescent="0.3">
      <c r="A1402" s="1" t="str">
        <f>HYPERLINK("https://ipmanager.doe.gov/IPManager//ExternalLink.aspx?6ibkph2k9yi6F%2B0Vz7YoTo7DPLa3%2F%2FGgnwXlYmzXXQQ%3D","Link")</f>
        <v>Link</v>
      </c>
      <c r="B1402" s="2" t="s">
        <v>4622</v>
      </c>
      <c r="C1402" s="2" t="s">
        <v>4619</v>
      </c>
      <c r="D1402" s="2" t="s">
        <v>4623</v>
      </c>
      <c r="E1402" s="2" t="s">
        <v>4624</v>
      </c>
      <c r="F1402" s="2"/>
      <c r="G1402" s="2" t="s">
        <v>9</v>
      </c>
      <c r="H1402" s="7"/>
      <c r="I1402" s="2" t="s">
        <v>9</v>
      </c>
    </row>
    <row r="1403" spans="1:9" ht="52" x14ac:dyDescent="0.3">
      <c r="A1403" s="1" t="str">
        <f>HYPERLINK("https://ipmanager.doe.gov/IPManager//ExternalLink.aspx?6ibkph2k9yi6F%2B0Vz7YoTvE8yjoHgvp6xiYnG0iTpsU%3D","Link")</f>
        <v>Link</v>
      </c>
      <c r="B1403" s="2" t="s">
        <v>6858</v>
      </c>
      <c r="C1403" s="2" t="s">
        <v>6818</v>
      </c>
      <c r="D1403" s="2" t="s">
        <v>2957</v>
      </c>
      <c r="E1403" s="2" t="s">
        <v>6844</v>
      </c>
      <c r="F1403" s="2" t="s">
        <v>6847</v>
      </c>
      <c r="G1403" s="2" t="s">
        <v>4741</v>
      </c>
      <c r="H1403" s="7"/>
      <c r="I1403" s="2" t="s">
        <v>9</v>
      </c>
    </row>
    <row r="1404" spans="1:9" x14ac:dyDescent="0.3">
      <c r="A1404" s="1" t="str">
        <f>HYPERLINK("https://ipmanager.doe.gov/IPManager//ExternalLink.aspx?6ibkph2k9yi6F%2B0Vz7YoTjnDGhmGHGI7sRuaWH0NTLU%3D","Link")</f>
        <v>Link</v>
      </c>
      <c r="B1404" s="2" t="s">
        <v>4629</v>
      </c>
      <c r="C1404" s="2" t="s">
        <v>4630</v>
      </c>
      <c r="D1404" s="2" t="s">
        <v>4631</v>
      </c>
      <c r="E1404" s="2" t="s">
        <v>4632</v>
      </c>
      <c r="F1404" s="2"/>
      <c r="G1404" s="2" t="s">
        <v>9</v>
      </c>
      <c r="H1404" s="7"/>
      <c r="I1404" s="2" t="s">
        <v>9</v>
      </c>
    </row>
    <row r="1405" spans="1:9" ht="52" x14ac:dyDescent="0.3">
      <c r="A1405" s="1" t="str">
        <f>HYPERLINK("https://ipmanager.doe.gov/IPManager//ExternalLink.aspx?6ibkph2k9yi6F%2B0Vz7YoTp68px7nSN2gVfI5C4M0nl0%3D","Link")</f>
        <v>Link</v>
      </c>
      <c r="B1405" s="2" t="s">
        <v>4633</v>
      </c>
      <c r="C1405" s="2" t="s">
        <v>4634</v>
      </c>
      <c r="D1405" s="2" t="s">
        <v>4635</v>
      </c>
      <c r="E1405" s="2" t="s">
        <v>4636</v>
      </c>
      <c r="F1405" s="2"/>
      <c r="G1405" s="2" t="s">
        <v>9</v>
      </c>
      <c r="H1405" s="7"/>
      <c r="I1405" s="2" t="s">
        <v>9</v>
      </c>
    </row>
    <row r="1406" spans="1:9" ht="26" x14ac:dyDescent="0.3">
      <c r="A1406" s="1" t="str">
        <f>HYPERLINK("https://ipmanager.doe.gov/IPManager//ExternalLink.aspx?6ibkph2k9yi6F%2B0Vz7YoTjnDGhmGHGI7J64nKd4XUUw%3D","Link")</f>
        <v>Link</v>
      </c>
      <c r="B1406" s="2" t="s">
        <v>4637</v>
      </c>
      <c r="C1406" s="2" t="s">
        <v>4638</v>
      </c>
      <c r="D1406" s="2" t="s">
        <v>4384</v>
      </c>
      <c r="E1406" s="2" t="s">
        <v>4639</v>
      </c>
      <c r="F1406" s="2"/>
      <c r="G1406" s="2" t="s">
        <v>9</v>
      </c>
      <c r="H1406" s="7"/>
      <c r="I1406" s="2" t="s">
        <v>9</v>
      </c>
    </row>
    <row r="1407" spans="1:9" ht="26" x14ac:dyDescent="0.3">
      <c r="A1407" s="1" t="str">
        <f>HYPERLINK("https://ipmanager.doe.gov/IPManager//ExternalLink.aspx?6ibkph2k9yi6F%2B0Vz7YoTvPUg%2FVZPl3iXONWoUv0mLw%3D","Link")</f>
        <v>Link</v>
      </c>
      <c r="B1407" s="2" t="s">
        <v>4640</v>
      </c>
      <c r="C1407" s="2" t="s">
        <v>4638</v>
      </c>
      <c r="D1407" s="2" t="s">
        <v>4384</v>
      </c>
      <c r="E1407" s="2" t="s">
        <v>4641</v>
      </c>
      <c r="F1407" s="2"/>
      <c r="G1407" s="2" t="s">
        <v>9</v>
      </c>
      <c r="H1407" s="7"/>
      <c r="I1407" s="2" t="s">
        <v>9</v>
      </c>
    </row>
    <row r="1408" spans="1:9" ht="26" x14ac:dyDescent="0.3">
      <c r="A1408" s="1" t="str">
        <f>HYPERLINK("https://ipmanager.doe.gov/IPManager//ExternalLink.aspx?6ibkph2k9yi6F%2B0Vz7YoTjnDGhmGHGI7%2BGsry5B8%2BI8%3D","Link")</f>
        <v>Link</v>
      </c>
      <c r="B1408" s="2" t="s">
        <v>4642</v>
      </c>
      <c r="C1408" s="2" t="s">
        <v>4638</v>
      </c>
      <c r="D1408" s="2" t="s">
        <v>4384</v>
      </c>
      <c r="E1408" s="2" t="s">
        <v>4643</v>
      </c>
      <c r="F1408" s="2"/>
      <c r="G1408" s="2" t="s">
        <v>9</v>
      </c>
      <c r="H1408" s="7"/>
      <c r="I1408" s="2" t="s">
        <v>9</v>
      </c>
    </row>
    <row r="1409" spans="1:9" ht="26" x14ac:dyDescent="0.3">
      <c r="A1409" s="1" t="str">
        <f>HYPERLINK("https://ipmanager.doe.gov/IPManager//ExternalLink.aspx?6ibkph2k9yi6F%2B0Vz7YoTjnDGhmGHGI77L0ltCBkPW8%3D","Link")</f>
        <v>Link</v>
      </c>
      <c r="B1409" s="2" t="s">
        <v>4644</v>
      </c>
      <c r="C1409" s="2" t="s">
        <v>4638</v>
      </c>
      <c r="D1409" s="2" t="s">
        <v>4384</v>
      </c>
      <c r="E1409" s="2" t="s">
        <v>4645</v>
      </c>
      <c r="F1409" s="2"/>
      <c r="G1409" s="2" t="s">
        <v>9</v>
      </c>
      <c r="H1409" s="7"/>
      <c r="I1409" s="2" t="s">
        <v>9</v>
      </c>
    </row>
    <row r="1410" spans="1:9" ht="52" x14ac:dyDescent="0.3">
      <c r="A1410" s="1" t="str">
        <f>HYPERLINK("https://ipmanager.doe.gov/IPManager//ExternalLink.aspx?6ibkph2k9yi6F%2B0Vz7YoTjnDGhmGHGI7rhN%2B7P%2BtBXY%3D","Link")</f>
        <v>Link</v>
      </c>
      <c r="B1410" s="2" t="s">
        <v>4646</v>
      </c>
      <c r="C1410" s="2" t="s">
        <v>4638</v>
      </c>
      <c r="D1410" s="2" t="s">
        <v>4384</v>
      </c>
      <c r="E1410" s="2" t="s">
        <v>4647</v>
      </c>
      <c r="F1410" s="2"/>
      <c r="G1410" s="2" t="s">
        <v>9</v>
      </c>
      <c r="H1410" s="7"/>
      <c r="I1410" s="2" t="s">
        <v>9</v>
      </c>
    </row>
    <row r="1411" spans="1:9" ht="39" x14ac:dyDescent="0.3">
      <c r="A1411" s="1" t="str">
        <f>HYPERLINK("https://ipmanager.doe.gov/IPManager//ExternalLink.aspx?6ibkph2k9yi6F%2B0Vz7YoTgZwfmYxrNyKmCa7DRRlGOw%3D","Link")</f>
        <v>Link</v>
      </c>
      <c r="B1411" s="2" t="s">
        <v>4648</v>
      </c>
      <c r="C1411" s="2" t="s">
        <v>4638</v>
      </c>
      <c r="D1411" s="2" t="s">
        <v>4384</v>
      </c>
      <c r="E1411" s="2" t="s">
        <v>4649</v>
      </c>
      <c r="F1411" s="2"/>
      <c r="G1411" s="2" t="s">
        <v>9</v>
      </c>
      <c r="H1411" s="7"/>
      <c r="I1411" s="2" t="s">
        <v>9</v>
      </c>
    </row>
    <row r="1412" spans="1:9" ht="26" x14ac:dyDescent="0.3">
      <c r="A1412" s="1" t="str">
        <f>HYPERLINK("https://ipmanager.doe.gov/IPManager//ExternalLink.aspx?6ibkph2k9yi6F%2B0Vz7YoTjnDGhmGHGI7xOCmP%2FAf%2Btk%3D","Link")</f>
        <v>Link</v>
      </c>
      <c r="B1412" s="2" t="s">
        <v>4650</v>
      </c>
      <c r="C1412" s="2" t="s">
        <v>4638</v>
      </c>
      <c r="D1412" s="2" t="s">
        <v>4384</v>
      </c>
      <c r="E1412" s="2" t="s">
        <v>4651</v>
      </c>
      <c r="F1412" s="2"/>
      <c r="G1412" s="2" t="s">
        <v>9</v>
      </c>
      <c r="H1412" s="7"/>
      <c r="I1412" s="2" t="s">
        <v>9</v>
      </c>
    </row>
    <row r="1413" spans="1:9" ht="26" x14ac:dyDescent="0.3">
      <c r="A1413" s="1" t="str">
        <f>HYPERLINK("https://ipmanager.doe.gov/IPManager//ExternalLink.aspx?6ibkph2k9yi6F%2B0Vz7YoTvE8yjoHgvp6qbsc8H%2BkL30%3D","Link")</f>
        <v>Link</v>
      </c>
      <c r="B1413" s="2" t="s">
        <v>7242</v>
      </c>
      <c r="C1413" s="2" t="s">
        <v>7243</v>
      </c>
      <c r="D1413" s="2" t="s">
        <v>2957</v>
      </c>
      <c r="E1413" s="2" t="s">
        <v>7244</v>
      </c>
      <c r="F1413" s="2" t="s">
        <v>7245</v>
      </c>
      <c r="G1413" s="2" t="s">
        <v>6323</v>
      </c>
      <c r="H1413" s="7"/>
      <c r="I1413" s="2" t="s">
        <v>9</v>
      </c>
    </row>
    <row r="1414" spans="1:9" ht="39" x14ac:dyDescent="0.3">
      <c r="A1414" s="1" t="str">
        <f>HYPERLINK("https://ipmanager.doe.gov/IPManager//ExternalLink.aspx?6ibkph2k9yi6F%2B0Vz7YoTq6RR9BlGHHiVZsFXfEvJfY%3D","Link")</f>
        <v>Link</v>
      </c>
      <c r="B1414" s="2" t="s">
        <v>2117</v>
      </c>
      <c r="C1414" s="2" t="s">
        <v>2118</v>
      </c>
      <c r="D1414" s="2" t="s">
        <v>2119</v>
      </c>
      <c r="E1414" s="2" t="s">
        <v>2120</v>
      </c>
      <c r="F1414" s="2" t="s">
        <v>2121</v>
      </c>
      <c r="G1414" s="2" t="s">
        <v>2122</v>
      </c>
      <c r="H1414" s="7"/>
      <c r="I1414" s="2" t="s">
        <v>9</v>
      </c>
    </row>
    <row r="1415" spans="1:9" ht="52" x14ac:dyDescent="0.3">
      <c r="A1415" s="1" t="str">
        <f>HYPERLINK("https://ipmanager.doe.gov/IPManager//ExternalLink.aspx?6ibkph2k9yi6F%2B0Vz7YoTq6RR9BlGHHiI%2Bswg4apGpA%3D","Link")</f>
        <v>Link</v>
      </c>
      <c r="B1415" s="2" t="s">
        <v>2123</v>
      </c>
      <c r="C1415" s="2" t="s">
        <v>2118</v>
      </c>
      <c r="D1415" s="2" t="s">
        <v>2119</v>
      </c>
      <c r="E1415" s="2" t="s">
        <v>2124</v>
      </c>
      <c r="F1415" s="2" t="s">
        <v>2125</v>
      </c>
      <c r="G1415" s="2" t="s">
        <v>2126</v>
      </c>
      <c r="H1415" s="7"/>
      <c r="I1415" s="2" t="s">
        <v>9</v>
      </c>
    </row>
    <row r="1416" spans="1:9" ht="52" x14ac:dyDescent="0.3">
      <c r="A1416" s="1" t="str">
        <f>HYPERLINK("https://ipmanager.doe.gov/IPManager//ExternalLink.aspx?6ibkph2k9yi6F%2B0Vz7YoTjnDGhmGHGI7T1vLd8YeQ6g%3D","Link")</f>
        <v>Link</v>
      </c>
      <c r="B1416" s="2" t="s">
        <v>4665</v>
      </c>
      <c r="C1416" s="2" t="s">
        <v>4662</v>
      </c>
      <c r="D1416" s="2" t="s">
        <v>1995</v>
      </c>
      <c r="E1416" s="2" t="s">
        <v>4666</v>
      </c>
      <c r="F1416" s="2"/>
      <c r="G1416" s="2" t="s">
        <v>9</v>
      </c>
      <c r="H1416" s="7"/>
      <c r="I1416" s="2" t="s">
        <v>9</v>
      </c>
    </row>
    <row r="1417" spans="1:9" ht="26" x14ac:dyDescent="0.3">
      <c r="A1417" s="1" t="str">
        <f>HYPERLINK("https://ipmanager.doe.gov/IPManager//ExternalLink.aspx?6ibkph2k9yi6F%2B0Vz7YoTjnDGhmGHGI73Lyy1Ck8oOU%3D","Link")</f>
        <v>Link</v>
      </c>
      <c r="B1417" s="2" t="s">
        <v>4667</v>
      </c>
      <c r="C1417" s="2" t="s">
        <v>4668</v>
      </c>
      <c r="D1417" s="2" t="s">
        <v>1793</v>
      </c>
      <c r="E1417" s="2" t="s">
        <v>4669</v>
      </c>
      <c r="F1417" s="2"/>
      <c r="G1417" s="2" t="s">
        <v>9</v>
      </c>
      <c r="H1417" s="7"/>
      <c r="I1417" s="2" t="s">
        <v>9</v>
      </c>
    </row>
    <row r="1418" spans="1:9" ht="52" x14ac:dyDescent="0.3">
      <c r="A1418" s="1" t="str">
        <f>HYPERLINK("https://ipmanager.doe.gov/IPManager//ExternalLink.aspx?6ibkph2k9yi6F%2B0Vz7YoTjnDGhmGHGI7aZspW32wk0g%3D","Link")</f>
        <v>Link</v>
      </c>
      <c r="B1418" s="2" t="s">
        <v>4670</v>
      </c>
      <c r="C1418" s="2" t="s">
        <v>4668</v>
      </c>
      <c r="D1418" s="2" t="s">
        <v>3020</v>
      </c>
      <c r="E1418" s="2" t="s">
        <v>4671</v>
      </c>
      <c r="F1418" s="2" t="s">
        <v>4672</v>
      </c>
      <c r="G1418" s="2" t="s">
        <v>1562</v>
      </c>
      <c r="H1418" s="7" t="s">
        <v>4673</v>
      </c>
      <c r="I1418" s="2" t="s">
        <v>4674</v>
      </c>
    </row>
    <row r="1419" spans="1:9" ht="39" x14ac:dyDescent="0.3">
      <c r="A1419" s="1" t="str">
        <f>HYPERLINK("https://ipmanager.doe.gov/IPManager//ExternalLink.aspx?6ibkph2k9yi6F%2B0Vz7YoTo7DPLa3%2F%2FGgRLECxx0D%2Fjc%3D","Link")</f>
        <v>Link</v>
      </c>
      <c r="B1419" s="2" t="s">
        <v>4675</v>
      </c>
      <c r="C1419" s="2" t="s">
        <v>4668</v>
      </c>
      <c r="D1419" s="2" t="s">
        <v>1793</v>
      </c>
      <c r="E1419" s="2" t="s">
        <v>4676</v>
      </c>
      <c r="F1419" s="2"/>
      <c r="G1419" s="2" t="s">
        <v>9</v>
      </c>
      <c r="H1419" s="7"/>
      <c r="I1419" s="2" t="s">
        <v>9</v>
      </c>
    </row>
    <row r="1420" spans="1:9" ht="78" x14ac:dyDescent="0.3">
      <c r="A1420" s="1" t="str">
        <f>HYPERLINK("https://ipmanager.doe.gov/IPManager//ExternalLink.aspx?6ibkph2k9yi6F%2B0Vz7YoTgZwfmYxrNyKxZgpBAlQDZE%3D","Link")</f>
        <v>Link</v>
      </c>
      <c r="B1420" s="2" t="s">
        <v>2131</v>
      </c>
      <c r="C1420" s="2" t="s">
        <v>2118</v>
      </c>
      <c r="D1420" s="2" t="s">
        <v>2119</v>
      </c>
      <c r="E1420" s="2" t="s">
        <v>2132</v>
      </c>
      <c r="F1420" s="2" t="s">
        <v>2133</v>
      </c>
      <c r="G1420" s="2" t="s">
        <v>2134</v>
      </c>
      <c r="H1420" s="7"/>
      <c r="I1420" s="2" t="s">
        <v>9</v>
      </c>
    </row>
    <row r="1421" spans="1:9" ht="78" x14ac:dyDescent="0.3">
      <c r="A1421" s="1" t="str">
        <f>HYPERLINK("https://ipmanager.doe.gov/IPManager//ExternalLink.aspx?6ibkph2k9yi6F%2B0Vz7YoTgZwfmYxrNyKg7f3%2FLoThvI%3D","Link")</f>
        <v>Link</v>
      </c>
      <c r="B1421" s="2" t="s">
        <v>2135</v>
      </c>
      <c r="C1421" s="2" t="s">
        <v>2118</v>
      </c>
      <c r="D1421" s="2" t="s">
        <v>2119</v>
      </c>
      <c r="E1421" s="2" t="s">
        <v>2136</v>
      </c>
      <c r="F1421" s="2" t="s">
        <v>2137</v>
      </c>
      <c r="G1421" s="2" t="s">
        <v>2134</v>
      </c>
      <c r="H1421" s="7"/>
      <c r="I1421" s="2" t="s">
        <v>9</v>
      </c>
    </row>
    <row r="1422" spans="1:9" ht="78" x14ac:dyDescent="0.3">
      <c r="A1422" s="1" t="str">
        <f>HYPERLINK("https://ipmanager.doe.gov/IPManager//ExternalLink.aspx?6ibkph2k9yi6F%2B0Vz7YoTgZwfmYxrNyK9JPgA0FdGlw%3D","Link")</f>
        <v>Link</v>
      </c>
      <c r="B1422" s="2" t="s">
        <v>2138</v>
      </c>
      <c r="C1422" s="2" t="s">
        <v>2118</v>
      </c>
      <c r="D1422" s="2" t="s">
        <v>2119</v>
      </c>
      <c r="E1422" s="2" t="s">
        <v>2139</v>
      </c>
      <c r="F1422" s="2" t="s">
        <v>2140</v>
      </c>
      <c r="G1422" s="2" t="s">
        <v>2134</v>
      </c>
      <c r="H1422" s="7"/>
      <c r="I1422" s="2" t="s">
        <v>9</v>
      </c>
    </row>
    <row r="1423" spans="1:9" ht="39" x14ac:dyDescent="0.3">
      <c r="A1423" s="1" t="str">
        <f>HYPERLINK("https://ipmanager.doe.gov/IPManager//ExternalLink.aspx?6ibkph2k9yi6F%2B0Vz7YoTgZwfmYxrNyKqoO8nr4vnKE%3D","Link")</f>
        <v>Link</v>
      </c>
      <c r="B1423" s="2" t="s">
        <v>2141</v>
      </c>
      <c r="C1423" s="2" t="s">
        <v>2118</v>
      </c>
      <c r="D1423" s="2" t="s">
        <v>2119</v>
      </c>
      <c r="E1423" s="2" t="s">
        <v>2142</v>
      </c>
      <c r="F1423" s="2" t="s">
        <v>2143</v>
      </c>
      <c r="G1423" s="2" t="s">
        <v>2134</v>
      </c>
      <c r="H1423" s="7"/>
      <c r="I1423" s="2" t="s">
        <v>9</v>
      </c>
    </row>
    <row r="1424" spans="1:9" ht="52" x14ac:dyDescent="0.3">
      <c r="A1424" s="1" t="str">
        <f>HYPERLINK("https://ipmanager.doe.gov/IPManager//ExternalLink.aspx?6ibkph2k9yi6F%2B0Vz7YoTgZwfmYxrNyKk6wm9MxMHPM%3D","Link")</f>
        <v>Link</v>
      </c>
      <c r="B1424" s="2" t="s">
        <v>2144</v>
      </c>
      <c r="C1424" s="2" t="s">
        <v>2118</v>
      </c>
      <c r="D1424" s="2" t="s">
        <v>2119</v>
      </c>
      <c r="E1424" s="2" t="s">
        <v>2145</v>
      </c>
      <c r="F1424" s="2" t="s">
        <v>2146</v>
      </c>
      <c r="G1424" s="2" t="s">
        <v>2134</v>
      </c>
      <c r="H1424" s="7"/>
      <c r="I1424" s="2" t="s">
        <v>9</v>
      </c>
    </row>
    <row r="1425" spans="1:9" ht="39" x14ac:dyDescent="0.3">
      <c r="A1425" s="1" t="str">
        <f>HYPERLINK("https://ipmanager.doe.gov/IPManager//ExternalLink.aspx?6ibkph2k9yi6F%2B0Vz7YoTgZwfmYxrNyKW4RkemQsqEY%3D","Link")</f>
        <v>Link</v>
      </c>
      <c r="B1425" s="2" t="s">
        <v>2147</v>
      </c>
      <c r="C1425" s="2" t="s">
        <v>2118</v>
      </c>
      <c r="D1425" s="2" t="s">
        <v>2119</v>
      </c>
      <c r="E1425" s="2" t="s">
        <v>2148</v>
      </c>
      <c r="F1425" s="2" t="s">
        <v>2149</v>
      </c>
      <c r="G1425" s="2" t="s">
        <v>2134</v>
      </c>
      <c r="H1425" s="7"/>
      <c r="I1425" s="2" t="s">
        <v>9</v>
      </c>
    </row>
    <row r="1426" spans="1:9" ht="65" x14ac:dyDescent="0.3">
      <c r="A1426" s="1" t="str">
        <f>HYPERLINK("https://ipmanager.doe.gov/IPManager//ExternalLink.aspx?6ibkph2k9yi6F%2B0Vz7YoTgZwfmYxrNyK7oAZnIKuu3w%3D","Link")</f>
        <v>Link</v>
      </c>
      <c r="B1426" s="2" t="s">
        <v>2150</v>
      </c>
      <c r="C1426" s="2" t="s">
        <v>2118</v>
      </c>
      <c r="D1426" s="2" t="s">
        <v>2119</v>
      </c>
      <c r="E1426" s="2" t="s">
        <v>2151</v>
      </c>
      <c r="F1426" s="2" t="s">
        <v>2152</v>
      </c>
      <c r="G1426" s="2" t="s">
        <v>2134</v>
      </c>
      <c r="H1426" s="7"/>
      <c r="I1426" s="2" t="s">
        <v>9</v>
      </c>
    </row>
    <row r="1427" spans="1:9" ht="39" x14ac:dyDescent="0.3">
      <c r="A1427" s="1" t="str">
        <f>HYPERLINK("https://ipmanager.doe.gov/IPManager//ExternalLink.aspx?6ibkph2k9yi6F%2B0Vz7YoTgZwfmYxrNyKvUfFZIJM2uk%3D","Link")</f>
        <v>Link</v>
      </c>
      <c r="B1427" s="2" t="s">
        <v>2153</v>
      </c>
      <c r="C1427" s="2" t="s">
        <v>2118</v>
      </c>
      <c r="D1427" s="2" t="s">
        <v>2119</v>
      </c>
      <c r="E1427" s="2" t="s">
        <v>2154</v>
      </c>
      <c r="F1427" s="2" t="s">
        <v>2155</v>
      </c>
      <c r="G1427" s="2" t="s">
        <v>2134</v>
      </c>
      <c r="H1427" s="7"/>
      <c r="I1427" s="2" t="s">
        <v>9</v>
      </c>
    </row>
    <row r="1428" spans="1:9" ht="91" x14ac:dyDescent="0.3">
      <c r="A1428" s="1" t="str">
        <f>HYPERLINK("https://ipmanager.doe.gov/IPManager//ExternalLink.aspx?6ibkph2k9yi6F%2B0Vz7YoTgZwfmYxrNyKpXE5n4s7xe4%3D","Link")</f>
        <v>Link</v>
      </c>
      <c r="B1428" s="2" t="s">
        <v>2156</v>
      </c>
      <c r="C1428" s="2" t="s">
        <v>2118</v>
      </c>
      <c r="D1428" s="2" t="s">
        <v>2119</v>
      </c>
      <c r="E1428" s="2" t="s">
        <v>2157</v>
      </c>
      <c r="F1428" s="2" t="s">
        <v>2158</v>
      </c>
      <c r="G1428" s="2" t="s">
        <v>2134</v>
      </c>
      <c r="H1428" s="7"/>
      <c r="I1428" s="2" t="s">
        <v>9</v>
      </c>
    </row>
    <row r="1429" spans="1:9" ht="26" x14ac:dyDescent="0.3">
      <c r="A1429" s="1" t="str">
        <f>HYPERLINK("https://ipmanager.doe.gov/IPManager//ExternalLink.aspx?6ibkph2k9yi6F%2B0Vz7YoTr7J5I%2BY4foYa5m5g5j%2BilE%3D","Link")</f>
        <v>Link</v>
      </c>
      <c r="B1429" s="2" t="s">
        <v>4710</v>
      </c>
      <c r="C1429" s="2" t="s">
        <v>4698</v>
      </c>
      <c r="D1429" s="2" t="s">
        <v>1901</v>
      </c>
      <c r="E1429" s="2" t="s">
        <v>4711</v>
      </c>
      <c r="F1429" s="2"/>
      <c r="G1429" s="2" t="s">
        <v>9</v>
      </c>
      <c r="H1429" s="7"/>
      <c r="I1429" s="2" t="s">
        <v>9</v>
      </c>
    </row>
    <row r="1430" spans="1:9" ht="26" x14ac:dyDescent="0.3">
      <c r="A1430" s="1" t="str">
        <f>HYPERLINK("https://ipmanager.doe.gov/IPManager//ExternalLink.aspx?6ibkph2k9yi6F%2B0Vz7YoTgZwfmYxrNyKVL8csW3l%2FCg%3D","Link")</f>
        <v>Link</v>
      </c>
      <c r="B1430" s="2" t="s">
        <v>4712</v>
      </c>
      <c r="C1430" s="2" t="s">
        <v>4698</v>
      </c>
      <c r="D1430" s="2" t="s">
        <v>1901</v>
      </c>
      <c r="E1430" s="2" t="s">
        <v>4713</v>
      </c>
      <c r="F1430" s="2"/>
      <c r="G1430" s="2" t="s">
        <v>9</v>
      </c>
      <c r="H1430" s="7"/>
      <c r="I1430" s="2" t="s">
        <v>9</v>
      </c>
    </row>
    <row r="1431" spans="1:9" ht="65" x14ac:dyDescent="0.3">
      <c r="A1431" s="1" t="str">
        <f>HYPERLINK("https://ipmanager.doe.gov/IPManager//ExternalLink.aspx?6ibkph2k9yi6F%2B0Vz7YoTr7J5I%2BY4foY310lrZjA4QE%3D","Link")</f>
        <v>Link</v>
      </c>
      <c r="B1431" s="2" t="s">
        <v>4714</v>
      </c>
      <c r="C1431" s="2" t="s">
        <v>4698</v>
      </c>
      <c r="D1431" s="2" t="s">
        <v>1901</v>
      </c>
      <c r="E1431" s="2" t="s">
        <v>4715</v>
      </c>
      <c r="F1431" s="2"/>
      <c r="G1431" s="2" t="s">
        <v>9</v>
      </c>
      <c r="H1431" s="7"/>
      <c r="I1431" s="2" t="s">
        <v>9</v>
      </c>
    </row>
    <row r="1432" spans="1:9" ht="65" x14ac:dyDescent="0.3">
      <c r="A1432" s="1" t="str">
        <f>HYPERLINK("https://ipmanager.doe.gov/IPManager//ExternalLink.aspx?6ibkph2k9yi6F%2B0Vz7YoTgZwfmYxrNyKWc2ws%2B2xH4Y%3D","Link")</f>
        <v>Link</v>
      </c>
      <c r="B1432" s="2" t="s">
        <v>2159</v>
      </c>
      <c r="C1432" s="2" t="s">
        <v>2118</v>
      </c>
      <c r="D1432" s="2" t="s">
        <v>2119</v>
      </c>
      <c r="E1432" s="2" t="s">
        <v>2160</v>
      </c>
      <c r="F1432" s="2" t="s">
        <v>2161</v>
      </c>
      <c r="G1432" s="2" t="s">
        <v>2134</v>
      </c>
      <c r="H1432" s="7"/>
      <c r="I1432" s="2" t="s">
        <v>9</v>
      </c>
    </row>
    <row r="1433" spans="1:9" ht="39" x14ac:dyDescent="0.3">
      <c r="A1433" s="1" t="str">
        <f>HYPERLINK("https://ipmanager.doe.gov/IPManager//ExternalLink.aspx?6ibkph2k9yi6F%2B0Vz7YoTvPUg%2FVZPl3ir3fLiAA%2Fn4Q%3D","Link")</f>
        <v>Link</v>
      </c>
      <c r="B1433" s="2" t="s">
        <v>4723</v>
      </c>
      <c r="C1433" s="2" t="s">
        <v>4718</v>
      </c>
      <c r="D1433" s="2" t="s">
        <v>4719</v>
      </c>
      <c r="E1433" s="2" t="s">
        <v>4724</v>
      </c>
      <c r="F1433" s="2" t="s">
        <v>7643</v>
      </c>
      <c r="G1433" s="2" t="s">
        <v>4725</v>
      </c>
      <c r="H1433" s="8">
        <v>9859531</v>
      </c>
      <c r="I1433" s="2" t="s">
        <v>1346</v>
      </c>
    </row>
    <row r="1434" spans="1:9" ht="65" x14ac:dyDescent="0.3">
      <c r="A1434" s="1" t="str">
        <f>HYPERLINK("https://ipmanager.doe.gov/IPManager//ExternalLink.aspx?6ibkph2k9yi6F%2B0Vz7YoTkqAgjuWMa9QNT5OXpQTPAc%3D","Link")</f>
        <v>Link</v>
      </c>
      <c r="B1434" s="2" t="s">
        <v>4726</v>
      </c>
      <c r="C1434" s="2" t="s">
        <v>4718</v>
      </c>
      <c r="D1434" s="2" t="s">
        <v>4719</v>
      </c>
      <c r="E1434" s="2" t="s">
        <v>4727</v>
      </c>
      <c r="F1434" s="2"/>
      <c r="G1434" s="2" t="s">
        <v>9</v>
      </c>
      <c r="H1434" s="7"/>
      <c r="I1434" s="2" t="s">
        <v>9</v>
      </c>
    </row>
    <row r="1435" spans="1:9" ht="39" x14ac:dyDescent="0.3">
      <c r="A1435" s="1" t="str">
        <f>HYPERLINK("https://ipmanager.doe.gov/IPManager//ExternalLink.aspx?6ibkph2k9yi6F%2B0Vz7YoTjnDGhmGHGI7GzYc4LaNCeE%3D","Link")</f>
        <v>Link</v>
      </c>
      <c r="B1435" s="2" t="s">
        <v>4728</v>
      </c>
      <c r="C1435" s="2" t="s">
        <v>4718</v>
      </c>
      <c r="D1435" s="2" t="s">
        <v>4719</v>
      </c>
      <c r="E1435" s="2" t="s">
        <v>4729</v>
      </c>
      <c r="F1435" s="2" t="s">
        <v>4730</v>
      </c>
      <c r="G1435" s="2" t="s">
        <v>4731</v>
      </c>
      <c r="H1435" s="7" t="s">
        <v>4732</v>
      </c>
      <c r="I1435" s="2" t="s">
        <v>4733</v>
      </c>
    </row>
    <row r="1436" spans="1:9" ht="39" x14ac:dyDescent="0.3">
      <c r="A1436" s="1" t="str">
        <f>HYPERLINK("https://ipmanager.doe.gov/IPManager//ExternalLink.aspx?6ibkph2k9yi6F%2B0Vz7YoTjnDGhmGHGI7PZLn3x%2FC3uA%3D","Link")</f>
        <v>Link</v>
      </c>
      <c r="B1436" s="2" t="s">
        <v>4734</v>
      </c>
      <c r="C1436" s="2" t="s">
        <v>4718</v>
      </c>
      <c r="D1436" s="2" t="s">
        <v>4719</v>
      </c>
      <c r="E1436" s="2" t="s">
        <v>4735</v>
      </c>
      <c r="F1436" s="2"/>
      <c r="G1436" s="2" t="s">
        <v>9</v>
      </c>
      <c r="H1436" s="7"/>
      <c r="I1436" s="2" t="s">
        <v>9</v>
      </c>
    </row>
    <row r="1437" spans="1:9" ht="39" x14ac:dyDescent="0.3">
      <c r="A1437" s="1" t="str">
        <f>HYPERLINK("https://ipmanager.doe.gov/IPManager//ExternalLink.aspx?6ibkph2k9yi6F%2B0Vz7YoTjnDGhmGHGI7aqaya2fC%2F4Y%3D","Link")</f>
        <v>Link</v>
      </c>
      <c r="B1437" s="2" t="s">
        <v>4736</v>
      </c>
      <c r="C1437" s="2" t="s">
        <v>4718</v>
      </c>
      <c r="D1437" s="2" t="s">
        <v>4719</v>
      </c>
      <c r="E1437" s="2" t="s">
        <v>4737</v>
      </c>
      <c r="F1437" s="2"/>
      <c r="G1437" s="2" t="s">
        <v>9</v>
      </c>
      <c r="H1437" s="7"/>
      <c r="I1437" s="2" t="s">
        <v>9</v>
      </c>
    </row>
    <row r="1438" spans="1:9" ht="39" x14ac:dyDescent="0.3">
      <c r="A1438" s="1" t="str">
        <f>HYPERLINK("https://ipmanager.doe.gov/IPManager//ExternalLink.aspx?6ibkph2k9yi6F%2B0Vz7YoTjnDGhmGHGI7wk6%2FcC21kuo%3D","Link")</f>
        <v>Link</v>
      </c>
      <c r="B1438" s="2" t="s">
        <v>4738</v>
      </c>
      <c r="C1438" s="2" t="s">
        <v>4718</v>
      </c>
      <c r="D1438" s="2" t="s">
        <v>4719</v>
      </c>
      <c r="E1438" s="2" t="s">
        <v>4720</v>
      </c>
      <c r="F1438" s="2" t="s">
        <v>4739</v>
      </c>
      <c r="G1438" s="2" t="s">
        <v>4722</v>
      </c>
      <c r="H1438" s="7" t="s">
        <v>4740</v>
      </c>
      <c r="I1438" s="2" t="s">
        <v>4741</v>
      </c>
    </row>
    <row r="1439" spans="1:9" ht="39" x14ac:dyDescent="0.3">
      <c r="A1439" s="1" t="str">
        <f>HYPERLINK("https://ipmanager.doe.gov/IPManager//ExternalLink.aspx?6ibkph2k9yi6F%2B0Vz7YoTjnDGhmGHGI7FCdRJY3fy%2F8%3D","Link")</f>
        <v>Link</v>
      </c>
      <c r="B1439" s="2" t="s">
        <v>4742</v>
      </c>
      <c r="C1439" s="2" t="s">
        <v>4718</v>
      </c>
      <c r="D1439" s="2" t="s">
        <v>4719</v>
      </c>
      <c r="E1439" s="2" t="s">
        <v>4743</v>
      </c>
      <c r="F1439" s="2"/>
      <c r="G1439" s="2" t="s">
        <v>9</v>
      </c>
      <c r="H1439" s="7"/>
      <c r="I1439" s="2" t="s">
        <v>9</v>
      </c>
    </row>
    <row r="1440" spans="1:9" ht="26" x14ac:dyDescent="0.3">
      <c r="A1440" s="1" t="str">
        <f>HYPERLINK("https://ipmanager.doe.gov/IPManager//ExternalLink.aspx?6ibkph2k9yi6F%2B0Vz7YoTjnDGhmGHGI7wJRPYfF7DU0%3D","Link")</f>
        <v>Link</v>
      </c>
      <c r="B1440" s="2" t="s">
        <v>4744</v>
      </c>
      <c r="C1440" s="2" t="s">
        <v>4718</v>
      </c>
      <c r="D1440" s="2" t="s">
        <v>4719</v>
      </c>
      <c r="E1440" s="2" t="s">
        <v>4745</v>
      </c>
      <c r="F1440" s="2"/>
      <c r="G1440" s="2" t="s">
        <v>9</v>
      </c>
      <c r="H1440" s="7"/>
      <c r="I1440" s="2" t="s">
        <v>9</v>
      </c>
    </row>
    <row r="1441" spans="1:9" ht="39" x14ac:dyDescent="0.3">
      <c r="A1441" s="1" t="str">
        <f>HYPERLINK("https://ipmanager.doe.gov/IPManager//ExternalLink.aspx?6ibkph2k9yi6F%2B0Vz7YoTjnDGhmGHGI7SVkCenAGmyY%3D","Link")</f>
        <v>Link</v>
      </c>
      <c r="B1441" s="2" t="s">
        <v>4746</v>
      </c>
      <c r="C1441" s="2" t="s">
        <v>4718</v>
      </c>
      <c r="D1441" s="2" t="s">
        <v>4719</v>
      </c>
      <c r="E1441" s="2" t="s">
        <v>4747</v>
      </c>
      <c r="F1441" s="2" t="s">
        <v>7644</v>
      </c>
      <c r="G1441" s="2" t="s">
        <v>284</v>
      </c>
      <c r="H1441" s="8">
        <v>9502715</v>
      </c>
      <c r="I1441" s="2" t="s">
        <v>4071</v>
      </c>
    </row>
    <row r="1442" spans="1:9" ht="52" x14ac:dyDescent="0.3">
      <c r="A1442" s="1" t="str">
        <f>HYPERLINK("https://ipmanager.doe.gov/IPManager//ExternalLink.aspx?6ibkph2k9yi6F%2B0Vz7YoTjnDGhmGHGI7ry4uzB0UTPw%3D","Link")</f>
        <v>Link</v>
      </c>
      <c r="B1442" s="2" t="s">
        <v>4748</v>
      </c>
      <c r="C1442" s="2" t="s">
        <v>4718</v>
      </c>
      <c r="D1442" s="2" t="s">
        <v>4719</v>
      </c>
      <c r="E1442" s="2" t="s">
        <v>4749</v>
      </c>
      <c r="F1442" s="2" t="s">
        <v>7645</v>
      </c>
      <c r="G1442" s="2" t="s">
        <v>4401</v>
      </c>
      <c r="H1442" s="8">
        <v>9768445</v>
      </c>
      <c r="I1442" s="2" t="s">
        <v>4750</v>
      </c>
    </row>
    <row r="1443" spans="1:9" ht="65" x14ac:dyDescent="0.3">
      <c r="A1443" s="1" t="str">
        <f>HYPERLINK("https://ipmanager.doe.gov/IPManager//ExternalLink.aspx?6ibkph2k9yi6F%2B0Vz7YoTjnDGhmGHGI7yERkuFwAMHI%3D","Link")</f>
        <v>Link</v>
      </c>
      <c r="B1443" s="2" t="s">
        <v>4751</v>
      </c>
      <c r="C1443" s="2" t="s">
        <v>4718</v>
      </c>
      <c r="D1443" s="2" t="s">
        <v>4719</v>
      </c>
      <c r="E1443" s="2" t="s">
        <v>4752</v>
      </c>
      <c r="F1443" s="2"/>
      <c r="G1443" s="2" t="s">
        <v>9</v>
      </c>
      <c r="H1443" s="7"/>
      <c r="I1443" s="2" t="s">
        <v>9</v>
      </c>
    </row>
    <row r="1444" spans="1:9" ht="39" x14ac:dyDescent="0.3">
      <c r="A1444" s="1" t="str">
        <f>HYPERLINK("https://ipmanager.doe.gov/IPManager//ExternalLink.aspx?6ibkph2k9yi6F%2B0Vz7YoTgZwfmYxrNyKN5M5xZ3g4W8%3D","Link")</f>
        <v>Link</v>
      </c>
      <c r="B1444" s="2" t="s">
        <v>2162</v>
      </c>
      <c r="C1444" s="2" t="s">
        <v>2118</v>
      </c>
      <c r="D1444" s="2" t="s">
        <v>2119</v>
      </c>
      <c r="E1444" s="2" t="s">
        <v>2163</v>
      </c>
      <c r="F1444" s="2" t="s">
        <v>2164</v>
      </c>
      <c r="G1444" s="2" t="s">
        <v>2134</v>
      </c>
      <c r="H1444" s="7"/>
      <c r="I1444" s="2" t="s">
        <v>9</v>
      </c>
    </row>
    <row r="1445" spans="1:9" ht="39" x14ac:dyDescent="0.3">
      <c r="A1445" s="1" t="str">
        <f>HYPERLINK("https://ipmanager.doe.gov/IPManager//ExternalLink.aspx?6ibkph2k9yi6F%2B0Vz7YoTjnDGhmGHGI79OAwoXPAAfg%3D","Link")</f>
        <v>Link</v>
      </c>
      <c r="B1445" s="2" t="s">
        <v>4757</v>
      </c>
      <c r="C1445" s="2" t="s">
        <v>4718</v>
      </c>
      <c r="D1445" s="2" t="s">
        <v>4719</v>
      </c>
      <c r="E1445" s="2" t="s">
        <v>4758</v>
      </c>
      <c r="F1445" s="2"/>
      <c r="G1445" s="2" t="s">
        <v>9</v>
      </c>
      <c r="H1445" s="7"/>
      <c r="I1445" s="2" t="s">
        <v>9</v>
      </c>
    </row>
    <row r="1446" spans="1:9" ht="104" x14ac:dyDescent="0.3">
      <c r="A1446" s="1" t="str">
        <f>HYPERLINK("https://ipmanager.doe.gov/IPManager//ExternalLink.aspx?6ibkph2k9yi6F%2B0Vz7YoTgZwfmYxrNyKoHr2jVD3JGM%3D","Link")</f>
        <v>Link</v>
      </c>
      <c r="B1446" s="2" t="s">
        <v>2165</v>
      </c>
      <c r="C1446" s="2" t="s">
        <v>2118</v>
      </c>
      <c r="D1446" s="2" t="s">
        <v>2119</v>
      </c>
      <c r="E1446" s="2" t="s">
        <v>2166</v>
      </c>
      <c r="F1446" s="2" t="s">
        <v>2167</v>
      </c>
      <c r="G1446" s="2" t="s">
        <v>2134</v>
      </c>
      <c r="H1446" s="7"/>
      <c r="I1446" s="2" t="s">
        <v>9</v>
      </c>
    </row>
    <row r="1447" spans="1:9" ht="52" x14ac:dyDescent="0.3">
      <c r="A1447" s="1" t="str">
        <f>HYPERLINK("https://ipmanager.doe.gov/IPManager//ExternalLink.aspx?6ibkph2k9yi6F%2B0Vz7YoTjnDGhmGHGI7y4r%2F%2BrJP72A%3D","Link")</f>
        <v>Link</v>
      </c>
      <c r="B1447" s="2" t="s">
        <v>4762</v>
      </c>
      <c r="C1447" s="2" t="s">
        <v>4763</v>
      </c>
      <c r="D1447" s="2" t="s">
        <v>1901</v>
      </c>
      <c r="E1447" s="2" t="s">
        <v>4764</v>
      </c>
      <c r="F1447" s="2"/>
      <c r="G1447" s="2" t="s">
        <v>9</v>
      </c>
      <c r="H1447" s="7"/>
      <c r="I1447" s="2" t="s">
        <v>9</v>
      </c>
    </row>
    <row r="1448" spans="1:9" ht="52" x14ac:dyDescent="0.3">
      <c r="A1448" s="1" t="str">
        <f>HYPERLINK("https://ipmanager.doe.gov/IPManager//ExternalLink.aspx?6ibkph2k9yi6F%2B0Vz7YoTgZwfmYxrNyKlBUrXy4PomI%3D","Link")</f>
        <v>Link</v>
      </c>
      <c r="B1448" s="2" t="s">
        <v>2168</v>
      </c>
      <c r="C1448" s="2" t="s">
        <v>2118</v>
      </c>
      <c r="D1448" s="2" t="s">
        <v>2119</v>
      </c>
      <c r="E1448" s="2" t="s">
        <v>2169</v>
      </c>
      <c r="F1448" s="2" t="s">
        <v>2170</v>
      </c>
      <c r="G1448" s="2" t="s">
        <v>2134</v>
      </c>
      <c r="H1448" s="7"/>
      <c r="I1448" s="2" t="s">
        <v>9</v>
      </c>
    </row>
    <row r="1449" spans="1:9" ht="52" x14ac:dyDescent="0.3">
      <c r="A1449" s="1" t="str">
        <f>HYPERLINK("https://ipmanager.doe.gov/IPManager//ExternalLink.aspx?6ibkph2k9yi6F%2B0Vz7YoTgZwfmYxrNyKfPBJeWcbM5w%3D","Link")</f>
        <v>Link</v>
      </c>
      <c r="B1449" s="2" t="s">
        <v>2171</v>
      </c>
      <c r="C1449" s="2" t="s">
        <v>2118</v>
      </c>
      <c r="D1449" s="2" t="s">
        <v>2119</v>
      </c>
      <c r="E1449" s="2" t="s">
        <v>2172</v>
      </c>
      <c r="F1449" s="2" t="s">
        <v>2173</v>
      </c>
      <c r="G1449" s="2" t="s">
        <v>2134</v>
      </c>
      <c r="H1449" s="7"/>
      <c r="I1449" s="2" t="s">
        <v>9</v>
      </c>
    </row>
    <row r="1450" spans="1:9" ht="65" x14ac:dyDescent="0.3">
      <c r="A1450" s="1" t="str">
        <f>HYPERLINK("https://ipmanager.doe.gov/IPManager//ExternalLink.aspx?6ibkph2k9yi6F%2B0Vz7YoTgZwfmYxrNyK%2FAgPK14MpXo%3D","Link")</f>
        <v>Link</v>
      </c>
      <c r="B1450" s="2" t="s">
        <v>2174</v>
      </c>
      <c r="C1450" s="2" t="s">
        <v>2118</v>
      </c>
      <c r="D1450" s="2" t="s">
        <v>2119</v>
      </c>
      <c r="E1450" s="2" t="s">
        <v>2151</v>
      </c>
      <c r="F1450" s="2" t="s">
        <v>2152</v>
      </c>
      <c r="G1450" s="2" t="s">
        <v>2134</v>
      </c>
      <c r="H1450" s="7"/>
      <c r="I1450" s="2" t="s">
        <v>9</v>
      </c>
    </row>
    <row r="1451" spans="1:9" ht="65" x14ac:dyDescent="0.3">
      <c r="A1451" s="1" t="str">
        <f>HYPERLINK("https://ipmanager.doe.gov/IPManager//ExternalLink.aspx?6ibkph2k9yi6F%2B0Vz7YoTnXVN2REjGcWUPHM4pU3QVg%3D","Link")</f>
        <v>Link</v>
      </c>
      <c r="B1451" s="2" t="s">
        <v>4775</v>
      </c>
      <c r="C1451" s="2" t="s">
        <v>4763</v>
      </c>
      <c r="D1451" s="2" t="s">
        <v>1901</v>
      </c>
      <c r="E1451" s="2" t="s">
        <v>4776</v>
      </c>
      <c r="F1451" s="2"/>
      <c r="G1451" s="2" t="s">
        <v>9</v>
      </c>
      <c r="H1451" s="7"/>
      <c r="I1451" s="2" t="s">
        <v>9</v>
      </c>
    </row>
    <row r="1452" spans="1:9" ht="52" x14ac:dyDescent="0.3">
      <c r="A1452" s="1" t="str">
        <f>HYPERLINK("https://ipmanager.doe.gov/IPManager//ExternalLink.aspx?6ibkph2k9yi6F%2B0Vz7YoTipZ798QK%2BbPEJaWmNin%2FwQ%3D","Link")</f>
        <v>Link</v>
      </c>
      <c r="B1452" s="2" t="s">
        <v>291</v>
      </c>
      <c r="C1452" s="2" t="s">
        <v>292</v>
      </c>
      <c r="D1452" s="2" t="s">
        <v>293</v>
      </c>
      <c r="E1452" s="2" t="s">
        <v>294</v>
      </c>
      <c r="F1452" s="2" t="s">
        <v>295</v>
      </c>
      <c r="G1452" s="2" t="s">
        <v>296</v>
      </c>
      <c r="H1452" s="7"/>
      <c r="I1452" s="2" t="s">
        <v>9</v>
      </c>
    </row>
    <row r="1453" spans="1:9" ht="78" x14ac:dyDescent="0.3">
      <c r="A1453" s="1" t="str">
        <f>HYPERLINK("https://ipmanager.doe.gov/IPManager//ExternalLink.aspx?6ibkph2k9yi6F%2B0Vz7YoTipZ798QK%2BbPr69L0NO14Ow%3D","Link")</f>
        <v>Link</v>
      </c>
      <c r="B1453" s="2" t="s">
        <v>297</v>
      </c>
      <c r="C1453" s="2" t="s">
        <v>292</v>
      </c>
      <c r="D1453" s="2" t="s">
        <v>293</v>
      </c>
      <c r="E1453" s="2" t="s">
        <v>298</v>
      </c>
      <c r="F1453" s="2" t="s">
        <v>7646</v>
      </c>
      <c r="G1453" s="2" t="s">
        <v>299</v>
      </c>
      <c r="H1453" s="7"/>
      <c r="I1453" s="2" t="s">
        <v>9</v>
      </c>
    </row>
    <row r="1454" spans="1:9" ht="39" x14ac:dyDescent="0.3">
      <c r="A1454" s="1" t="str">
        <f>HYPERLINK("https://ipmanager.doe.gov/IPManager//ExternalLink.aspx?6ibkph2k9yi6F%2B0Vz7YoTk2BI6w%2FjZ2fE3xgkknnSzM%3D","Link")</f>
        <v>Link</v>
      </c>
      <c r="B1454" s="2" t="s">
        <v>1423</v>
      </c>
      <c r="C1454" s="2" t="s">
        <v>1418</v>
      </c>
      <c r="D1454" s="2" t="s">
        <v>293</v>
      </c>
      <c r="E1454" s="2" t="s">
        <v>1424</v>
      </c>
      <c r="F1454" s="2" t="s">
        <v>1425</v>
      </c>
      <c r="G1454" s="2" t="s">
        <v>1426</v>
      </c>
      <c r="H1454" s="7"/>
      <c r="I1454" s="2" t="s">
        <v>9</v>
      </c>
    </row>
    <row r="1455" spans="1:9" ht="39" x14ac:dyDescent="0.3">
      <c r="A1455" s="1" t="str">
        <f>HYPERLINK("https://ipmanager.doe.gov/IPManager//ExternalLink.aspx?6ibkph2k9yi6F%2B0Vz7YoTipZ798QK%2BbPuhLDUbUSEk0%3D","Link")</f>
        <v>Link</v>
      </c>
      <c r="B1455" s="2" t="s">
        <v>1427</v>
      </c>
      <c r="C1455" s="2" t="s">
        <v>1418</v>
      </c>
      <c r="D1455" s="2" t="s">
        <v>293</v>
      </c>
      <c r="E1455" s="2" t="s">
        <v>1428</v>
      </c>
      <c r="F1455" s="2" t="s">
        <v>1429</v>
      </c>
      <c r="G1455" s="2" t="s">
        <v>1023</v>
      </c>
      <c r="H1455" s="7"/>
      <c r="I1455" s="2" t="s">
        <v>9</v>
      </c>
    </row>
    <row r="1456" spans="1:9" ht="39" x14ac:dyDescent="0.3">
      <c r="A1456" s="1" t="str">
        <f>HYPERLINK("https://ipmanager.doe.gov/IPManager//ExternalLink.aspx?6ibkph2k9yi6F%2B0Vz7YoTvPUg%2FVZPl3irYyVtlmcQ9M%3D","Link")</f>
        <v>Link</v>
      </c>
      <c r="B1456" s="2" t="s">
        <v>6653</v>
      </c>
      <c r="C1456" s="2" t="s">
        <v>6654</v>
      </c>
      <c r="D1456" s="2" t="s">
        <v>5823</v>
      </c>
      <c r="E1456" s="2" t="s">
        <v>6655</v>
      </c>
      <c r="F1456" s="2" t="s">
        <v>6656</v>
      </c>
      <c r="G1456" s="2" t="s">
        <v>6059</v>
      </c>
      <c r="H1456" s="7"/>
      <c r="I1456" s="2" t="s">
        <v>9</v>
      </c>
    </row>
    <row r="1457" spans="1:9" ht="39" x14ac:dyDescent="0.3">
      <c r="A1457" s="1" t="str">
        <f>HYPERLINK("https://ipmanager.doe.gov/IPManager//ExternalLink.aspx?6ibkph2k9yi6F%2B0Vz7YoTr7J5I%2BY4foYucVJ13ODfz4%3D","Link")</f>
        <v>Link</v>
      </c>
      <c r="B1457" s="2" t="s">
        <v>4794</v>
      </c>
      <c r="C1457" s="2" t="s">
        <v>4795</v>
      </c>
      <c r="D1457" s="2" t="s">
        <v>4796</v>
      </c>
      <c r="E1457" s="2" t="s">
        <v>4797</v>
      </c>
      <c r="F1457" s="2"/>
      <c r="G1457" s="2" t="s">
        <v>9</v>
      </c>
      <c r="H1457" s="7"/>
      <c r="I1457" s="2" t="s">
        <v>9</v>
      </c>
    </row>
    <row r="1458" spans="1:9" ht="65" x14ac:dyDescent="0.3">
      <c r="A1458" s="1" t="str">
        <f>HYPERLINK("https://ipmanager.doe.gov/IPManager//ExternalLink.aspx?6ibkph2k9yi6F%2B0Vz7YoTjnDGhmGHGI7bpjtGWrc%2FpA%3D","Link")</f>
        <v>Link</v>
      </c>
      <c r="B1458" s="2" t="s">
        <v>1931</v>
      </c>
      <c r="C1458" s="2" t="s">
        <v>1932</v>
      </c>
      <c r="D1458" s="2" t="s">
        <v>1933</v>
      </c>
      <c r="E1458" s="2" t="s">
        <v>1934</v>
      </c>
      <c r="F1458" s="2" t="s">
        <v>1935</v>
      </c>
      <c r="G1458" s="2" t="s">
        <v>1936</v>
      </c>
      <c r="H1458" s="7"/>
      <c r="I1458" s="2" t="s">
        <v>9</v>
      </c>
    </row>
    <row r="1459" spans="1:9" ht="65" x14ac:dyDescent="0.3">
      <c r="A1459" s="1" t="str">
        <f>HYPERLINK("https://ipmanager.doe.gov/IPManager//ExternalLink.aspx?6ibkph2k9yi6F%2B0Vz7YoTipZ798QK%2BbPnt9VNLERgJw%3D","Link")</f>
        <v>Link</v>
      </c>
      <c r="B1459" s="2" t="s">
        <v>1938</v>
      </c>
      <c r="C1459" s="2" t="s">
        <v>1932</v>
      </c>
      <c r="D1459" s="2" t="s">
        <v>1933</v>
      </c>
      <c r="E1459" s="2" t="s">
        <v>1939</v>
      </c>
      <c r="F1459" s="2" t="s">
        <v>1940</v>
      </c>
      <c r="G1459" s="2" t="s">
        <v>1941</v>
      </c>
      <c r="H1459" s="7"/>
      <c r="I1459" s="2" t="s">
        <v>9</v>
      </c>
    </row>
    <row r="1460" spans="1:9" ht="39" x14ac:dyDescent="0.3">
      <c r="A1460" s="1" t="str">
        <f>HYPERLINK("https://ipmanager.doe.gov/IPManager//ExternalLink.aspx?6ibkph2k9yi6F%2B0Vz7YoTq6RR9BlGHHi2XGmqLVnl%2F8%3D","Link")</f>
        <v>Link</v>
      </c>
      <c r="B1460" s="2" t="s">
        <v>1942</v>
      </c>
      <c r="C1460" s="2" t="s">
        <v>1932</v>
      </c>
      <c r="D1460" s="2" t="s">
        <v>1933</v>
      </c>
      <c r="E1460" s="2" t="s">
        <v>1943</v>
      </c>
      <c r="F1460" s="2" t="s">
        <v>1944</v>
      </c>
      <c r="G1460" s="2" t="s">
        <v>1945</v>
      </c>
      <c r="H1460" s="7"/>
      <c r="I1460" s="2" t="s">
        <v>9</v>
      </c>
    </row>
    <row r="1461" spans="1:9" ht="65" x14ac:dyDescent="0.3">
      <c r="A1461" s="1" t="str">
        <f>HYPERLINK("https://ipmanager.doe.gov/IPManager//ExternalLink.aspx?6ibkph2k9yi6F%2B0Vz7YoTq6RR9BlGHHi6oQiorcWwxs%3D","Link")</f>
        <v>Link</v>
      </c>
      <c r="B1461" s="2" t="s">
        <v>1946</v>
      </c>
      <c r="C1461" s="2" t="s">
        <v>1932</v>
      </c>
      <c r="D1461" s="2" t="s">
        <v>1933</v>
      </c>
      <c r="E1461" s="2" t="s">
        <v>1947</v>
      </c>
      <c r="F1461" s="2" t="s">
        <v>1948</v>
      </c>
      <c r="G1461" s="2" t="s">
        <v>1949</v>
      </c>
      <c r="H1461" s="7"/>
      <c r="I1461" s="2" t="s">
        <v>9</v>
      </c>
    </row>
    <row r="1462" spans="1:9" ht="26" x14ac:dyDescent="0.3">
      <c r="A1462" s="1" t="str">
        <f>HYPERLINK("https://ipmanager.doe.gov/IPManager//ExternalLink.aspx?6ibkph2k9yi6F%2B0Vz7YoTsTAnuFk5EoAm3KCenTBBI4%3D","Link")</f>
        <v>Link</v>
      </c>
      <c r="B1462" s="2" t="s">
        <v>4814</v>
      </c>
      <c r="C1462" s="2" t="s">
        <v>4795</v>
      </c>
      <c r="D1462" s="2" t="s">
        <v>4796</v>
      </c>
      <c r="E1462" s="2" t="s">
        <v>4811</v>
      </c>
      <c r="F1462" s="2" t="s">
        <v>4815</v>
      </c>
      <c r="G1462" s="2" t="s">
        <v>4813</v>
      </c>
      <c r="H1462" s="7" t="s">
        <v>4816</v>
      </c>
      <c r="I1462" s="2" t="s">
        <v>4817</v>
      </c>
    </row>
    <row r="1463" spans="1:9" ht="39" x14ac:dyDescent="0.3">
      <c r="A1463" s="1" t="str">
        <f>HYPERLINK("https://ipmanager.doe.gov/IPManager//ExternalLink.aspx?6ibkph2k9yi6F%2B0Vz7YoTq6RR9BlGHHiCk803KWvHrU%3D","Link")</f>
        <v>Link</v>
      </c>
      <c r="B1463" s="2" t="s">
        <v>3632</v>
      </c>
      <c r="C1463" s="2" t="s">
        <v>3621</v>
      </c>
      <c r="D1463" s="2" t="s">
        <v>1933</v>
      </c>
      <c r="E1463" s="2" t="s">
        <v>3633</v>
      </c>
      <c r="F1463" s="2" t="s">
        <v>3634</v>
      </c>
      <c r="G1463" s="2" t="s">
        <v>2462</v>
      </c>
      <c r="H1463" s="7"/>
      <c r="I1463" s="2" t="s">
        <v>9</v>
      </c>
    </row>
    <row r="1464" spans="1:9" ht="26" x14ac:dyDescent="0.3">
      <c r="A1464" s="1" t="str">
        <f>HYPERLINK("https://ipmanager.doe.gov/IPManager//ExternalLink.aspx?6ibkph2k9yi6F%2B0Vz7YoTsTAnuFk5EoAW6QtngFRrlc%3D","Link")</f>
        <v>Link</v>
      </c>
      <c r="B1464" s="2" t="s">
        <v>4821</v>
      </c>
      <c r="C1464" s="2" t="s">
        <v>4795</v>
      </c>
      <c r="D1464" s="2" t="s">
        <v>4796</v>
      </c>
      <c r="E1464" s="2" t="s">
        <v>4811</v>
      </c>
      <c r="F1464" s="2" t="s">
        <v>4822</v>
      </c>
      <c r="G1464" s="2" t="s">
        <v>1301</v>
      </c>
      <c r="H1464" s="7" t="s">
        <v>4823</v>
      </c>
      <c r="I1464" s="2" t="s">
        <v>3383</v>
      </c>
    </row>
    <row r="1465" spans="1:9" ht="26" x14ac:dyDescent="0.3">
      <c r="A1465" s="1" t="str">
        <f>HYPERLINK("https://ipmanager.doe.gov/IPManager//ExternalLink.aspx?6ibkph2k9yi6F%2B0Vz7YoTsTAnuFk5EoAFiw%2FQrhVCRU%3D","Link")</f>
        <v>Link</v>
      </c>
      <c r="B1465" s="2" t="s">
        <v>4824</v>
      </c>
      <c r="C1465" s="2" t="s">
        <v>4795</v>
      </c>
      <c r="D1465" s="2" t="s">
        <v>4796</v>
      </c>
      <c r="E1465" s="2" t="s">
        <v>4806</v>
      </c>
      <c r="F1465" s="2"/>
      <c r="G1465" s="2" t="s">
        <v>9</v>
      </c>
      <c r="H1465" s="7"/>
      <c r="I1465" s="2" t="s">
        <v>9</v>
      </c>
    </row>
    <row r="1466" spans="1:9" ht="26" x14ac:dyDescent="0.3">
      <c r="A1466" s="1" t="str">
        <f>HYPERLINK("https://ipmanager.doe.gov/IPManager//ExternalLink.aspx?6ibkph2k9yi6F%2B0Vz7YoTq6RR9BlGHHi7wcq2%2FBMTFw%3D","Link")</f>
        <v>Link</v>
      </c>
      <c r="B1466" s="2" t="s">
        <v>3635</v>
      </c>
      <c r="C1466" s="2" t="s">
        <v>3621</v>
      </c>
      <c r="D1466" s="2" t="s">
        <v>1933</v>
      </c>
      <c r="E1466" s="2" t="s">
        <v>3636</v>
      </c>
      <c r="F1466" s="2" t="s">
        <v>3637</v>
      </c>
      <c r="G1466" s="2" t="s">
        <v>3198</v>
      </c>
      <c r="H1466" s="7"/>
      <c r="I1466" s="2" t="s">
        <v>9</v>
      </c>
    </row>
    <row r="1467" spans="1:9" ht="26" x14ac:dyDescent="0.3">
      <c r="A1467" s="1" t="str">
        <f>HYPERLINK("https://ipmanager.doe.gov/IPManager//ExternalLink.aspx?6ibkph2k9yi6F%2B0Vz7YoTsTAnuFk5EoATKqgCyiNgtg%3D","Link")</f>
        <v>Link</v>
      </c>
      <c r="B1467" s="2" t="s">
        <v>4826</v>
      </c>
      <c r="C1467" s="2" t="s">
        <v>4795</v>
      </c>
      <c r="D1467" s="2" t="s">
        <v>4827</v>
      </c>
      <c r="E1467" s="2" t="s">
        <v>4828</v>
      </c>
      <c r="F1467" s="2"/>
      <c r="G1467" s="2" t="s">
        <v>9</v>
      </c>
      <c r="H1467" s="7"/>
      <c r="I1467" s="2" t="s">
        <v>9</v>
      </c>
    </row>
    <row r="1468" spans="1:9" ht="26" x14ac:dyDescent="0.3">
      <c r="A1468" s="1" t="str">
        <f>HYPERLINK("https://ipmanager.doe.gov/IPManager//ExternalLink.aspx?6ibkph2k9yi6F%2B0Vz7YoTq6RR9BlGHHi0TKpGBt98Hg%3D","Link")</f>
        <v>Link</v>
      </c>
      <c r="B1468" s="2" t="s">
        <v>3642</v>
      </c>
      <c r="C1468" s="2" t="s">
        <v>3621</v>
      </c>
      <c r="D1468" s="2" t="s">
        <v>1933</v>
      </c>
      <c r="E1468" s="2" t="s">
        <v>3643</v>
      </c>
      <c r="F1468" s="2" t="s">
        <v>3644</v>
      </c>
      <c r="G1468" s="2" t="s">
        <v>280</v>
      </c>
      <c r="H1468" s="7"/>
      <c r="I1468" s="2" t="s">
        <v>9</v>
      </c>
    </row>
    <row r="1469" spans="1:9" ht="26" x14ac:dyDescent="0.3">
      <c r="A1469" s="1" t="str">
        <f>HYPERLINK("https://ipmanager.doe.gov/IPManager//ExternalLink.aspx?6ibkph2k9yi6F%2B0Vz7YoTq6RR9BlGHHiIdku%2BEuroK0%3D","Link")</f>
        <v>Link</v>
      </c>
      <c r="B1469" s="2" t="s">
        <v>3645</v>
      </c>
      <c r="C1469" s="2" t="s">
        <v>3621</v>
      </c>
      <c r="D1469" s="2" t="s">
        <v>1933</v>
      </c>
      <c r="E1469" s="2" t="s">
        <v>3622</v>
      </c>
      <c r="F1469" s="2" t="s">
        <v>3646</v>
      </c>
      <c r="G1469" s="2" t="s">
        <v>280</v>
      </c>
      <c r="H1469" s="7"/>
      <c r="I1469" s="2" t="s">
        <v>9</v>
      </c>
    </row>
    <row r="1470" spans="1:9" ht="26" x14ac:dyDescent="0.3">
      <c r="A1470" s="1" t="str">
        <f>HYPERLINK("https://ipmanager.doe.gov/IPManager//ExternalLink.aspx?6ibkph2k9yi6F%2B0Vz7YoTq6RR9BlGHHi4FUdyrjj4QE%3D","Link")</f>
        <v>Link</v>
      </c>
      <c r="B1470" s="2" t="s">
        <v>3647</v>
      </c>
      <c r="C1470" s="2" t="s">
        <v>3621</v>
      </c>
      <c r="D1470" s="2" t="s">
        <v>1933</v>
      </c>
      <c r="E1470" s="2" t="s">
        <v>3643</v>
      </c>
      <c r="F1470" s="2" t="s">
        <v>3648</v>
      </c>
      <c r="G1470" s="2" t="s">
        <v>3649</v>
      </c>
      <c r="H1470" s="7"/>
      <c r="I1470" s="2" t="s">
        <v>9</v>
      </c>
    </row>
    <row r="1471" spans="1:9" ht="26" x14ac:dyDescent="0.3">
      <c r="A1471" s="1" t="str">
        <f>HYPERLINK("https://ipmanager.doe.gov/IPManager//ExternalLink.aspx?6ibkph2k9yi6F%2B0Vz7YoTvE8yjoHgvp6vFvlG%2BcdmA8%3D","Link")</f>
        <v>Link</v>
      </c>
      <c r="B1471" s="2" t="s">
        <v>3650</v>
      </c>
      <c r="C1471" s="2" t="s">
        <v>3621</v>
      </c>
      <c r="D1471" s="2" t="s">
        <v>1933</v>
      </c>
      <c r="E1471" s="2" t="s">
        <v>3622</v>
      </c>
      <c r="F1471" s="2" t="s">
        <v>3651</v>
      </c>
      <c r="G1471" s="2" t="s">
        <v>3649</v>
      </c>
      <c r="H1471" s="7"/>
      <c r="I1471" s="2" t="s">
        <v>9</v>
      </c>
    </row>
    <row r="1472" spans="1:9" ht="39" x14ac:dyDescent="0.3">
      <c r="A1472" s="1" t="str">
        <f>HYPERLINK("https://ipmanager.doe.gov/IPManager//ExternalLink.aspx?6ibkph2k9yi6F%2B0Vz7YoTq6RR9BlGHHi6bBMxKZoAzs%3D","Link")</f>
        <v>Link</v>
      </c>
      <c r="B1472" s="2" t="s">
        <v>4842</v>
      </c>
      <c r="C1472" s="2" t="s">
        <v>4795</v>
      </c>
      <c r="D1472" s="2" t="s">
        <v>4796</v>
      </c>
      <c r="E1472" s="2" t="s">
        <v>4843</v>
      </c>
      <c r="F1472" s="2"/>
      <c r="G1472" s="2" t="s">
        <v>9</v>
      </c>
      <c r="H1472" s="7"/>
      <c r="I1472" s="2" t="s">
        <v>9</v>
      </c>
    </row>
    <row r="1473" spans="1:9" ht="39" x14ac:dyDescent="0.3">
      <c r="A1473" s="1" t="str">
        <f>HYPERLINK("https://ipmanager.doe.gov/IPManager//ExternalLink.aspx?6ibkph2k9yi6F%2B0Vz7YoTgZwfmYxrNyKkiwVNdrOvao%3D","Link")</f>
        <v>Link</v>
      </c>
      <c r="B1473" s="2" t="s">
        <v>4844</v>
      </c>
      <c r="C1473" s="2" t="s">
        <v>4795</v>
      </c>
      <c r="D1473" s="2" t="s">
        <v>4796</v>
      </c>
      <c r="E1473" s="2" t="s">
        <v>4845</v>
      </c>
      <c r="F1473" s="2"/>
      <c r="G1473" s="2" t="s">
        <v>9</v>
      </c>
      <c r="H1473" s="7"/>
      <c r="I1473" s="2" t="s">
        <v>9</v>
      </c>
    </row>
    <row r="1474" spans="1:9" ht="26" x14ac:dyDescent="0.3">
      <c r="A1474" s="1" t="str">
        <f>HYPERLINK("https://ipmanager.doe.gov/IPManager//ExternalLink.aspx?6ibkph2k9yi6F%2B0Vz7YoTvE8yjoHgvp6ZLdszBn1VEw%3D","Link")</f>
        <v>Link</v>
      </c>
      <c r="B1474" s="2" t="s">
        <v>3652</v>
      </c>
      <c r="C1474" s="2" t="s">
        <v>3621</v>
      </c>
      <c r="D1474" s="2" t="s">
        <v>1933</v>
      </c>
      <c r="E1474" s="2" t="s">
        <v>3622</v>
      </c>
      <c r="F1474" s="2" t="s">
        <v>3653</v>
      </c>
      <c r="G1474" s="2" t="s">
        <v>280</v>
      </c>
      <c r="H1474" s="7"/>
      <c r="I1474" s="2" t="s">
        <v>9</v>
      </c>
    </row>
    <row r="1475" spans="1:9" ht="26" x14ac:dyDescent="0.3">
      <c r="A1475" s="1" t="str">
        <f>HYPERLINK("https://ipmanager.doe.gov/IPManager//ExternalLink.aspx?6ibkph2k9yi6F%2B0Vz7YoTvE8yjoHgvp6av3ALSMBVdg%3D","Link")</f>
        <v>Link</v>
      </c>
      <c r="B1475" s="2" t="s">
        <v>3654</v>
      </c>
      <c r="C1475" s="2" t="s">
        <v>3621</v>
      </c>
      <c r="D1475" s="2" t="s">
        <v>1933</v>
      </c>
      <c r="E1475" s="2" t="s">
        <v>3622</v>
      </c>
      <c r="F1475" s="2" t="s">
        <v>3655</v>
      </c>
      <c r="G1475" s="2" t="s">
        <v>3649</v>
      </c>
      <c r="H1475" s="7"/>
      <c r="I1475" s="2" t="s">
        <v>9</v>
      </c>
    </row>
    <row r="1476" spans="1:9" ht="52" x14ac:dyDescent="0.3">
      <c r="A1476" s="1" t="str">
        <f>HYPERLINK("https://ipmanager.doe.gov/IPManager//ExternalLink.aspx?6ibkph2k9yi6F%2B0Vz7YoTjnDGhmGHGI7UsHWbdFrWe4%3D","Link")</f>
        <v>Link</v>
      </c>
      <c r="B1476" s="2" t="s">
        <v>4852</v>
      </c>
      <c r="C1476" s="2" t="s">
        <v>4853</v>
      </c>
      <c r="D1476" s="2" t="s">
        <v>4854</v>
      </c>
      <c r="E1476" s="2" t="s">
        <v>4855</v>
      </c>
      <c r="F1476" s="2"/>
      <c r="G1476" s="2" t="s">
        <v>9</v>
      </c>
      <c r="H1476" s="7"/>
      <c r="I1476" s="2" t="s">
        <v>9</v>
      </c>
    </row>
    <row r="1477" spans="1:9" ht="65" x14ac:dyDescent="0.3">
      <c r="A1477" s="1" t="str">
        <f>HYPERLINK("https://ipmanager.doe.gov/IPManager//ExternalLink.aspx?6ibkph2k9yi6F%2B0Vz7YoTjnDGhmGHGI7aWNTexrNESo%3D","Link")</f>
        <v>Link</v>
      </c>
      <c r="B1477" s="2" t="s">
        <v>4856</v>
      </c>
      <c r="C1477" s="2" t="s">
        <v>4853</v>
      </c>
      <c r="D1477" s="2" t="s">
        <v>4854</v>
      </c>
      <c r="E1477" s="2" t="s">
        <v>4857</v>
      </c>
      <c r="F1477" s="2"/>
      <c r="G1477" s="2" t="s">
        <v>9</v>
      </c>
      <c r="H1477" s="7"/>
      <c r="I1477" s="2" t="s">
        <v>9</v>
      </c>
    </row>
    <row r="1478" spans="1:9" ht="65" x14ac:dyDescent="0.3">
      <c r="A1478" s="1" t="str">
        <f>HYPERLINK("https://ipmanager.doe.gov/IPManager//ExternalLink.aspx?6ibkph2k9yi6F%2B0Vz7YoTr7J5I%2BY4foYY0RQBe25m4I%3D","Link")</f>
        <v>Link</v>
      </c>
      <c r="B1478" s="2" t="s">
        <v>4858</v>
      </c>
      <c r="C1478" s="2" t="s">
        <v>4853</v>
      </c>
      <c r="D1478" s="2" t="s">
        <v>4854</v>
      </c>
      <c r="E1478" s="2" t="s">
        <v>4859</v>
      </c>
      <c r="F1478" s="2"/>
      <c r="G1478" s="2" t="s">
        <v>9</v>
      </c>
      <c r="H1478" s="7"/>
      <c r="I1478" s="2" t="s">
        <v>9</v>
      </c>
    </row>
    <row r="1479" spans="1:9" ht="52" x14ac:dyDescent="0.3">
      <c r="A1479" s="1" t="str">
        <f>HYPERLINK("https://ipmanager.doe.gov/IPManager//ExternalLink.aspx?6ibkph2k9yi6F%2B0Vz7YoTo7DPLa3%2F%2FGgzly4C0VYbWc%3D","Link")</f>
        <v>Link</v>
      </c>
      <c r="B1479" s="2" t="s">
        <v>4860</v>
      </c>
      <c r="C1479" s="2" t="s">
        <v>4853</v>
      </c>
      <c r="D1479" s="2" t="s">
        <v>4854</v>
      </c>
      <c r="E1479" s="2" t="s">
        <v>4861</v>
      </c>
      <c r="F1479" s="2"/>
      <c r="G1479" s="2" t="s">
        <v>9</v>
      </c>
      <c r="H1479" s="7"/>
      <c r="I1479" s="2" t="s">
        <v>9</v>
      </c>
    </row>
    <row r="1480" spans="1:9" ht="39" x14ac:dyDescent="0.3">
      <c r="A1480" s="1" t="str">
        <f>HYPERLINK("https://ipmanager.doe.gov/IPManager//ExternalLink.aspx?6ibkph2k9yi6F%2B0Vz7YoTo7DPLa3%2F%2FGgh77L4jXBKGY%3D","Link")</f>
        <v>Link</v>
      </c>
      <c r="B1480" s="2" t="s">
        <v>4862</v>
      </c>
      <c r="C1480" s="2" t="s">
        <v>4853</v>
      </c>
      <c r="D1480" s="2" t="s">
        <v>4854</v>
      </c>
      <c r="E1480" s="2" t="s">
        <v>4863</v>
      </c>
      <c r="F1480" s="2"/>
      <c r="G1480" s="2" t="s">
        <v>9</v>
      </c>
      <c r="H1480" s="7"/>
      <c r="I1480" s="2" t="s">
        <v>9</v>
      </c>
    </row>
    <row r="1481" spans="1:9" ht="52" x14ac:dyDescent="0.3">
      <c r="A1481" s="1" t="str">
        <f>HYPERLINK("https://ipmanager.doe.gov/IPManager//ExternalLink.aspx?6ibkph2k9yi6F%2B0Vz7YoTo7DPLa3%2F%2FGgJZ6bNOWh9Ik%3D","Link")</f>
        <v>Link</v>
      </c>
      <c r="B1481" s="2" t="s">
        <v>4864</v>
      </c>
      <c r="C1481" s="2" t="s">
        <v>4853</v>
      </c>
      <c r="D1481" s="2" t="s">
        <v>4854</v>
      </c>
      <c r="E1481" s="2" t="s">
        <v>4865</v>
      </c>
      <c r="F1481" s="2"/>
      <c r="G1481" s="2" t="s">
        <v>9</v>
      </c>
      <c r="H1481" s="7"/>
      <c r="I1481" s="2" t="s">
        <v>9</v>
      </c>
    </row>
    <row r="1482" spans="1:9" ht="39" x14ac:dyDescent="0.3">
      <c r="A1482" s="1" t="str">
        <f>HYPERLINK("https://ipmanager.doe.gov/IPManager//ExternalLink.aspx?6ibkph2k9yi6F%2B0Vz7YoTvE8yjoHgvp6xba6pIh3Ego%3D","Link")</f>
        <v>Link</v>
      </c>
      <c r="B1482" s="2" t="s">
        <v>3656</v>
      </c>
      <c r="C1482" s="2" t="s">
        <v>3621</v>
      </c>
      <c r="D1482" s="2" t="s">
        <v>1933</v>
      </c>
      <c r="E1482" s="2" t="s">
        <v>3633</v>
      </c>
      <c r="F1482" s="2" t="s">
        <v>3657</v>
      </c>
      <c r="G1482" s="2" t="s">
        <v>3658</v>
      </c>
      <c r="H1482" s="7"/>
      <c r="I1482" s="2" t="s">
        <v>9</v>
      </c>
    </row>
    <row r="1483" spans="1:9" ht="26" x14ac:dyDescent="0.3">
      <c r="A1483" s="1" t="str">
        <f>HYPERLINK("https://ipmanager.doe.gov/IPManager//ExternalLink.aspx?6ibkph2k9yi6F%2B0Vz7YoTvE8yjoHgvp6u4ECJTu47yg%3D","Link")</f>
        <v>Link</v>
      </c>
      <c r="B1483" s="2" t="s">
        <v>3659</v>
      </c>
      <c r="C1483" s="2" t="s">
        <v>3621</v>
      </c>
      <c r="D1483" s="2" t="s">
        <v>1933</v>
      </c>
      <c r="E1483" s="2" t="s">
        <v>3636</v>
      </c>
      <c r="F1483" s="2" t="s">
        <v>3660</v>
      </c>
      <c r="G1483" s="2" t="s">
        <v>3661</v>
      </c>
      <c r="H1483" s="7"/>
      <c r="I1483" s="2" t="s">
        <v>9</v>
      </c>
    </row>
    <row r="1484" spans="1:9" ht="78" x14ac:dyDescent="0.3">
      <c r="A1484" s="1" t="str">
        <f>HYPERLINK("https://ipmanager.doe.gov/IPManager//ExternalLink.aspx?6ibkph2k9yi6F%2B0Vz7YoTgZwfmYxrNyKbDqTUh4gW54%3D","Link")</f>
        <v>Link</v>
      </c>
      <c r="B1484" s="2" t="s">
        <v>4874</v>
      </c>
      <c r="C1484" s="2" t="s">
        <v>4870</v>
      </c>
      <c r="D1484" s="2" t="s">
        <v>2483</v>
      </c>
      <c r="E1484" s="2" t="s">
        <v>4875</v>
      </c>
      <c r="F1484" s="2" t="s">
        <v>4876</v>
      </c>
      <c r="G1484" s="2" t="s">
        <v>4877</v>
      </c>
      <c r="H1484" s="7"/>
      <c r="I1484" s="2" t="s">
        <v>9</v>
      </c>
    </row>
    <row r="1485" spans="1:9" ht="65" x14ac:dyDescent="0.3">
      <c r="A1485" s="1" t="str">
        <f>HYPERLINK("https://ipmanager.doe.gov/IPManager//ExternalLink.aspx?6ibkph2k9yi6F%2B0Vz7YoTvE8yjoHgvp6liVpUTK8jy8%3D","Link")</f>
        <v>Link</v>
      </c>
      <c r="B1485" s="2" t="s">
        <v>3662</v>
      </c>
      <c r="C1485" s="2" t="s">
        <v>3621</v>
      </c>
      <c r="D1485" s="2" t="s">
        <v>1933</v>
      </c>
      <c r="E1485" s="2" t="s">
        <v>3627</v>
      </c>
      <c r="F1485" s="2" t="s">
        <v>3663</v>
      </c>
      <c r="G1485" s="2" t="s">
        <v>9</v>
      </c>
      <c r="H1485" s="7"/>
      <c r="I1485" s="2" t="s">
        <v>9</v>
      </c>
    </row>
    <row r="1486" spans="1:9" ht="52" x14ac:dyDescent="0.3">
      <c r="A1486" s="1" t="str">
        <f>HYPERLINK("https://ipmanager.doe.gov/IPManager//ExternalLink.aspx?6ibkph2k9yi6F%2B0Vz7YoTr7J5I%2BY4foYv%2Bm1buhdWnQ%3D","Link")</f>
        <v>Link</v>
      </c>
      <c r="B1486" s="2" t="s">
        <v>3799</v>
      </c>
      <c r="C1486" s="2" t="s">
        <v>3772</v>
      </c>
      <c r="D1486" s="2" t="s">
        <v>3773</v>
      </c>
      <c r="E1486" s="2" t="s">
        <v>3800</v>
      </c>
      <c r="F1486" s="2" t="s">
        <v>3801</v>
      </c>
      <c r="G1486" s="2" t="s">
        <v>357</v>
      </c>
      <c r="H1486" s="7"/>
      <c r="I1486" s="2" t="s">
        <v>9</v>
      </c>
    </row>
    <row r="1487" spans="1:9" ht="65" x14ac:dyDescent="0.3">
      <c r="A1487" s="1" t="str">
        <f>HYPERLINK("https://ipmanager.doe.gov/IPManager//ExternalLink.aspx?6ibkph2k9yi6F%2B0Vz7YoTjnDGhmGHGI7hoM6PjSmLc8%3D","Link")</f>
        <v>Link</v>
      </c>
      <c r="B1487" s="2" t="s">
        <v>3839</v>
      </c>
      <c r="C1487" s="2" t="s">
        <v>3772</v>
      </c>
      <c r="D1487" s="2" t="s">
        <v>3773</v>
      </c>
      <c r="E1487" s="2" t="s">
        <v>3840</v>
      </c>
      <c r="F1487" s="2" t="s">
        <v>3841</v>
      </c>
      <c r="G1487" s="2" t="s">
        <v>3170</v>
      </c>
      <c r="H1487" s="7"/>
      <c r="I1487" s="2" t="s">
        <v>9</v>
      </c>
    </row>
    <row r="1488" spans="1:9" ht="39" x14ac:dyDescent="0.3">
      <c r="A1488" s="1" t="str">
        <f>HYPERLINK("https://ipmanager.doe.gov/IPManager//ExternalLink.aspx?6ibkph2k9yi6F%2B0Vz7YoTvPUg%2FVZPl3isIg6amwF5T0%3D","Link")</f>
        <v>Link</v>
      </c>
      <c r="B1488" s="2" t="s">
        <v>3847</v>
      </c>
      <c r="C1488" s="2" t="s">
        <v>3772</v>
      </c>
      <c r="D1488" s="2" t="s">
        <v>3773</v>
      </c>
      <c r="E1488" s="2" t="s">
        <v>3848</v>
      </c>
      <c r="F1488" s="2" t="s">
        <v>3849</v>
      </c>
      <c r="G1488" s="2" t="s">
        <v>3151</v>
      </c>
      <c r="H1488" s="7"/>
      <c r="I1488" s="2" t="s">
        <v>9</v>
      </c>
    </row>
    <row r="1489" spans="1:9" ht="39" x14ac:dyDescent="0.3">
      <c r="A1489" s="1" t="str">
        <f>HYPERLINK("https://ipmanager.doe.gov/IPManager//ExternalLink.aspx?6ibkph2k9yi6F%2B0Vz7YoTvPUg%2FVZPl3iTyca2DtK7Zc%3D","Link")</f>
        <v>Link</v>
      </c>
      <c r="B1489" s="2" t="s">
        <v>4888</v>
      </c>
      <c r="C1489" s="2" t="s">
        <v>4870</v>
      </c>
      <c r="D1489" s="2" t="s">
        <v>2483</v>
      </c>
      <c r="E1489" s="2" t="s">
        <v>4889</v>
      </c>
      <c r="F1489" s="2" t="s">
        <v>4890</v>
      </c>
      <c r="G1489" s="2" t="s">
        <v>4891</v>
      </c>
      <c r="H1489" s="7" t="s">
        <v>4892</v>
      </c>
      <c r="I1489" s="2" t="s">
        <v>4893</v>
      </c>
    </row>
    <row r="1490" spans="1:9" ht="39" x14ac:dyDescent="0.3">
      <c r="A1490" s="1" t="str">
        <f>HYPERLINK("https://ipmanager.doe.gov/IPManager//ExternalLink.aspx?6ibkph2k9yi6F%2B0Vz7YoTvPUg%2FVZPl3ikP9BQY0LnY0%3D","Link")</f>
        <v>Link</v>
      </c>
      <c r="B1490" s="2" t="s">
        <v>4894</v>
      </c>
      <c r="C1490" s="2" t="s">
        <v>4870</v>
      </c>
      <c r="D1490" s="2" t="s">
        <v>2483</v>
      </c>
      <c r="E1490" s="2" t="s">
        <v>4895</v>
      </c>
      <c r="F1490" s="2" t="s">
        <v>4896</v>
      </c>
      <c r="G1490" s="2" t="s">
        <v>4897</v>
      </c>
      <c r="H1490" s="7" t="s">
        <v>4898</v>
      </c>
      <c r="I1490" s="2" t="s">
        <v>1779</v>
      </c>
    </row>
    <row r="1491" spans="1:9" ht="65" x14ac:dyDescent="0.3">
      <c r="A1491" s="1" t="str">
        <f>HYPERLINK("https://ipmanager.doe.gov/IPManager//ExternalLink.aspx?6ibkph2k9yi6F%2B0Vz7YoTvPUg%2FVZPl3iVmdbTpqSCGM%3D","Link")</f>
        <v>Link</v>
      </c>
      <c r="B1491" s="2" t="s">
        <v>3855</v>
      </c>
      <c r="C1491" s="2" t="s">
        <v>3772</v>
      </c>
      <c r="D1491" s="2" t="s">
        <v>3773</v>
      </c>
      <c r="E1491" s="2" t="s">
        <v>3856</v>
      </c>
      <c r="F1491" s="2" t="s">
        <v>3857</v>
      </c>
      <c r="G1491" s="2" t="s">
        <v>3170</v>
      </c>
      <c r="H1491" s="7"/>
      <c r="I1491" s="2" t="s">
        <v>9</v>
      </c>
    </row>
    <row r="1492" spans="1:9" x14ac:dyDescent="0.3">
      <c r="A1492" s="1" t="str">
        <f>HYPERLINK("https://ipmanager.doe.gov/IPManager//ExternalLink.aspx?6ibkph2k9yi6F%2B0Vz7YoTjnDGhmGHGI7A6BhFQTrIkU%3D","Link")</f>
        <v>Link</v>
      </c>
      <c r="B1492" s="2" t="s">
        <v>1858</v>
      </c>
      <c r="C1492" s="2" t="s">
        <v>1859</v>
      </c>
      <c r="D1492" s="2" t="s">
        <v>1860</v>
      </c>
      <c r="E1492" s="2" t="s">
        <v>1861</v>
      </c>
      <c r="F1492" s="2" t="s">
        <v>1862</v>
      </c>
      <c r="G1492" s="2" t="s">
        <v>1863</v>
      </c>
      <c r="H1492" s="7"/>
      <c r="I1492" s="2" t="s">
        <v>9</v>
      </c>
    </row>
    <row r="1493" spans="1:9" ht="39" x14ac:dyDescent="0.3">
      <c r="A1493" s="1" t="str">
        <f>HYPERLINK("https://ipmanager.doe.gov/IPManager//ExternalLink.aspx?6ibkph2k9yi6F%2B0Vz7YoTjnDGhmGHGI7Co8hDAlWw0g%3D","Link")</f>
        <v>Link</v>
      </c>
      <c r="B1493" s="2" t="s">
        <v>1864</v>
      </c>
      <c r="C1493" s="2" t="s">
        <v>1859</v>
      </c>
      <c r="D1493" s="2" t="s">
        <v>1860</v>
      </c>
      <c r="E1493" s="2" t="s">
        <v>1865</v>
      </c>
      <c r="F1493" s="2" t="s">
        <v>1866</v>
      </c>
      <c r="G1493" s="2" t="s">
        <v>1867</v>
      </c>
      <c r="H1493" s="7"/>
      <c r="I1493" s="2" t="s">
        <v>9</v>
      </c>
    </row>
    <row r="1494" spans="1:9" ht="39" x14ac:dyDescent="0.3">
      <c r="A1494" s="1" t="str">
        <f>HYPERLINK("https://ipmanager.doe.gov/IPManager//ExternalLink.aspx?6ibkph2k9yi6F%2B0Vz7YoTp68px7nSN2ghDTwohN1pVU%3D","Link")</f>
        <v>Link</v>
      </c>
      <c r="B1494" s="2" t="s">
        <v>4908</v>
      </c>
      <c r="C1494" s="2" t="s">
        <v>4909</v>
      </c>
      <c r="D1494" s="2" t="s">
        <v>4169</v>
      </c>
      <c r="E1494" s="2" t="s">
        <v>4910</v>
      </c>
      <c r="F1494" s="2"/>
      <c r="G1494" s="2" t="s">
        <v>9</v>
      </c>
      <c r="H1494" s="7"/>
      <c r="I1494" s="2" t="s">
        <v>9</v>
      </c>
    </row>
    <row r="1495" spans="1:9" ht="26" x14ac:dyDescent="0.3">
      <c r="A1495" s="1" t="str">
        <f>HYPERLINK("https://ipmanager.doe.gov/IPManager//ExternalLink.aspx?6ibkph2k9yi6F%2B0Vz7YoTq6RR9BlGHHiPAb5uP3D%2BHQ%3D","Link")</f>
        <v>Link</v>
      </c>
      <c r="B1495" s="2" t="s">
        <v>1868</v>
      </c>
      <c r="C1495" s="2" t="s">
        <v>1859</v>
      </c>
      <c r="D1495" s="2" t="s">
        <v>1860</v>
      </c>
      <c r="E1495" s="2" t="s">
        <v>1869</v>
      </c>
      <c r="F1495" s="2" t="s">
        <v>1870</v>
      </c>
      <c r="G1495" s="2" t="s">
        <v>1871</v>
      </c>
      <c r="H1495" s="7"/>
      <c r="I1495" s="2" t="s">
        <v>9</v>
      </c>
    </row>
    <row r="1496" spans="1:9" ht="39" x14ac:dyDescent="0.3">
      <c r="A1496" s="1" t="str">
        <f>HYPERLINK("https://ipmanager.doe.gov/IPManager//ExternalLink.aspx?6ibkph2k9yi6F%2B0Vz7YoTq6RR9BlGHHiHr0fuy7Ut%2BM%3D","Link")</f>
        <v>Link</v>
      </c>
      <c r="B1496" s="2" t="s">
        <v>4914</v>
      </c>
      <c r="C1496" s="2" t="s">
        <v>4909</v>
      </c>
      <c r="D1496" s="2" t="s">
        <v>4169</v>
      </c>
      <c r="E1496" s="2" t="s">
        <v>4915</v>
      </c>
      <c r="F1496" s="2"/>
      <c r="G1496" s="2" t="s">
        <v>9</v>
      </c>
      <c r="H1496" s="7"/>
      <c r="I1496" s="2" t="s">
        <v>9</v>
      </c>
    </row>
    <row r="1497" spans="1:9" ht="26" x14ac:dyDescent="0.3">
      <c r="A1497" s="1" t="str">
        <f>HYPERLINK("https://ipmanager.doe.gov/IPManager//ExternalLink.aspx?6ibkph2k9yi6F%2B0Vz7YoTr7J5I%2BY4foY%2FQ2Bv92wvHw%3D","Link")</f>
        <v>Link</v>
      </c>
      <c r="B1497" s="2" t="s">
        <v>4916</v>
      </c>
      <c r="C1497" s="2" t="s">
        <v>4909</v>
      </c>
      <c r="D1497" s="2" t="s">
        <v>4169</v>
      </c>
      <c r="E1497" s="2"/>
      <c r="F1497" s="2"/>
      <c r="G1497" s="2" t="s">
        <v>9</v>
      </c>
      <c r="H1497" s="7"/>
      <c r="I1497" s="2" t="s">
        <v>9</v>
      </c>
    </row>
    <row r="1498" spans="1:9" ht="26" x14ac:dyDescent="0.3">
      <c r="A1498" s="1" t="str">
        <f>HYPERLINK("https://ipmanager.doe.gov/IPManager//ExternalLink.aspx?6ibkph2k9yi6F%2B0Vz7YoTgZwfmYxrNyKezMpAd1PWcs%3D","Link")</f>
        <v>Link</v>
      </c>
      <c r="B1498" s="2" t="s">
        <v>4917</v>
      </c>
      <c r="C1498" s="2" t="s">
        <v>4909</v>
      </c>
      <c r="D1498" s="2" t="s">
        <v>2483</v>
      </c>
      <c r="E1498" s="2" t="s">
        <v>4918</v>
      </c>
      <c r="F1498" s="2"/>
      <c r="G1498" s="2" t="s">
        <v>9</v>
      </c>
      <c r="H1498" s="7"/>
      <c r="I1498" s="2" t="s">
        <v>9</v>
      </c>
    </row>
    <row r="1499" spans="1:9" ht="52" x14ac:dyDescent="0.3">
      <c r="A1499" s="1" t="str">
        <f>HYPERLINK("https://ipmanager.doe.gov/IPManager//ExternalLink.aspx?6ibkph2k9yi6F%2B0Vz7YoTq6RR9BlGHHiW0v5jKTuJNA%3D","Link")</f>
        <v>Link</v>
      </c>
      <c r="B1499" s="2" t="s">
        <v>1874</v>
      </c>
      <c r="C1499" s="2" t="s">
        <v>1859</v>
      </c>
      <c r="D1499" s="2" t="s">
        <v>1860</v>
      </c>
      <c r="E1499" s="2" t="s">
        <v>1875</v>
      </c>
      <c r="F1499" s="2" t="s">
        <v>1876</v>
      </c>
      <c r="G1499" s="2" t="s">
        <v>1877</v>
      </c>
      <c r="H1499" s="7"/>
      <c r="I1499" s="2" t="s">
        <v>9</v>
      </c>
    </row>
    <row r="1500" spans="1:9" ht="39" x14ac:dyDescent="0.3">
      <c r="A1500" s="1" t="str">
        <f>HYPERLINK("https://ipmanager.doe.gov/IPManager//ExternalLink.aspx?6ibkph2k9yi6F%2B0Vz7YoTjnDGhmGHGI7dZwhhBzMlEA%3D","Link")</f>
        <v>Link</v>
      </c>
      <c r="B1500" s="2" t="s">
        <v>2261</v>
      </c>
      <c r="C1500" s="2" t="s">
        <v>2262</v>
      </c>
      <c r="D1500" s="2" t="s">
        <v>1860</v>
      </c>
      <c r="E1500" s="2" t="s">
        <v>2263</v>
      </c>
      <c r="F1500" s="2" t="s">
        <v>2264</v>
      </c>
      <c r="G1500" s="2" t="s">
        <v>9</v>
      </c>
      <c r="H1500" s="7"/>
      <c r="I1500" s="2" t="s">
        <v>9</v>
      </c>
    </row>
    <row r="1501" spans="1:9" ht="52" x14ac:dyDescent="0.3">
      <c r="A1501" s="1" t="str">
        <f>HYPERLINK("https://ipmanager.doe.gov/IPManager//ExternalLink.aspx?6ibkph2k9yi6F%2B0Vz7YoTvPUg%2FVZPl3iaHCHz1prVlY%3D","Link")</f>
        <v>Link</v>
      </c>
      <c r="B1501" s="2" t="s">
        <v>5531</v>
      </c>
      <c r="C1501" s="2" t="s">
        <v>5532</v>
      </c>
      <c r="D1501" s="2" t="s">
        <v>5533</v>
      </c>
      <c r="E1501" s="2" t="s">
        <v>5534</v>
      </c>
      <c r="F1501" s="2" t="s">
        <v>5535</v>
      </c>
      <c r="G1501" s="2" t="s">
        <v>9</v>
      </c>
      <c r="H1501" s="7"/>
      <c r="I1501" s="2" t="s">
        <v>9</v>
      </c>
    </row>
    <row r="1502" spans="1:9" ht="52" x14ac:dyDescent="0.3">
      <c r="A1502" s="1" t="str">
        <f>HYPERLINK("https://ipmanager.doe.gov/IPManager//ExternalLink.aspx?6ibkph2k9yi6F%2B0Vz7YoTlNm8snv%2FZpHf6U8IOzi%2Bb4%3D","Link")</f>
        <v>Link</v>
      </c>
      <c r="B1502" s="2" t="s">
        <v>1076</v>
      </c>
      <c r="C1502" s="2" t="s">
        <v>1069</v>
      </c>
      <c r="D1502" s="2" t="s">
        <v>1070</v>
      </c>
      <c r="E1502" s="2" t="s">
        <v>1077</v>
      </c>
      <c r="F1502" s="2" t="s">
        <v>1078</v>
      </c>
      <c r="G1502" s="2" t="s">
        <v>1079</v>
      </c>
      <c r="H1502" s="7"/>
      <c r="I1502" s="2" t="s">
        <v>9</v>
      </c>
    </row>
    <row r="1503" spans="1:9" ht="26" x14ac:dyDescent="0.3">
      <c r="A1503" s="1" t="str">
        <f>HYPERLINK("https://ipmanager.doe.gov/IPManager//ExternalLink.aspx?6ibkph2k9yi6F%2B0Vz7YoTo7DPLa3%2F%2FGgsW1hxIg0jaQ%3D","Link")</f>
        <v>Link</v>
      </c>
      <c r="B1503" s="2" t="s">
        <v>4935</v>
      </c>
      <c r="C1503" s="2" t="s">
        <v>4924</v>
      </c>
      <c r="D1503" s="2" t="s">
        <v>1474</v>
      </c>
      <c r="E1503" s="2" t="s">
        <v>4936</v>
      </c>
      <c r="F1503" s="2"/>
      <c r="G1503" s="2" t="s">
        <v>9</v>
      </c>
      <c r="H1503" s="7"/>
      <c r="I1503" s="2" t="s">
        <v>9</v>
      </c>
    </row>
    <row r="1504" spans="1:9" ht="39" x14ac:dyDescent="0.3">
      <c r="A1504" s="1" t="str">
        <f>HYPERLINK("https://ipmanager.doe.gov/IPManager//ExternalLink.aspx?6ibkph2k9yi6F%2B0Vz7YoTnXVN2REjGcWd%2FgI85gCm50%3D","Link")</f>
        <v>Link</v>
      </c>
      <c r="B1504" s="2" t="s">
        <v>4937</v>
      </c>
      <c r="C1504" s="2" t="s">
        <v>4924</v>
      </c>
      <c r="D1504" s="2" t="s">
        <v>1474</v>
      </c>
      <c r="E1504" s="2" t="s">
        <v>4938</v>
      </c>
      <c r="F1504" s="2"/>
      <c r="G1504" s="2" t="s">
        <v>9</v>
      </c>
      <c r="H1504" s="7"/>
      <c r="I1504" s="2" t="s">
        <v>9</v>
      </c>
    </row>
    <row r="1505" spans="1:9" ht="26" x14ac:dyDescent="0.3">
      <c r="A1505" s="1" t="str">
        <f>HYPERLINK("https://ipmanager.doe.gov/IPManager//ExternalLink.aspx?6ibkph2k9yi6F%2B0Vz7YoTr7J5I%2BY4foY%2F%2BI0o2A%2Fet4%3D","Link")</f>
        <v>Link</v>
      </c>
      <c r="B1505" s="2" t="s">
        <v>4939</v>
      </c>
      <c r="C1505" s="2" t="s">
        <v>4924</v>
      </c>
      <c r="D1505" s="2" t="s">
        <v>1474</v>
      </c>
      <c r="E1505" s="2" t="s">
        <v>4940</v>
      </c>
      <c r="F1505" s="2"/>
      <c r="G1505" s="2" t="s">
        <v>9</v>
      </c>
      <c r="H1505" s="7"/>
      <c r="I1505" s="2" t="s">
        <v>9</v>
      </c>
    </row>
    <row r="1506" spans="1:9" ht="26" x14ac:dyDescent="0.3">
      <c r="A1506" s="1" t="str">
        <f>HYPERLINK("https://ipmanager.doe.gov/IPManager//ExternalLink.aspx?6ibkph2k9yi6F%2B0Vz7YoTgZwfmYxrNyK6eoTn3e40zo%3D","Link")</f>
        <v>Link</v>
      </c>
      <c r="B1506" s="2" t="s">
        <v>4941</v>
      </c>
      <c r="C1506" s="2" t="s">
        <v>4942</v>
      </c>
      <c r="D1506" s="2" t="s">
        <v>3527</v>
      </c>
      <c r="E1506" s="2" t="s">
        <v>4943</v>
      </c>
      <c r="F1506" s="2"/>
      <c r="G1506" s="2" t="s">
        <v>4944</v>
      </c>
      <c r="H1506" s="7"/>
      <c r="I1506" s="2" t="s">
        <v>9</v>
      </c>
    </row>
    <row r="1507" spans="1:9" ht="52" x14ac:dyDescent="0.3">
      <c r="A1507" s="1" t="str">
        <f>HYPERLINK("https://ipmanager.doe.gov/IPManager//ExternalLink.aspx?6ibkph2k9yi6F%2B0Vz7YoTlNm8snv%2FZpHV8pmLnrnWNQ%3D","Link")</f>
        <v>Link</v>
      </c>
      <c r="B1507" s="2" t="s">
        <v>1080</v>
      </c>
      <c r="C1507" s="2" t="s">
        <v>1069</v>
      </c>
      <c r="D1507" s="2" t="s">
        <v>1070</v>
      </c>
      <c r="E1507" s="2" t="s">
        <v>1081</v>
      </c>
      <c r="F1507" s="2" t="s">
        <v>1082</v>
      </c>
      <c r="G1507" s="2" t="s">
        <v>1083</v>
      </c>
      <c r="H1507" s="7"/>
      <c r="I1507" s="2" t="s">
        <v>9</v>
      </c>
    </row>
    <row r="1508" spans="1:9" ht="39" x14ac:dyDescent="0.3">
      <c r="A1508" s="1" t="str">
        <f>HYPERLINK("https://ipmanager.doe.gov/IPManager//ExternalLink.aspx?6ibkph2k9yi6F%2B0Vz7YoTq6RR9BlGHHiWYfOa8KNC6M%3D","Link")</f>
        <v>Link</v>
      </c>
      <c r="B1508" s="2" t="s">
        <v>4948</v>
      </c>
      <c r="C1508" s="2" t="s">
        <v>4942</v>
      </c>
      <c r="D1508" s="2" t="s">
        <v>3527</v>
      </c>
      <c r="E1508" s="2" t="s">
        <v>4949</v>
      </c>
      <c r="F1508" s="2" t="s">
        <v>4950</v>
      </c>
      <c r="G1508" s="2" t="s">
        <v>4000</v>
      </c>
      <c r="H1508" s="7"/>
      <c r="I1508" s="2" t="s">
        <v>9</v>
      </c>
    </row>
    <row r="1509" spans="1:9" ht="26" x14ac:dyDescent="0.3">
      <c r="A1509" s="1" t="str">
        <f>HYPERLINK("https://ipmanager.doe.gov/IPManager//ExternalLink.aspx?6ibkph2k9yi6F%2B0Vz7YoTq6RR9BlGHHi1LjE2mQ9v3w%3D","Link")</f>
        <v>Link</v>
      </c>
      <c r="B1509" s="2" t="s">
        <v>4951</v>
      </c>
      <c r="C1509" s="2" t="s">
        <v>4942</v>
      </c>
      <c r="D1509" s="2" t="s">
        <v>3527</v>
      </c>
      <c r="E1509" s="2" t="s">
        <v>4952</v>
      </c>
      <c r="F1509" s="2"/>
      <c r="G1509" s="2" t="s">
        <v>9</v>
      </c>
      <c r="H1509" s="7"/>
      <c r="I1509" s="2" t="s">
        <v>9</v>
      </c>
    </row>
    <row r="1510" spans="1:9" ht="39" x14ac:dyDescent="0.3">
      <c r="A1510" s="1" t="str">
        <f>HYPERLINK("https://ipmanager.doe.gov/IPManager//ExternalLink.aspx?6ibkph2k9yi6F%2B0Vz7YoTjnDGhmGHGI7zkYIbhaIPos%3D","Link")</f>
        <v>Link</v>
      </c>
      <c r="B1510" s="2" t="s">
        <v>4953</v>
      </c>
      <c r="C1510" s="2" t="s">
        <v>4942</v>
      </c>
      <c r="D1510" s="2" t="s">
        <v>3527</v>
      </c>
      <c r="E1510" s="2" t="s">
        <v>4954</v>
      </c>
      <c r="F1510" s="2" t="s">
        <v>4955</v>
      </c>
      <c r="G1510" s="2" t="s">
        <v>751</v>
      </c>
      <c r="H1510" s="7"/>
      <c r="I1510" s="2" t="s">
        <v>9</v>
      </c>
    </row>
    <row r="1511" spans="1:9" ht="39" x14ac:dyDescent="0.3">
      <c r="A1511" s="1" t="str">
        <f>HYPERLINK("https://ipmanager.doe.gov/IPManager//ExternalLink.aspx?6ibkph2k9yi6F%2B0Vz7YoTr7J5I%2BY4foYLEffcp1iW4w%3D","Link")</f>
        <v>Link</v>
      </c>
      <c r="B1511" s="2" t="s">
        <v>4956</v>
      </c>
      <c r="C1511" s="2" t="s">
        <v>4942</v>
      </c>
      <c r="D1511" s="2" t="s">
        <v>3527</v>
      </c>
      <c r="E1511" s="2" t="s">
        <v>4957</v>
      </c>
      <c r="F1511" s="2" t="s">
        <v>4958</v>
      </c>
      <c r="G1511" s="2" t="s">
        <v>751</v>
      </c>
      <c r="H1511" s="7"/>
      <c r="I1511" s="2" t="s">
        <v>9</v>
      </c>
    </row>
    <row r="1512" spans="1:9" ht="130" x14ac:dyDescent="0.3">
      <c r="A1512" s="1" t="str">
        <f>HYPERLINK("https://ipmanager.doe.gov/IPManager//ExternalLink.aspx?6ibkph2k9yi6F%2B0Vz7YoTlNm8snv%2FZpHfbo9Z7%2FDXs4%3D","Link")</f>
        <v>Link</v>
      </c>
      <c r="B1512" s="2" t="s">
        <v>1086</v>
      </c>
      <c r="C1512" s="2" t="s">
        <v>1069</v>
      </c>
      <c r="D1512" s="2" t="s">
        <v>1070</v>
      </c>
      <c r="E1512" s="2" t="s">
        <v>1087</v>
      </c>
      <c r="F1512" s="2" t="s">
        <v>7647</v>
      </c>
      <c r="G1512" s="2" t="s">
        <v>1088</v>
      </c>
      <c r="H1512" s="7"/>
      <c r="I1512" s="2" t="s">
        <v>9</v>
      </c>
    </row>
    <row r="1513" spans="1:9" ht="39" x14ac:dyDescent="0.3">
      <c r="A1513" s="1" t="str">
        <f>HYPERLINK("https://ipmanager.doe.gov/IPManager//ExternalLink.aspx?6ibkph2k9yi6F%2B0Vz7YoTgZwfmYxrNyKaQvy6yzW%2FfI%3D","Link")</f>
        <v>Link</v>
      </c>
      <c r="B1513" s="2" t="s">
        <v>4964</v>
      </c>
      <c r="C1513" s="2" t="s">
        <v>4960</v>
      </c>
      <c r="D1513" s="2" t="s">
        <v>4961</v>
      </c>
      <c r="E1513" s="2" t="s">
        <v>4962</v>
      </c>
      <c r="F1513" s="2"/>
      <c r="G1513" s="2" t="s">
        <v>9</v>
      </c>
      <c r="H1513" s="7"/>
      <c r="I1513" s="2" t="s">
        <v>9</v>
      </c>
    </row>
    <row r="1514" spans="1:9" ht="39" x14ac:dyDescent="0.3">
      <c r="A1514" s="1" t="str">
        <f>HYPERLINK("https://ipmanager.doe.gov/IPManager//ExternalLink.aspx?6ibkph2k9yi6F%2B0Vz7YoTvPUg%2FVZPl3iGnh7P7EbQ1o%3D","Link")</f>
        <v>Link</v>
      </c>
      <c r="B1514" s="2" t="s">
        <v>4965</v>
      </c>
      <c r="C1514" s="2" t="s">
        <v>4966</v>
      </c>
      <c r="D1514" s="2" t="s">
        <v>1775</v>
      </c>
      <c r="E1514" s="2" t="s">
        <v>4967</v>
      </c>
      <c r="F1514" s="2"/>
      <c r="G1514" s="2" t="s">
        <v>9</v>
      </c>
      <c r="H1514" s="7"/>
      <c r="I1514" s="2" t="s">
        <v>9</v>
      </c>
    </row>
    <row r="1515" spans="1:9" ht="26" x14ac:dyDescent="0.3">
      <c r="A1515" s="1" t="str">
        <f>HYPERLINK("https://ipmanager.doe.gov/IPManager//ExternalLink.aspx?6ibkph2k9yi6F%2B0Vz7YoTnXVN2REjGcWY5T0rlg%2Brec%3D","Link")</f>
        <v>Link</v>
      </c>
      <c r="B1515" s="2" t="s">
        <v>4968</v>
      </c>
      <c r="C1515" s="2" t="s">
        <v>4969</v>
      </c>
      <c r="D1515" s="2" t="s">
        <v>2230</v>
      </c>
      <c r="E1515" s="2" t="s">
        <v>4970</v>
      </c>
      <c r="F1515" s="2"/>
      <c r="G1515" s="2" t="s">
        <v>9</v>
      </c>
      <c r="H1515" s="7"/>
      <c r="I1515" s="2" t="s">
        <v>9</v>
      </c>
    </row>
    <row r="1516" spans="1:9" ht="65" x14ac:dyDescent="0.3">
      <c r="A1516" s="1" t="str">
        <f>HYPERLINK("https://ipmanager.doe.gov/IPManager//ExternalLink.aspx?6ibkph2k9yi6F%2B0Vz7YoTlNm8snv%2FZpHyPx4IVaDbnU%3D","Link")</f>
        <v>Link</v>
      </c>
      <c r="B1516" s="2" t="s">
        <v>1095</v>
      </c>
      <c r="C1516" s="2" t="s">
        <v>1069</v>
      </c>
      <c r="D1516" s="2" t="s">
        <v>1070</v>
      </c>
      <c r="E1516" s="2" t="s">
        <v>1096</v>
      </c>
      <c r="F1516" s="2" t="s">
        <v>1112</v>
      </c>
      <c r="G1516" s="2" t="s">
        <v>35</v>
      </c>
      <c r="H1516" s="7"/>
      <c r="I1516" s="2" t="s">
        <v>9</v>
      </c>
    </row>
    <row r="1517" spans="1:9" ht="65" x14ac:dyDescent="0.3">
      <c r="A1517" s="1" t="str">
        <f>HYPERLINK("https://ipmanager.doe.gov/IPManager//ExternalLink.aspx?6ibkph2k9yi6F%2B0Vz7YoTjnDGhmGHGI7%2BlwYCneqMSg%3D","Link")</f>
        <v>Link</v>
      </c>
      <c r="B1517" s="2" t="s">
        <v>1100</v>
      </c>
      <c r="C1517" s="2" t="s">
        <v>1069</v>
      </c>
      <c r="D1517" s="2" t="s">
        <v>1070</v>
      </c>
      <c r="E1517" s="2" t="s">
        <v>1101</v>
      </c>
      <c r="F1517" s="2" t="s">
        <v>1102</v>
      </c>
      <c r="G1517" s="2" t="s">
        <v>484</v>
      </c>
      <c r="H1517" s="7"/>
      <c r="I1517" s="2" t="s">
        <v>9</v>
      </c>
    </row>
    <row r="1518" spans="1:9" ht="65" x14ac:dyDescent="0.3">
      <c r="A1518" s="1" t="str">
        <f>HYPERLINK("https://ipmanager.doe.gov/IPManager//ExternalLink.aspx?6ibkph2k9yi6F%2B0Vz7YoTjnDGhmGHGI73pue9K96nv0%3D","Link")</f>
        <v>Link</v>
      </c>
      <c r="B1518" s="2" t="s">
        <v>1104</v>
      </c>
      <c r="C1518" s="2" t="s">
        <v>1069</v>
      </c>
      <c r="D1518" s="2" t="s">
        <v>1070</v>
      </c>
      <c r="E1518" s="2" t="s">
        <v>1101</v>
      </c>
      <c r="F1518" s="2" t="s">
        <v>1103</v>
      </c>
      <c r="G1518" s="2" t="s">
        <v>1105</v>
      </c>
      <c r="H1518" s="7"/>
      <c r="I1518" s="2" t="s">
        <v>9</v>
      </c>
    </row>
    <row r="1519" spans="1:9" ht="26" x14ac:dyDescent="0.3">
      <c r="A1519" s="1" t="str">
        <f>HYPERLINK("https://ipmanager.doe.gov/IPManager//ExternalLink.aspx?6ibkph2k9yi6F%2B0Vz7YoTjnDGhmGHGI711siW6Rk51M%3D","Link")</f>
        <v>Link</v>
      </c>
      <c r="B1519" s="2" t="s">
        <v>1110</v>
      </c>
      <c r="C1519" s="2" t="s">
        <v>1069</v>
      </c>
      <c r="D1519" s="2" t="s">
        <v>1070</v>
      </c>
      <c r="E1519" s="2" t="s">
        <v>1111</v>
      </c>
      <c r="F1519" s="2" t="s">
        <v>1112</v>
      </c>
      <c r="G1519" s="2" t="s">
        <v>35</v>
      </c>
      <c r="H1519" s="7"/>
      <c r="I1519" s="2" t="s">
        <v>9</v>
      </c>
    </row>
    <row r="1520" spans="1:9" ht="65" x14ac:dyDescent="0.3">
      <c r="A1520" s="1" t="str">
        <f>HYPERLINK("https://ipmanager.doe.gov/IPManager//ExternalLink.aspx?6ibkph2k9yi6F%2B0Vz7YoTjnDGhmGHGI7L2FhDEVwTp0%3D","Link")</f>
        <v>Link</v>
      </c>
      <c r="B1520" s="2" t="s">
        <v>1113</v>
      </c>
      <c r="C1520" s="2" t="s">
        <v>1069</v>
      </c>
      <c r="D1520" s="2" t="s">
        <v>1070</v>
      </c>
      <c r="E1520" s="2" t="s">
        <v>1101</v>
      </c>
      <c r="F1520" s="2" t="s">
        <v>1103</v>
      </c>
      <c r="G1520" s="2" t="s">
        <v>1105</v>
      </c>
      <c r="H1520" s="7"/>
      <c r="I1520" s="2" t="s">
        <v>9</v>
      </c>
    </row>
    <row r="1521" spans="1:9" ht="78" x14ac:dyDescent="0.3">
      <c r="A1521" s="1" t="str">
        <f>HYPERLINK("https://ipmanager.doe.gov/IPManager//ExternalLink.aspx?6ibkph2k9yi6F%2B0Vz7YoTlNm8snv%2FZpHZJq9Yh7SzGc%3D","Link")</f>
        <v>Link</v>
      </c>
      <c r="B1521" s="2" t="s">
        <v>1127</v>
      </c>
      <c r="C1521" s="2" t="s">
        <v>1069</v>
      </c>
      <c r="D1521" s="2" t="s">
        <v>1070</v>
      </c>
      <c r="E1521" s="2" t="s">
        <v>1128</v>
      </c>
      <c r="F1521" s="2" t="s">
        <v>1129</v>
      </c>
      <c r="G1521" s="2" t="s">
        <v>1130</v>
      </c>
      <c r="H1521" s="7"/>
      <c r="I1521" s="2" t="s">
        <v>9</v>
      </c>
    </row>
    <row r="1522" spans="1:9" ht="39" x14ac:dyDescent="0.3">
      <c r="A1522" s="1" t="str">
        <f>HYPERLINK("https://ipmanager.doe.gov/IPManager//ExternalLink.aspx?6ibkph2k9yi6F%2B0Vz7YoTjnDGhmGHGI7qK2LxF7ctnI%3D","Link")</f>
        <v>Link</v>
      </c>
      <c r="B1522" s="2" t="s">
        <v>5229</v>
      </c>
      <c r="C1522" s="2" t="s">
        <v>5230</v>
      </c>
      <c r="D1522" s="2" t="s">
        <v>5231</v>
      </c>
      <c r="E1522" s="2" t="s">
        <v>5232</v>
      </c>
      <c r="F1522" s="2" t="s">
        <v>5233</v>
      </c>
      <c r="G1522" s="2" t="s">
        <v>3721</v>
      </c>
      <c r="H1522" s="7"/>
      <c r="I1522" s="2" t="s">
        <v>9</v>
      </c>
    </row>
    <row r="1523" spans="1:9" ht="39" x14ac:dyDescent="0.3">
      <c r="A1523" s="1" t="str">
        <f>HYPERLINK("https://ipmanager.doe.gov/IPManager//ExternalLink.aspx?6ibkph2k9yi6F%2B0Vz7YoTgZwfmYxrNyK5lE9Me9%2F4uI%3D","Link")</f>
        <v>Link</v>
      </c>
      <c r="B1523" s="2" t="s">
        <v>277</v>
      </c>
      <c r="C1523" s="2" t="s">
        <v>265</v>
      </c>
      <c r="D1523" s="2" t="s">
        <v>266</v>
      </c>
      <c r="E1523" s="2" t="s">
        <v>278</v>
      </c>
      <c r="F1523" s="2" t="s">
        <v>279</v>
      </c>
      <c r="G1523" s="2" t="s">
        <v>280</v>
      </c>
      <c r="H1523" s="7"/>
      <c r="I1523" s="2" t="s">
        <v>9</v>
      </c>
    </row>
    <row r="1524" spans="1:9" ht="52" x14ac:dyDescent="0.3">
      <c r="A1524" s="1" t="str">
        <f>HYPERLINK("https://ipmanager.doe.gov/IPManager//ExternalLink.aspx?6ibkph2k9yi6F%2B0Vz7YoTvE8yjoHgvp6%2FNNhiiBaKWI%3D","Link")</f>
        <v>Link</v>
      </c>
      <c r="B1524" s="2" t="s">
        <v>4995</v>
      </c>
      <c r="C1524" s="2" t="s">
        <v>4985</v>
      </c>
      <c r="D1524" s="2" t="s">
        <v>4986</v>
      </c>
      <c r="E1524" s="2" t="s">
        <v>4996</v>
      </c>
      <c r="F1524" s="2"/>
      <c r="G1524" s="2" t="s">
        <v>9</v>
      </c>
      <c r="H1524" s="7"/>
      <c r="I1524" s="2" t="s">
        <v>9</v>
      </c>
    </row>
    <row r="1525" spans="1:9" ht="39" x14ac:dyDescent="0.3">
      <c r="A1525" s="1" t="str">
        <f>HYPERLINK("https://ipmanager.doe.gov/IPManager//ExternalLink.aspx?6ibkph2k9yi6F%2B0Vz7YoTu0g4zH%2BOsvydYDTwQ4ogT0%3D","Link")</f>
        <v>Link</v>
      </c>
      <c r="B1525" s="2" t="s">
        <v>286</v>
      </c>
      <c r="C1525" s="2" t="s">
        <v>265</v>
      </c>
      <c r="D1525" s="2" t="s">
        <v>266</v>
      </c>
      <c r="E1525" s="2" t="s">
        <v>278</v>
      </c>
      <c r="F1525" s="2" t="s">
        <v>287</v>
      </c>
      <c r="G1525" s="2" t="s">
        <v>288</v>
      </c>
      <c r="H1525" s="7"/>
      <c r="I1525" s="2" t="s">
        <v>9</v>
      </c>
    </row>
    <row r="1526" spans="1:9" ht="39" x14ac:dyDescent="0.3">
      <c r="A1526" s="1" t="str">
        <f>HYPERLINK("https://ipmanager.doe.gov/IPManager//ExternalLink.aspx?6ibkph2k9yi6F%2B0Vz7YoTkqAgjuWMa9QSZGfbu2sRVY%3D","Link")</f>
        <v>Link</v>
      </c>
      <c r="B1526" s="2" t="s">
        <v>289</v>
      </c>
      <c r="C1526" s="2" t="s">
        <v>265</v>
      </c>
      <c r="D1526" s="2" t="s">
        <v>266</v>
      </c>
      <c r="E1526" s="2" t="s">
        <v>282</v>
      </c>
      <c r="F1526" s="2" t="s">
        <v>290</v>
      </c>
      <c r="G1526" s="2" t="s">
        <v>71</v>
      </c>
      <c r="H1526" s="7"/>
      <c r="I1526" s="2" t="s">
        <v>9</v>
      </c>
    </row>
    <row r="1527" spans="1:9" ht="52" x14ac:dyDescent="0.3">
      <c r="A1527" s="1" t="str">
        <f>HYPERLINK("https://ipmanager.doe.gov/IPManager//ExternalLink.aspx?6ibkph2k9yi6F%2B0Vz7YoTjnDGhmGHGI73YpUsP4QN2M%3D","Link")</f>
        <v>Link</v>
      </c>
      <c r="B1527" s="2" t="s">
        <v>5003</v>
      </c>
      <c r="C1527" s="2" t="s">
        <v>5004</v>
      </c>
      <c r="D1527" s="2" t="s">
        <v>5005</v>
      </c>
      <c r="E1527" s="2" t="s">
        <v>5006</v>
      </c>
      <c r="F1527" s="2"/>
      <c r="G1527" s="2" t="s">
        <v>9</v>
      </c>
      <c r="H1527" s="7"/>
      <c r="I1527" s="2" t="s">
        <v>9</v>
      </c>
    </row>
    <row r="1528" spans="1:9" ht="26" x14ac:dyDescent="0.3">
      <c r="A1528" s="1" t="str">
        <f>HYPERLINK("https://ipmanager.doe.gov/IPManager//ExternalLink.aspx?6ibkph2k9yi6F%2B0Vz7YoTjnDGhmGHGI738iZg0YX2cI%3D","Link")</f>
        <v>Link</v>
      </c>
      <c r="B1528" s="2" t="s">
        <v>5007</v>
      </c>
      <c r="C1528" s="2" t="s">
        <v>5008</v>
      </c>
      <c r="D1528" s="2" t="s">
        <v>293</v>
      </c>
      <c r="E1528" s="2" t="s">
        <v>5009</v>
      </c>
      <c r="F1528" s="2"/>
      <c r="G1528" s="2" t="s">
        <v>9</v>
      </c>
      <c r="H1528" s="7"/>
      <c r="I1528" s="2" t="s">
        <v>9</v>
      </c>
    </row>
    <row r="1529" spans="1:9" ht="65" x14ac:dyDescent="0.3">
      <c r="A1529" s="1" t="str">
        <f>HYPERLINK("https://ipmanager.doe.gov/IPManager//ExternalLink.aspx?6ibkph2k9yi6F%2B0Vz7YoTgZwfmYxrNyKxFCG8aevxLM%3D","Link")</f>
        <v>Link</v>
      </c>
      <c r="B1529" s="2" t="s">
        <v>5737</v>
      </c>
      <c r="C1529" s="2" t="s">
        <v>5736</v>
      </c>
      <c r="D1529" s="2" t="s">
        <v>4148</v>
      </c>
      <c r="E1529" s="2" t="s">
        <v>5738</v>
      </c>
      <c r="F1529" s="2" t="s">
        <v>5739</v>
      </c>
      <c r="G1529" s="2" t="s">
        <v>5740</v>
      </c>
      <c r="H1529" s="7"/>
      <c r="I1529" s="2" t="s">
        <v>9</v>
      </c>
    </row>
    <row r="1530" spans="1:9" ht="26" x14ac:dyDescent="0.3">
      <c r="A1530" s="1" t="str">
        <f>HYPERLINK("https://ipmanager.doe.gov/IPManager//ExternalLink.aspx?6ibkph2k9yi6F%2B0Vz7YoTq6RR9BlGHHi4ie%2Br%2FnuwMw%3D","Link")</f>
        <v>Link</v>
      </c>
      <c r="B1530" s="2" t="s">
        <v>5015</v>
      </c>
      <c r="C1530" s="2" t="s">
        <v>5016</v>
      </c>
      <c r="D1530" s="2" t="s">
        <v>3062</v>
      </c>
      <c r="E1530" s="2" t="s">
        <v>5017</v>
      </c>
      <c r="F1530" s="2" t="s">
        <v>5018</v>
      </c>
      <c r="G1530" s="2" t="s">
        <v>2774</v>
      </c>
      <c r="H1530" s="7" t="s">
        <v>5019</v>
      </c>
      <c r="I1530" s="2" t="s">
        <v>352</v>
      </c>
    </row>
    <row r="1531" spans="1:9" ht="52" x14ac:dyDescent="0.3">
      <c r="A1531" s="1" t="str">
        <f>HYPERLINK("https://ipmanager.doe.gov/IPManager//ExternalLink.aspx?6ibkph2k9yi6F%2B0Vz7YoTgZwfmYxrNyK5PjHMl8Epoo%3D","Link")</f>
        <v>Link</v>
      </c>
      <c r="B1531" s="2" t="s">
        <v>5741</v>
      </c>
      <c r="C1531" s="2" t="s">
        <v>5736</v>
      </c>
      <c r="D1531" s="2" t="s">
        <v>4148</v>
      </c>
      <c r="E1531" s="2" t="s">
        <v>5742</v>
      </c>
      <c r="F1531" s="2" t="s">
        <v>5743</v>
      </c>
      <c r="G1531" s="2" t="s">
        <v>5744</v>
      </c>
      <c r="H1531" s="7"/>
      <c r="I1531" s="2" t="s">
        <v>9</v>
      </c>
    </row>
    <row r="1532" spans="1:9" ht="52" x14ac:dyDescent="0.3">
      <c r="A1532" s="1" t="str">
        <f>HYPERLINK("https://ipmanager.doe.gov/IPManager//ExternalLink.aspx?6ibkph2k9yi6F%2B0Vz7YoTnXVN2REjGcWUOUlG%2FUJV8E%3D","Link")</f>
        <v>Link</v>
      </c>
      <c r="B1532" s="2" t="s">
        <v>5746</v>
      </c>
      <c r="C1532" s="2" t="s">
        <v>5736</v>
      </c>
      <c r="D1532" s="2" t="s">
        <v>4148</v>
      </c>
      <c r="E1532" s="2" t="s">
        <v>5742</v>
      </c>
      <c r="F1532" s="2" t="s">
        <v>5745</v>
      </c>
      <c r="G1532" s="2" t="s">
        <v>4320</v>
      </c>
      <c r="H1532" s="7"/>
      <c r="I1532" s="2" t="s">
        <v>9</v>
      </c>
    </row>
    <row r="1533" spans="1:9" ht="65" x14ac:dyDescent="0.3">
      <c r="A1533" s="1" t="str">
        <f>HYPERLINK("https://ipmanager.doe.gov/IPManager//ExternalLink.aspx?6ibkph2k9yi6F%2B0Vz7YoTvPUg%2FVZPl3ijPr64j5gGxY%3D","Link")</f>
        <v>Link</v>
      </c>
      <c r="B1533" s="2" t="s">
        <v>5747</v>
      </c>
      <c r="C1533" s="2" t="s">
        <v>5736</v>
      </c>
      <c r="D1533" s="2" t="s">
        <v>4148</v>
      </c>
      <c r="E1533" s="2" t="s">
        <v>5738</v>
      </c>
      <c r="F1533" s="2" t="s">
        <v>5748</v>
      </c>
      <c r="G1533" s="2" t="s">
        <v>5740</v>
      </c>
      <c r="H1533" s="7"/>
      <c r="I1533" s="2" t="s">
        <v>9</v>
      </c>
    </row>
    <row r="1534" spans="1:9" ht="52" x14ac:dyDescent="0.3">
      <c r="A1534" s="1" t="str">
        <f>HYPERLINK("https://ipmanager.doe.gov/IPManager//ExternalLink.aspx?6ibkph2k9yi6F%2B0Vz7YoTq6RR9BlGHHimi2fqCyTvAc%3D","Link")</f>
        <v>Link</v>
      </c>
      <c r="B1534" s="2" t="s">
        <v>5749</v>
      </c>
      <c r="C1534" s="2" t="s">
        <v>5736</v>
      </c>
      <c r="D1534" s="2" t="s">
        <v>4148</v>
      </c>
      <c r="E1534" s="2" t="s">
        <v>5750</v>
      </c>
      <c r="F1534" s="2" t="s">
        <v>5751</v>
      </c>
      <c r="G1534" s="2" t="s">
        <v>2837</v>
      </c>
      <c r="H1534" s="7"/>
      <c r="I1534" s="2" t="s">
        <v>9</v>
      </c>
    </row>
    <row r="1535" spans="1:9" ht="52" x14ac:dyDescent="0.3">
      <c r="A1535" s="1" t="str">
        <f>HYPERLINK("https://ipmanager.doe.gov/IPManager//ExternalLink.aspx?6ibkph2k9yi6F%2B0Vz7YoTsTAnuFk5EoAGWyG7s63OW8%3D","Link")</f>
        <v>Link</v>
      </c>
      <c r="B1535" s="2" t="s">
        <v>5753</v>
      </c>
      <c r="C1535" s="2" t="s">
        <v>5736</v>
      </c>
      <c r="D1535" s="2" t="s">
        <v>4148</v>
      </c>
      <c r="E1535" s="2" t="s">
        <v>5750</v>
      </c>
      <c r="F1535" s="2" t="s">
        <v>5752</v>
      </c>
      <c r="G1535" s="2" t="s">
        <v>5096</v>
      </c>
      <c r="H1535" s="7"/>
      <c r="I1535" s="2" t="s">
        <v>9</v>
      </c>
    </row>
    <row r="1536" spans="1:9" ht="39" x14ac:dyDescent="0.3">
      <c r="A1536" s="1" t="str">
        <f>HYPERLINK("https://ipmanager.doe.gov/IPManager//ExternalLink.aspx?6ibkph2k9yi6F%2B0Vz7YoTkqAgjuWMa9QYrgpD4D1aXw%3D","Link")</f>
        <v>Link</v>
      </c>
      <c r="B1536" s="2" t="s">
        <v>5037</v>
      </c>
      <c r="C1536" s="2" t="s">
        <v>5021</v>
      </c>
      <c r="D1536" s="2" t="s">
        <v>2230</v>
      </c>
      <c r="E1536" s="2" t="s">
        <v>5038</v>
      </c>
      <c r="F1536" s="2"/>
      <c r="G1536" s="2" t="s">
        <v>9</v>
      </c>
      <c r="H1536" s="7"/>
      <c r="I1536" s="2" t="s">
        <v>9</v>
      </c>
    </row>
    <row r="1537" spans="1:9" ht="39" x14ac:dyDescent="0.3">
      <c r="A1537" s="1" t="str">
        <f>HYPERLINK("https://ipmanager.doe.gov/IPManager//ExternalLink.aspx?6ibkph2k9yi6F%2B0Vz7YoTo7DPLa3%2F%2FGgEAweWBJQ%2FJQ%3D","Link")</f>
        <v>Link</v>
      </c>
      <c r="B1537" s="2" t="s">
        <v>5039</v>
      </c>
      <c r="C1537" s="2" t="s">
        <v>5021</v>
      </c>
      <c r="D1537" s="2" t="s">
        <v>2230</v>
      </c>
      <c r="E1537" s="2" t="s">
        <v>5040</v>
      </c>
      <c r="F1537" s="2"/>
      <c r="G1537" s="2" t="s">
        <v>9</v>
      </c>
      <c r="H1537" s="7"/>
      <c r="I1537" s="2" t="s">
        <v>9</v>
      </c>
    </row>
    <row r="1538" spans="1:9" ht="39" x14ac:dyDescent="0.3">
      <c r="A1538" s="1" t="str">
        <f>HYPERLINK("https://ipmanager.doe.gov/IPManager//ExternalLink.aspx?6ibkph2k9yi6F%2B0Vz7YoTvPUg%2FVZPl3iRA5u2bysgMY%3D","Link")</f>
        <v>Link</v>
      </c>
      <c r="B1538" s="2" t="s">
        <v>6391</v>
      </c>
      <c r="C1538" s="2" t="s">
        <v>6383</v>
      </c>
      <c r="D1538" s="2" t="s">
        <v>4148</v>
      </c>
      <c r="E1538" s="2" t="s">
        <v>6392</v>
      </c>
      <c r="F1538" s="2" t="s">
        <v>6393</v>
      </c>
      <c r="G1538" s="2" t="s">
        <v>6394</v>
      </c>
      <c r="H1538" s="7"/>
      <c r="I1538" s="2" t="s">
        <v>9</v>
      </c>
    </row>
    <row r="1539" spans="1:9" ht="52" x14ac:dyDescent="0.3">
      <c r="A1539" s="1" t="str">
        <f>HYPERLINK("https://ipmanager.doe.gov/IPManager//ExternalLink.aspx?6ibkph2k9yi6F%2B0Vz7YoTgZwfmYxrNyKwUpH02tvunE%3D","Link")</f>
        <v>Link</v>
      </c>
      <c r="B1539" s="2" t="s">
        <v>5048</v>
      </c>
      <c r="C1539" s="2" t="s">
        <v>5049</v>
      </c>
      <c r="D1539" s="2" t="s">
        <v>5050</v>
      </c>
      <c r="E1539" s="2" t="s">
        <v>5051</v>
      </c>
      <c r="F1539" s="2"/>
      <c r="G1539" s="2" t="s">
        <v>9</v>
      </c>
      <c r="H1539" s="7"/>
      <c r="I1539" s="2" t="s">
        <v>9</v>
      </c>
    </row>
    <row r="1540" spans="1:9" ht="39" x14ac:dyDescent="0.3">
      <c r="A1540" s="1" t="str">
        <f>HYPERLINK("https://ipmanager.doe.gov/IPManager//ExternalLink.aspx?6ibkph2k9yi6F%2B0Vz7YoTvPUg%2FVZPl3iEZb8g3EasRE%3D","Link")</f>
        <v>Link</v>
      </c>
      <c r="B1540" s="2" t="s">
        <v>6398</v>
      </c>
      <c r="C1540" s="2" t="s">
        <v>6383</v>
      </c>
      <c r="D1540" s="2" t="s">
        <v>4148</v>
      </c>
      <c r="E1540" s="2" t="s">
        <v>6399</v>
      </c>
      <c r="F1540" s="2" t="s">
        <v>6400</v>
      </c>
      <c r="G1540" s="2" t="s">
        <v>3113</v>
      </c>
      <c r="H1540" s="7"/>
      <c r="I1540" s="2" t="s">
        <v>9</v>
      </c>
    </row>
    <row r="1541" spans="1:9" ht="39" x14ac:dyDescent="0.3">
      <c r="A1541" s="1" t="str">
        <f>HYPERLINK("https://ipmanager.doe.gov/IPManager//ExternalLink.aspx?6ibkph2k9yi6F%2B0Vz7YoTvPUg%2FVZPl3i03jFFObqQ%2FQ%3D","Link")</f>
        <v>Link</v>
      </c>
      <c r="B1541" s="2" t="s">
        <v>6401</v>
      </c>
      <c r="C1541" s="2" t="s">
        <v>6383</v>
      </c>
      <c r="D1541" s="2" t="s">
        <v>4148</v>
      </c>
      <c r="E1541" s="2" t="s">
        <v>6399</v>
      </c>
      <c r="F1541" s="2" t="s">
        <v>6402</v>
      </c>
      <c r="G1541" s="2" t="s">
        <v>3113</v>
      </c>
      <c r="H1541" s="7"/>
      <c r="I1541" s="2" t="s">
        <v>9</v>
      </c>
    </row>
    <row r="1542" spans="1:9" ht="39" x14ac:dyDescent="0.3">
      <c r="A1542" s="1" t="str">
        <f>HYPERLINK("https://ipmanager.doe.gov/IPManager//ExternalLink.aspx?6ibkph2k9yi6F%2B0Vz7YoTjnDGhmGHGI7wZOQPMW8n5I%3D","Link")</f>
        <v>Link</v>
      </c>
      <c r="B1542" s="2" t="s">
        <v>5062</v>
      </c>
      <c r="C1542" s="2" t="s">
        <v>5063</v>
      </c>
      <c r="D1542" s="2" t="s">
        <v>5064</v>
      </c>
      <c r="E1542" s="2" t="s">
        <v>5065</v>
      </c>
      <c r="F1542" s="2"/>
      <c r="G1542" s="2" t="s">
        <v>9</v>
      </c>
      <c r="H1542" s="7"/>
      <c r="I1542" s="2" t="s">
        <v>9</v>
      </c>
    </row>
    <row r="1543" spans="1:9" ht="39" x14ac:dyDescent="0.3">
      <c r="A1543" s="1" t="str">
        <f>HYPERLINK("https://ipmanager.doe.gov/IPManager//ExternalLink.aspx?6ibkph2k9yi6F%2B0Vz7YoThEBhkR3uHVrN%2FUtRst%2BHVs%3D","Link")</f>
        <v>Link</v>
      </c>
      <c r="B1543" s="2" t="s">
        <v>6403</v>
      </c>
      <c r="C1543" s="2" t="s">
        <v>6383</v>
      </c>
      <c r="D1543" s="2" t="s">
        <v>4148</v>
      </c>
      <c r="E1543" s="2" t="s">
        <v>6399</v>
      </c>
      <c r="F1543" s="2" t="s">
        <v>6404</v>
      </c>
      <c r="G1543" s="2" t="s">
        <v>288</v>
      </c>
      <c r="H1543" s="7"/>
      <c r="I1543" s="2" t="s">
        <v>9</v>
      </c>
    </row>
    <row r="1544" spans="1:9" ht="39" x14ac:dyDescent="0.3">
      <c r="A1544" s="1" t="str">
        <f>HYPERLINK("https://ipmanager.doe.gov/IPManager//ExternalLink.aspx?6ibkph2k9yi6F%2B0Vz7YoTsTAnuFk5EoAp7yROrz514s%3D","Link")</f>
        <v>Link</v>
      </c>
      <c r="B1544" s="2" t="s">
        <v>5728</v>
      </c>
      <c r="C1544" s="2" t="s">
        <v>5719</v>
      </c>
      <c r="D1544" s="2" t="s">
        <v>3094</v>
      </c>
      <c r="E1544" s="2" t="s">
        <v>5729</v>
      </c>
      <c r="F1544" s="2" t="s">
        <v>5730</v>
      </c>
      <c r="G1544" s="2" t="s">
        <v>5061</v>
      </c>
      <c r="H1544" s="7"/>
      <c r="I1544" s="2" t="s">
        <v>9</v>
      </c>
    </row>
    <row r="1545" spans="1:9" ht="39" x14ac:dyDescent="0.3">
      <c r="A1545" s="1" t="str">
        <f>HYPERLINK("https://ipmanager.doe.gov/IPManager//ExternalLink.aspx?6ibkph2k9yi6F%2B0Vz7YoTsTAnuFk5EoAv4zBHeWneLs%3D","Link")</f>
        <v>Link</v>
      </c>
      <c r="B1545" s="2" t="s">
        <v>5073</v>
      </c>
      <c r="C1545" s="2" t="s">
        <v>5063</v>
      </c>
      <c r="D1545" s="2" t="s">
        <v>5074</v>
      </c>
      <c r="E1545" s="2" t="s">
        <v>5075</v>
      </c>
      <c r="F1545" s="2" t="s">
        <v>5076</v>
      </c>
      <c r="G1545" s="2" t="s">
        <v>5077</v>
      </c>
      <c r="H1545" s="8">
        <v>10184138</v>
      </c>
      <c r="I1545" s="2" t="s">
        <v>5078</v>
      </c>
    </row>
    <row r="1546" spans="1:9" ht="26" x14ac:dyDescent="0.3">
      <c r="A1546" s="1" t="str">
        <f>HYPERLINK("https://ipmanager.doe.gov/IPManager//ExternalLink.aspx?6ibkph2k9yi6F%2B0Vz7YoTo7DPLa3%2F%2FGg%2BLcWlMeQabs%3D","Link")</f>
        <v>Link</v>
      </c>
      <c r="B1546" s="2" t="s">
        <v>5079</v>
      </c>
      <c r="C1546" s="2" t="s">
        <v>5063</v>
      </c>
      <c r="D1546" s="2" t="s">
        <v>5064</v>
      </c>
      <c r="E1546" s="2" t="s">
        <v>5080</v>
      </c>
      <c r="F1546" s="2"/>
      <c r="G1546" s="2" t="s">
        <v>9</v>
      </c>
      <c r="H1546" s="7"/>
      <c r="I1546" s="2" t="s">
        <v>9</v>
      </c>
    </row>
    <row r="1547" spans="1:9" ht="52" x14ac:dyDescent="0.3">
      <c r="A1547" s="1" t="str">
        <f>HYPERLINK("https://ipmanager.doe.gov/IPManager//ExternalLink.aspx?6ibkph2k9yi6F%2B0Vz7YoTjnDGhmGHGI7e%2Bb%2BcsqvT5U%3D","Link")</f>
        <v>Link</v>
      </c>
      <c r="B1547" s="2" t="s">
        <v>5082</v>
      </c>
      <c r="C1547" s="2" t="s">
        <v>5083</v>
      </c>
      <c r="D1547" s="2" t="s">
        <v>1318</v>
      </c>
      <c r="E1547" s="2" t="s">
        <v>5084</v>
      </c>
      <c r="F1547" s="2"/>
      <c r="G1547" s="2" t="s">
        <v>9</v>
      </c>
      <c r="H1547" s="7"/>
      <c r="I1547" s="2" t="s">
        <v>9</v>
      </c>
    </row>
    <row r="1548" spans="1:9" ht="26" x14ac:dyDescent="0.3">
      <c r="A1548" s="1" t="str">
        <f>HYPERLINK("https://ipmanager.doe.gov/IPManager//ExternalLink.aspx?6ibkph2k9yi6F%2B0Vz7YoThEBhkR3uHVrJSw3je4ji48%3D","Link")</f>
        <v>Link</v>
      </c>
      <c r="B1548" s="2" t="s">
        <v>5085</v>
      </c>
      <c r="C1548" s="2" t="s">
        <v>5083</v>
      </c>
      <c r="D1548" s="2" t="s">
        <v>1318</v>
      </c>
      <c r="E1548" s="2" t="s">
        <v>5086</v>
      </c>
      <c r="F1548" s="2"/>
      <c r="G1548" s="2" t="s">
        <v>9</v>
      </c>
      <c r="H1548" s="7"/>
      <c r="I1548" s="2" t="s">
        <v>9</v>
      </c>
    </row>
    <row r="1549" spans="1:9" ht="52" x14ac:dyDescent="0.3">
      <c r="A1549" s="1" t="str">
        <f>HYPERLINK("https://ipmanager.doe.gov/IPManager//ExternalLink.aspx?6ibkph2k9yi6F%2B0Vz7YoTgZwfmYxrNyKhQTe0qqwVco%3D","Link")</f>
        <v>Link</v>
      </c>
      <c r="B1549" s="2" t="s">
        <v>5087</v>
      </c>
      <c r="C1549" s="2" t="s">
        <v>5083</v>
      </c>
      <c r="D1549" s="2" t="s">
        <v>1318</v>
      </c>
      <c r="E1549" s="2" t="s">
        <v>5088</v>
      </c>
      <c r="F1549" s="2" t="s">
        <v>7648</v>
      </c>
      <c r="G1549" s="2" t="s">
        <v>5089</v>
      </c>
      <c r="H1549" s="8">
        <v>10266831</v>
      </c>
      <c r="I1549" s="2" t="s">
        <v>5090</v>
      </c>
    </row>
    <row r="1550" spans="1:9" ht="52" x14ac:dyDescent="0.3">
      <c r="A1550" s="1" t="str">
        <f>HYPERLINK("https://ipmanager.doe.gov/IPManager//ExternalLink.aspx?6ibkph2k9yi6F%2B0Vz7YoTjnDGhmGHGI7y369QvZybXw%3D","Link")</f>
        <v>Link</v>
      </c>
      <c r="B1550" s="2" t="s">
        <v>5091</v>
      </c>
      <c r="C1550" s="2" t="s">
        <v>5083</v>
      </c>
      <c r="D1550" s="2" t="s">
        <v>1318</v>
      </c>
      <c r="E1550" s="2" t="s">
        <v>5088</v>
      </c>
      <c r="F1550" s="2" t="s">
        <v>5092</v>
      </c>
      <c r="G1550" s="2" t="s">
        <v>5093</v>
      </c>
      <c r="H1550" s="8">
        <v>9518278</v>
      </c>
      <c r="I1550" s="2" t="s">
        <v>3996</v>
      </c>
    </row>
    <row r="1551" spans="1:9" ht="52" x14ac:dyDescent="0.3">
      <c r="A1551" s="1" t="str">
        <f>HYPERLINK("https://ipmanager.doe.gov/IPManager//ExternalLink.aspx?6ibkph2k9yi6F%2B0Vz7YoTvPUg%2FVZPl3iUwMNQ30obKw%3D","Link")</f>
        <v>Link</v>
      </c>
      <c r="B1551" s="2" t="s">
        <v>5094</v>
      </c>
      <c r="C1551" s="2" t="s">
        <v>5083</v>
      </c>
      <c r="D1551" s="2" t="s">
        <v>1318</v>
      </c>
      <c r="E1551" s="2" t="s">
        <v>5088</v>
      </c>
      <c r="F1551" s="2" t="s">
        <v>5095</v>
      </c>
      <c r="G1551" s="2" t="s">
        <v>1289</v>
      </c>
      <c r="H1551" s="8">
        <v>10006033</v>
      </c>
      <c r="I1551" s="2" t="s">
        <v>5096</v>
      </c>
    </row>
    <row r="1552" spans="1:9" ht="26" x14ac:dyDescent="0.3">
      <c r="A1552" s="1" t="str">
        <f>HYPERLINK("https://ipmanager.doe.gov/IPManager//ExternalLink.aspx?6ibkph2k9yi6F%2B0Vz7YoTjnDGhmGHGI7SUzkIfw1bHM%3D","Link")</f>
        <v>Link</v>
      </c>
      <c r="B1552" s="2" t="s">
        <v>5097</v>
      </c>
      <c r="C1552" s="2" t="s">
        <v>5098</v>
      </c>
      <c r="D1552" s="2" t="s">
        <v>1891</v>
      </c>
      <c r="E1552" s="2" t="s">
        <v>5099</v>
      </c>
      <c r="F1552" s="2"/>
      <c r="G1552" s="2" t="s">
        <v>9</v>
      </c>
      <c r="H1552" s="7"/>
      <c r="I1552" s="2" t="s">
        <v>9</v>
      </c>
    </row>
    <row r="1553" spans="1:9" ht="39" x14ac:dyDescent="0.3">
      <c r="A1553" s="1" t="str">
        <f>HYPERLINK("https://ipmanager.doe.gov/IPManager//ExternalLink.aspx?6ibkph2k9yi6F%2B0Vz7YoTjnDGhmGHGI7oiyU1Z2HK%2Bs%3D","Link")</f>
        <v>Link</v>
      </c>
      <c r="B1553" s="2" t="s">
        <v>5100</v>
      </c>
      <c r="C1553" s="2" t="s">
        <v>5098</v>
      </c>
      <c r="D1553" s="2" t="s">
        <v>1891</v>
      </c>
      <c r="E1553" s="2" t="s">
        <v>5101</v>
      </c>
      <c r="F1553" s="2"/>
      <c r="G1553" s="2" t="s">
        <v>9</v>
      </c>
      <c r="H1553" s="7"/>
      <c r="I1553" s="2" t="s">
        <v>9</v>
      </c>
    </row>
    <row r="1554" spans="1:9" ht="39" x14ac:dyDescent="0.3">
      <c r="A1554" s="1" t="str">
        <f>HYPERLINK("https://ipmanager.doe.gov/IPManager//ExternalLink.aspx?6ibkph2k9yi6F%2B0Vz7YoTvPUg%2FVZPl3ip8eWNM1Paww%3D","Link")</f>
        <v>Link</v>
      </c>
      <c r="B1554" s="2" t="s">
        <v>6554</v>
      </c>
      <c r="C1554" s="2" t="s">
        <v>6548</v>
      </c>
      <c r="D1554" s="2" t="s">
        <v>6555</v>
      </c>
      <c r="E1554" s="2" t="s">
        <v>6556</v>
      </c>
      <c r="F1554" s="2" t="s">
        <v>6557</v>
      </c>
      <c r="G1554" s="2" t="s">
        <v>6558</v>
      </c>
      <c r="H1554" s="7"/>
      <c r="I1554" s="2" t="s">
        <v>9</v>
      </c>
    </row>
    <row r="1555" spans="1:9" ht="52" x14ac:dyDescent="0.3">
      <c r="A1555" s="1" t="str">
        <f>HYPERLINK("https://ipmanager.doe.gov/IPManager//ExternalLink.aspx?6ibkph2k9yi6F%2B0Vz7YoThEBhkR3uHVrq1WUqGGdd1Q%3D","Link")</f>
        <v>Link</v>
      </c>
      <c r="B1555" s="2" t="s">
        <v>6562</v>
      </c>
      <c r="C1555" s="2" t="s">
        <v>6548</v>
      </c>
      <c r="D1555" s="2" t="s">
        <v>6555</v>
      </c>
      <c r="E1555" s="2" t="s">
        <v>6563</v>
      </c>
      <c r="F1555" s="2" t="s">
        <v>6564</v>
      </c>
      <c r="G1555" s="2" t="s">
        <v>4798</v>
      </c>
      <c r="H1555" s="7"/>
      <c r="I1555" s="2" t="s">
        <v>9</v>
      </c>
    </row>
    <row r="1556" spans="1:9" ht="39" x14ac:dyDescent="0.3">
      <c r="A1556" s="1" t="str">
        <f>HYPERLINK("https://ipmanager.doe.gov/IPManager//ExternalLink.aspx?6ibkph2k9yi6F%2B0Vz7YoTvE8yjoHgvp6SLHsPx2R3%2B8%3D","Link")</f>
        <v>Link</v>
      </c>
      <c r="B1556" s="2" t="s">
        <v>6567</v>
      </c>
      <c r="C1556" s="2" t="s">
        <v>6548</v>
      </c>
      <c r="D1556" s="2" t="s">
        <v>6555</v>
      </c>
      <c r="E1556" s="2" t="s">
        <v>6568</v>
      </c>
      <c r="F1556" s="2" t="s">
        <v>6569</v>
      </c>
      <c r="G1556" s="2" t="s">
        <v>6570</v>
      </c>
      <c r="H1556" s="7"/>
      <c r="I1556" s="2" t="s">
        <v>9</v>
      </c>
    </row>
    <row r="1557" spans="1:9" ht="52" x14ac:dyDescent="0.3">
      <c r="A1557" s="1" t="str">
        <f>HYPERLINK("https://ipmanager.doe.gov/IPManager//ExternalLink.aspx?6ibkph2k9yi6F%2B0Vz7YoTvPUg%2FVZPl3iqWx8RbVG1gI%3D","Link")</f>
        <v>Link</v>
      </c>
      <c r="B1557" s="2" t="s">
        <v>5112</v>
      </c>
      <c r="C1557" s="2" t="s">
        <v>5113</v>
      </c>
      <c r="D1557" s="2" t="s">
        <v>95</v>
      </c>
      <c r="E1557" s="2" t="s">
        <v>5114</v>
      </c>
      <c r="F1557" s="2"/>
      <c r="G1557" s="2" t="s">
        <v>9</v>
      </c>
      <c r="H1557" s="7"/>
      <c r="I1557" s="2" t="s">
        <v>9</v>
      </c>
    </row>
    <row r="1558" spans="1:9" ht="65" x14ac:dyDescent="0.3">
      <c r="A1558" s="1" t="str">
        <f>HYPERLINK("https://ipmanager.doe.gov/IPManager//ExternalLink.aspx?6ibkph2k9yi6F%2B0Vz7YoTo7DPLa3%2F%2FGgs%2FA%2FuQCeOLA%3D","Link")</f>
        <v>Link</v>
      </c>
      <c r="B1558" s="2" t="s">
        <v>5115</v>
      </c>
      <c r="C1558" s="2" t="s">
        <v>5113</v>
      </c>
      <c r="D1558" s="2" t="s">
        <v>95</v>
      </c>
      <c r="E1558" s="2" t="s">
        <v>5116</v>
      </c>
      <c r="F1558" s="2"/>
      <c r="G1558" s="2" t="s">
        <v>9</v>
      </c>
      <c r="H1558" s="7"/>
      <c r="I1558" s="2" t="s">
        <v>9</v>
      </c>
    </row>
    <row r="1559" spans="1:9" ht="65" x14ac:dyDescent="0.3">
      <c r="A1559" s="1" t="str">
        <f>HYPERLINK("https://ipmanager.doe.gov/IPManager//ExternalLink.aspx?6ibkph2k9yi6F%2B0Vz7YoTo7DPLa3%2F%2FGgmuli%2F6pkptc%3D","Link")</f>
        <v>Link</v>
      </c>
      <c r="B1559" s="2" t="s">
        <v>5117</v>
      </c>
      <c r="C1559" s="2" t="s">
        <v>5113</v>
      </c>
      <c r="D1559" s="2" t="s">
        <v>95</v>
      </c>
      <c r="E1559" s="2" t="s">
        <v>5118</v>
      </c>
      <c r="F1559" s="2"/>
      <c r="G1559" s="2" t="s">
        <v>9</v>
      </c>
      <c r="H1559" s="7"/>
      <c r="I1559" s="2" t="s">
        <v>9</v>
      </c>
    </row>
    <row r="1560" spans="1:9" ht="39" x14ac:dyDescent="0.3">
      <c r="A1560" s="1" t="str">
        <f>HYPERLINK("https://ipmanager.doe.gov/IPManager//ExternalLink.aspx?6ibkph2k9yi6F%2B0Vz7YoTvE8yjoHgvp6zeAZan9IREU%3D","Link")</f>
        <v>Link</v>
      </c>
      <c r="B1560" s="2" t="s">
        <v>6572</v>
      </c>
      <c r="C1560" s="2" t="s">
        <v>6548</v>
      </c>
      <c r="D1560" s="2" t="s">
        <v>6555</v>
      </c>
      <c r="E1560" s="2" t="s">
        <v>6556</v>
      </c>
      <c r="F1560" s="2" t="s">
        <v>6559</v>
      </c>
      <c r="G1560" s="2" t="s">
        <v>6573</v>
      </c>
      <c r="H1560" s="7"/>
      <c r="I1560" s="2" t="s">
        <v>9</v>
      </c>
    </row>
    <row r="1561" spans="1:9" ht="65" x14ac:dyDescent="0.3">
      <c r="A1561" s="1" t="str">
        <f>HYPERLINK("https://ipmanager.doe.gov/IPManager//ExternalLink.aspx?6ibkph2k9yi6F%2B0Vz7YoTo7DPLa3%2F%2FGgtxVbMpWWW1E%3D","Link")</f>
        <v>Link</v>
      </c>
      <c r="B1561" s="2" t="s">
        <v>5123</v>
      </c>
      <c r="C1561" s="2" t="s">
        <v>5113</v>
      </c>
      <c r="D1561" s="2" t="s">
        <v>95</v>
      </c>
      <c r="E1561" s="2" t="s">
        <v>5116</v>
      </c>
      <c r="F1561" s="2"/>
      <c r="G1561" s="2" t="s">
        <v>9</v>
      </c>
      <c r="H1561" s="7"/>
      <c r="I1561" s="2" t="s">
        <v>9</v>
      </c>
    </row>
    <row r="1562" spans="1:9" ht="65" x14ac:dyDescent="0.3">
      <c r="A1562" s="1" t="str">
        <f>HYPERLINK("https://ipmanager.doe.gov/IPManager//ExternalLink.aspx?6ibkph2k9yi6F%2B0Vz7YoTipZ798QK%2BbPU7E4lJm1SG4%3D","Link")</f>
        <v>Link</v>
      </c>
      <c r="B1562" s="2" t="s">
        <v>5124</v>
      </c>
      <c r="C1562" s="2" t="s">
        <v>5113</v>
      </c>
      <c r="D1562" s="2" t="s">
        <v>2957</v>
      </c>
      <c r="E1562" s="2" t="s">
        <v>5116</v>
      </c>
      <c r="F1562" s="2"/>
      <c r="G1562" s="2" t="s">
        <v>9</v>
      </c>
      <c r="H1562" s="7"/>
      <c r="I1562" s="2" t="s">
        <v>9</v>
      </c>
    </row>
    <row r="1563" spans="1:9" ht="39" x14ac:dyDescent="0.3">
      <c r="A1563" s="1" t="str">
        <f>HYPERLINK("https://ipmanager.doe.gov/IPManager//ExternalLink.aspx?6ibkph2k9yi6F%2B0Vz7YoTgZwfmYxrNyKQb6GJ9LIHsY%3D","Link")</f>
        <v>Link</v>
      </c>
      <c r="B1563" s="2" t="s">
        <v>5125</v>
      </c>
      <c r="C1563" s="2" t="s">
        <v>5113</v>
      </c>
      <c r="D1563" s="2" t="s">
        <v>95</v>
      </c>
      <c r="E1563" s="2" t="s">
        <v>5126</v>
      </c>
      <c r="F1563" s="2"/>
      <c r="G1563" s="2" t="s">
        <v>9</v>
      </c>
      <c r="H1563" s="7"/>
      <c r="I1563" s="2" t="s">
        <v>9</v>
      </c>
    </row>
    <row r="1564" spans="1:9" ht="39" x14ac:dyDescent="0.3">
      <c r="A1564" s="1" t="str">
        <f>HYPERLINK("https://ipmanager.doe.gov/IPManager//ExternalLink.aspx?6ibkph2k9yi6F%2B0Vz7YoTgZwfmYxrNyK1YsGTJEBiHk%3D","Link")</f>
        <v>Link</v>
      </c>
      <c r="B1564" s="2" t="s">
        <v>5127</v>
      </c>
      <c r="C1564" s="2" t="s">
        <v>5113</v>
      </c>
      <c r="D1564" s="2" t="s">
        <v>95</v>
      </c>
      <c r="E1564" s="2" t="s">
        <v>5128</v>
      </c>
      <c r="F1564" s="2" t="s">
        <v>5129</v>
      </c>
      <c r="G1564" s="2" t="s">
        <v>1477</v>
      </c>
      <c r="H1564" s="7"/>
      <c r="I1564" s="2" t="s">
        <v>9</v>
      </c>
    </row>
    <row r="1565" spans="1:9" ht="52" x14ac:dyDescent="0.3">
      <c r="A1565" s="1" t="str">
        <f>HYPERLINK("https://ipmanager.doe.gov/IPManager//ExternalLink.aspx?6ibkph2k9yi6F%2B0Vz7YoTgZwfmYxrNyKM1RVoIPROJY%3D","Link")</f>
        <v>Link</v>
      </c>
      <c r="B1565" s="2" t="s">
        <v>6577</v>
      </c>
      <c r="C1565" s="2" t="s">
        <v>6548</v>
      </c>
      <c r="D1565" s="2" t="s">
        <v>6555</v>
      </c>
      <c r="E1565" s="2" t="s">
        <v>6563</v>
      </c>
      <c r="F1565" s="2" t="s">
        <v>6565</v>
      </c>
      <c r="G1565" s="2" t="s">
        <v>6578</v>
      </c>
      <c r="H1565" s="7"/>
      <c r="I1565" s="2" t="s">
        <v>9</v>
      </c>
    </row>
    <row r="1566" spans="1:9" ht="39" x14ac:dyDescent="0.3">
      <c r="A1566" s="1" t="str">
        <f>HYPERLINK("https://ipmanager.doe.gov/IPManager//ExternalLink.aspx?6ibkph2k9yi6F%2B0Vz7YoTp68px7nSN2g5MtaCDjuzxQ%3D","Link")</f>
        <v>Link</v>
      </c>
      <c r="B1566" s="2" t="s">
        <v>6579</v>
      </c>
      <c r="C1566" s="2" t="s">
        <v>6548</v>
      </c>
      <c r="D1566" s="2" t="s">
        <v>6555</v>
      </c>
      <c r="E1566" s="2" t="s">
        <v>6580</v>
      </c>
      <c r="F1566" s="2" t="s">
        <v>6581</v>
      </c>
      <c r="G1566" s="2" t="s">
        <v>1271</v>
      </c>
      <c r="H1566" s="7"/>
      <c r="I1566" s="2" t="s">
        <v>9</v>
      </c>
    </row>
    <row r="1567" spans="1:9" ht="52" x14ac:dyDescent="0.3">
      <c r="A1567" s="1" t="str">
        <f>HYPERLINK("https://ipmanager.doe.gov/IPManager//ExternalLink.aspx?6ibkph2k9yi6F%2B0Vz7YoTp68px7nSN2gKmzB6iveRqU%3D","Link")</f>
        <v>Link</v>
      </c>
      <c r="B1567" s="2" t="s">
        <v>6547</v>
      </c>
      <c r="C1567" s="2" t="s">
        <v>6548</v>
      </c>
      <c r="D1567" s="2" t="s">
        <v>6549</v>
      </c>
      <c r="E1567" s="2" t="s">
        <v>6550</v>
      </c>
      <c r="F1567" s="2" t="s">
        <v>6551</v>
      </c>
      <c r="G1567" s="2" t="s">
        <v>6552</v>
      </c>
      <c r="H1567" s="7"/>
      <c r="I1567" s="2" t="s">
        <v>9</v>
      </c>
    </row>
    <row r="1568" spans="1:9" ht="52" x14ac:dyDescent="0.3">
      <c r="A1568" s="1" t="str">
        <f>HYPERLINK("https://ipmanager.doe.gov/IPManager//ExternalLink.aspx?6ibkph2k9yi6F%2B0Vz7YoTo7DPLa3%2F%2FGgtMqhtJMSpOc%3D","Link")</f>
        <v>Link</v>
      </c>
      <c r="B1568" s="2" t="s">
        <v>6560</v>
      </c>
      <c r="C1568" s="2" t="s">
        <v>6548</v>
      </c>
      <c r="D1568" s="2" t="s">
        <v>6549</v>
      </c>
      <c r="E1568" s="2" t="s">
        <v>6550</v>
      </c>
      <c r="F1568" s="2" t="s">
        <v>6561</v>
      </c>
      <c r="G1568" s="2" t="s">
        <v>125</v>
      </c>
      <c r="H1568" s="7"/>
      <c r="I1568" s="2" t="s">
        <v>9</v>
      </c>
    </row>
    <row r="1569" spans="1:9" ht="52" x14ac:dyDescent="0.3">
      <c r="A1569" s="1" t="str">
        <f>HYPERLINK("https://ipmanager.doe.gov/IPManager//ExternalLink.aspx?6ibkph2k9yi6F%2B0Vz7YoTvE8yjoHgvp61g0nAASxXGI%3D","Link")</f>
        <v>Link</v>
      </c>
      <c r="B1569" s="2" t="s">
        <v>6574</v>
      </c>
      <c r="C1569" s="2" t="s">
        <v>6548</v>
      </c>
      <c r="D1569" s="2" t="s">
        <v>6549</v>
      </c>
      <c r="E1569" s="2" t="s">
        <v>6550</v>
      </c>
      <c r="F1569" s="2" t="s">
        <v>6553</v>
      </c>
      <c r="G1569" s="2" t="s">
        <v>31</v>
      </c>
      <c r="H1569" s="7"/>
      <c r="I1569" s="2" t="s">
        <v>9</v>
      </c>
    </row>
    <row r="1570" spans="1:9" ht="52" x14ac:dyDescent="0.3">
      <c r="A1570" s="1" t="str">
        <f>HYPERLINK("https://ipmanager.doe.gov/IPManager//ExternalLink.aspx?6ibkph2k9yi6F%2B0Vz7YoTnXVN2REjGcWU3YQk1%2Fp%2BZM%3D","Link")</f>
        <v>Link</v>
      </c>
      <c r="B1570" s="2" t="s">
        <v>5147</v>
      </c>
      <c r="C1570" s="2" t="s">
        <v>5139</v>
      </c>
      <c r="D1570" s="2" t="s">
        <v>770</v>
      </c>
      <c r="E1570" s="2" t="s">
        <v>5148</v>
      </c>
      <c r="F1570" s="2"/>
      <c r="G1570" s="2" t="s">
        <v>9</v>
      </c>
      <c r="H1570" s="7"/>
      <c r="I1570" s="2" t="s">
        <v>9</v>
      </c>
    </row>
    <row r="1571" spans="1:9" ht="52" x14ac:dyDescent="0.3">
      <c r="A1571" s="1" t="str">
        <f>HYPERLINK("https://ipmanager.doe.gov/IPManager//ExternalLink.aspx?6ibkph2k9yi6F%2B0Vz7YoTnXVN2REjGcWnwtlnvINslQ%3D","Link")</f>
        <v>Link</v>
      </c>
      <c r="B1571" s="2" t="s">
        <v>5149</v>
      </c>
      <c r="C1571" s="2" t="s">
        <v>5139</v>
      </c>
      <c r="D1571" s="2" t="s">
        <v>770</v>
      </c>
      <c r="E1571" s="2" t="s">
        <v>5150</v>
      </c>
      <c r="F1571" s="2"/>
      <c r="G1571" s="2" t="s">
        <v>9</v>
      </c>
      <c r="H1571" s="7"/>
      <c r="I1571" s="2" t="s">
        <v>9</v>
      </c>
    </row>
    <row r="1572" spans="1:9" ht="39" x14ac:dyDescent="0.3">
      <c r="A1572" s="1" t="str">
        <f>HYPERLINK("https://ipmanager.doe.gov/IPManager//ExternalLink.aspx?6ibkph2k9yi6F%2B0Vz7YoTu0g4zH%2BOsvyLHTlRuAZdJQ%3D","Link")</f>
        <v>Link</v>
      </c>
      <c r="B1572" s="2" t="s">
        <v>5151</v>
      </c>
      <c r="C1572" s="2" t="s">
        <v>5139</v>
      </c>
      <c r="D1572" s="2" t="s">
        <v>770</v>
      </c>
      <c r="E1572" s="2" t="s">
        <v>5152</v>
      </c>
      <c r="F1572" s="2"/>
      <c r="G1572" s="2" t="s">
        <v>9</v>
      </c>
      <c r="H1572" s="7"/>
      <c r="I1572" s="2" t="s">
        <v>9</v>
      </c>
    </row>
    <row r="1573" spans="1:9" ht="52" x14ac:dyDescent="0.3">
      <c r="A1573" s="1" t="str">
        <f>HYPERLINK("https://ipmanager.doe.gov/IPManager//ExternalLink.aspx?6ibkph2k9yi6F%2B0Vz7YoTjnDGhmGHGI7YDZ4M%2FEp6PU%3D","Link")</f>
        <v>Link</v>
      </c>
      <c r="B1573" s="2" t="s">
        <v>5153</v>
      </c>
      <c r="C1573" s="2" t="s">
        <v>5139</v>
      </c>
      <c r="D1573" s="2" t="s">
        <v>770</v>
      </c>
      <c r="E1573" s="2" t="s">
        <v>5154</v>
      </c>
      <c r="F1573" s="2"/>
      <c r="G1573" s="2" t="s">
        <v>9</v>
      </c>
      <c r="H1573" s="7"/>
      <c r="I1573" s="2" t="s">
        <v>9</v>
      </c>
    </row>
    <row r="1574" spans="1:9" ht="91" x14ac:dyDescent="0.3">
      <c r="A1574" s="1" t="str">
        <f>HYPERLINK("https://ipmanager.doe.gov/IPManager//ExternalLink.aspx?6ibkph2k9yi6F%2B0Vz7YoTgZwfmYxrNyKyKyG5FZ8X1s%3D","Link")</f>
        <v>Link</v>
      </c>
      <c r="B1574" s="2" t="s">
        <v>5692</v>
      </c>
      <c r="C1574" s="2" t="s">
        <v>5693</v>
      </c>
      <c r="D1574" s="2" t="s">
        <v>5694</v>
      </c>
      <c r="E1574" s="2" t="s">
        <v>5695</v>
      </c>
      <c r="F1574" s="2" t="s">
        <v>7649</v>
      </c>
      <c r="G1574" s="2" t="s">
        <v>5696</v>
      </c>
      <c r="H1574" s="7"/>
      <c r="I1574" s="2" t="s">
        <v>9</v>
      </c>
    </row>
    <row r="1575" spans="1:9" ht="39" x14ac:dyDescent="0.3">
      <c r="A1575" s="1" t="str">
        <f>HYPERLINK("https://ipmanager.doe.gov/IPManager//ExternalLink.aspx?6ibkph2k9yi6F%2B0Vz7YoTgZwfmYxrNyKgAuxU9Yes4Q%3D","Link")</f>
        <v>Link</v>
      </c>
      <c r="B1575" s="2" t="s">
        <v>5697</v>
      </c>
      <c r="C1575" s="2" t="s">
        <v>5693</v>
      </c>
      <c r="D1575" s="2" t="s">
        <v>5694</v>
      </c>
      <c r="E1575" s="2" t="s">
        <v>5698</v>
      </c>
      <c r="F1575" s="2" t="s">
        <v>5699</v>
      </c>
      <c r="G1575" s="2" t="s">
        <v>4451</v>
      </c>
      <c r="H1575" s="7"/>
      <c r="I1575" s="2" t="s">
        <v>9</v>
      </c>
    </row>
    <row r="1576" spans="1:9" ht="52" x14ac:dyDescent="0.3">
      <c r="A1576" s="1" t="str">
        <f>HYPERLINK("https://ipmanager.doe.gov/IPManager//ExternalLink.aspx?6ibkph2k9yi6F%2B0Vz7YoTgZwfmYxrNyKi5TlJB7UVS8%3D","Link")</f>
        <v>Link</v>
      </c>
      <c r="B1576" s="2" t="s">
        <v>5159</v>
      </c>
      <c r="C1576" s="2" t="s">
        <v>5139</v>
      </c>
      <c r="D1576" s="2" t="s">
        <v>770</v>
      </c>
      <c r="E1576" s="2" t="s">
        <v>3761</v>
      </c>
      <c r="F1576" s="2"/>
      <c r="G1576" s="2" t="s">
        <v>9</v>
      </c>
      <c r="H1576" s="7"/>
      <c r="I1576" s="2" t="s">
        <v>9</v>
      </c>
    </row>
    <row r="1577" spans="1:9" ht="65" x14ac:dyDescent="0.3">
      <c r="A1577" s="1" t="str">
        <f>HYPERLINK("https://ipmanager.doe.gov/IPManager//ExternalLink.aspx?6ibkph2k9yi6F%2B0Vz7YoTvPUg%2FVZPl3iOzmdWRksvQI%3D","Link")</f>
        <v>Link</v>
      </c>
      <c r="B1577" s="2" t="s">
        <v>5160</v>
      </c>
      <c r="C1577" s="2" t="s">
        <v>5139</v>
      </c>
      <c r="D1577" s="2" t="s">
        <v>770</v>
      </c>
      <c r="E1577" s="2" t="s">
        <v>5161</v>
      </c>
      <c r="F1577" s="2"/>
      <c r="G1577" s="2" t="s">
        <v>9</v>
      </c>
      <c r="H1577" s="7"/>
      <c r="I1577" s="2" t="s">
        <v>9</v>
      </c>
    </row>
    <row r="1578" spans="1:9" ht="39" x14ac:dyDescent="0.3">
      <c r="A1578" s="1" t="str">
        <f>HYPERLINK("https://ipmanager.doe.gov/IPManager//ExternalLink.aspx?6ibkph2k9yi6F%2B0Vz7YoTvPUg%2FVZPl3iFtXvTA%2Be%2FRU%3D","Link")</f>
        <v>Link</v>
      </c>
      <c r="B1578" s="2" t="s">
        <v>5163</v>
      </c>
      <c r="C1578" s="2" t="s">
        <v>5139</v>
      </c>
      <c r="D1578" s="2" t="s">
        <v>452</v>
      </c>
      <c r="E1578" s="2" t="s">
        <v>5164</v>
      </c>
      <c r="F1578" s="2"/>
      <c r="G1578" s="2" t="s">
        <v>9</v>
      </c>
      <c r="H1578" s="7"/>
      <c r="I1578" s="2" t="s">
        <v>9</v>
      </c>
    </row>
    <row r="1579" spans="1:9" ht="26" x14ac:dyDescent="0.3">
      <c r="A1579" s="1" t="str">
        <f>HYPERLINK("https://ipmanager.doe.gov/IPManager//ExternalLink.aspx?6ibkph2k9yi6F%2B0Vz7YoTvPUg%2FVZPl3i6Cv5PznZ%2B%2BY%3D","Link")</f>
        <v>Link</v>
      </c>
      <c r="B1579" s="2" t="s">
        <v>5165</v>
      </c>
      <c r="C1579" s="2" t="s">
        <v>5166</v>
      </c>
      <c r="D1579" s="2" t="s">
        <v>5167</v>
      </c>
      <c r="E1579" s="2" t="s">
        <v>5168</v>
      </c>
      <c r="F1579" s="2"/>
      <c r="G1579" s="2" t="s">
        <v>9</v>
      </c>
      <c r="H1579" s="7"/>
      <c r="I1579" s="2" t="s">
        <v>9</v>
      </c>
    </row>
    <row r="1580" spans="1:9" ht="39" x14ac:dyDescent="0.3">
      <c r="A1580" s="1" t="str">
        <f>HYPERLINK("https://ipmanager.doe.gov/IPManager//ExternalLink.aspx?6ibkph2k9yi6F%2B0Vz7YoTvPUg%2FVZPl3isfH5Nzvqybk%3D","Link")</f>
        <v>Link</v>
      </c>
      <c r="B1580" s="2" t="s">
        <v>5169</v>
      </c>
      <c r="C1580" s="2" t="s">
        <v>5170</v>
      </c>
      <c r="D1580" s="2" t="s">
        <v>5171</v>
      </c>
      <c r="E1580" s="2" t="s">
        <v>5172</v>
      </c>
      <c r="F1580" s="2"/>
      <c r="G1580" s="2" t="s">
        <v>9</v>
      </c>
      <c r="H1580" s="7"/>
      <c r="I1580" s="2" t="s">
        <v>9</v>
      </c>
    </row>
    <row r="1581" spans="1:9" ht="39" x14ac:dyDescent="0.3">
      <c r="A1581" s="1" t="str">
        <f>HYPERLINK("https://ipmanager.doe.gov/IPManager//ExternalLink.aspx?6ibkph2k9yi6F%2B0Vz7YoTjnDGhmGHGI7Ej8dz6X33XM%3D","Link")</f>
        <v>Link</v>
      </c>
      <c r="B1581" s="2" t="s">
        <v>5173</v>
      </c>
      <c r="C1581" s="2" t="s">
        <v>5170</v>
      </c>
      <c r="D1581" s="2" t="s">
        <v>5171</v>
      </c>
      <c r="E1581" s="2" t="s">
        <v>5174</v>
      </c>
      <c r="F1581" s="2"/>
      <c r="G1581" s="2" t="s">
        <v>9</v>
      </c>
      <c r="H1581" s="7"/>
      <c r="I1581" s="2" t="s">
        <v>9</v>
      </c>
    </row>
    <row r="1582" spans="1:9" ht="39" x14ac:dyDescent="0.3">
      <c r="A1582" s="1" t="str">
        <f>HYPERLINK("https://ipmanager.doe.gov/IPManager//ExternalLink.aspx?6ibkph2k9yi6F%2B0Vz7YoTo7DPLa3%2F%2FGgsRXD7ryxF00%3D","Link")</f>
        <v>Link</v>
      </c>
      <c r="B1582" s="2" t="s">
        <v>5175</v>
      </c>
      <c r="C1582" s="2" t="s">
        <v>5170</v>
      </c>
      <c r="D1582" s="2" t="s">
        <v>5171</v>
      </c>
      <c r="E1582" s="2" t="s">
        <v>5176</v>
      </c>
      <c r="F1582" s="2"/>
      <c r="G1582" s="2" t="s">
        <v>9</v>
      </c>
      <c r="H1582" s="7"/>
      <c r="I1582" s="2" t="s">
        <v>9</v>
      </c>
    </row>
    <row r="1583" spans="1:9" ht="52" x14ac:dyDescent="0.3">
      <c r="A1583" s="1" t="str">
        <f>HYPERLINK("https://ipmanager.doe.gov/IPManager//ExternalLink.aspx?6ibkph2k9yi6F%2B0Vz7YoTo7DPLa3%2F%2FGgBTmMVxZJLR8%3D","Link")</f>
        <v>Link</v>
      </c>
      <c r="B1583" s="2" t="s">
        <v>5178</v>
      </c>
      <c r="C1583" s="2" t="s">
        <v>5170</v>
      </c>
      <c r="D1583" s="2" t="s">
        <v>5171</v>
      </c>
      <c r="E1583" s="2" t="s">
        <v>5179</v>
      </c>
      <c r="F1583" s="2"/>
      <c r="G1583" s="2" t="s">
        <v>9</v>
      </c>
      <c r="H1583" s="7"/>
      <c r="I1583" s="2" t="s">
        <v>9</v>
      </c>
    </row>
    <row r="1584" spans="1:9" ht="39" x14ac:dyDescent="0.3">
      <c r="A1584" s="1" t="str">
        <f>HYPERLINK("https://ipmanager.doe.gov/IPManager//ExternalLink.aspx?6ibkph2k9yi6F%2B0Vz7YoTo7DPLa3%2F%2FGgg6QLt0ERuvk%3D","Link")</f>
        <v>Link</v>
      </c>
      <c r="B1584" s="2" t="s">
        <v>5180</v>
      </c>
      <c r="C1584" s="2" t="s">
        <v>5170</v>
      </c>
      <c r="D1584" s="2" t="s">
        <v>5171</v>
      </c>
      <c r="E1584" s="2" t="s">
        <v>5181</v>
      </c>
      <c r="F1584" s="2"/>
      <c r="G1584" s="2" t="s">
        <v>9</v>
      </c>
      <c r="H1584" s="7"/>
      <c r="I1584" s="2" t="s">
        <v>9</v>
      </c>
    </row>
    <row r="1585" spans="1:9" ht="52" x14ac:dyDescent="0.3">
      <c r="A1585" s="1" t="str">
        <f>HYPERLINK("https://ipmanager.doe.gov/IPManager//ExternalLink.aspx?6ibkph2k9yi6F%2B0Vz7YoTo7DPLa3%2F%2FGgcsw2XExGXY4%3D","Link")</f>
        <v>Link</v>
      </c>
      <c r="B1585" s="2" t="s">
        <v>5182</v>
      </c>
      <c r="C1585" s="2" t="s">
        <v>5183</v>
      </c>
      <c r="D1585" s="2" t="s">
        <v>3285</v>
      </c>
      <c r="E1585" s="2" t="s">
        <v>5184</v>
      </c>
      <c r="F1585" s="2"/>
      <c r="G1585" s="2" t="s">
        <v>9</v>
      </c>
      <c r="H1585" s="7"/>
      <c r="I1585" s="2" t="s">
        <v>9</v>
      </c>
    </row>
    <row r="1586" spans="1:9" ht="39" x14ac:dyDescent="0.3">
      <c r="A1586" s="1" t="str">
        <f>HYPERLINK("https://ipmanager.doe.gov/IPManager//ExternalLink.aspx?6ibkph2k9yi6F%2B0Vz7YoTq6RR9BlGHHiAEdWfp6cCzQ%3D","Link")</f>
        <v>Link</v>
      </c>
      <c r="B1586" s="2" t="s">
        <v>5700</v>
      </c>
      <c r="C1586" s="2" t="s">
        <v>5693</v>
      </c>
      <c r="D1586" s="2" t="s">
        <v>5694</v>
      </c>
      <c r="E1586" s="2" t="s">
        <v>5701</v>
      </c>
      <c r="F1586" s="2" t="s">
        <v>5702</v>
      </c>
      <c r="G1586" s="2" t="s">
        <v>5703</v>
      </c>
      <c r="H1586" s="7"/>
      <c r="I1586" s="2" t="s">
        <v>9</v>
      </c>
    </row>
    <row r="1587" spans="1:9" ht="65" x14ac:dyDescent="0.3">
      <c r="A1587" s="1" t="str">
        <f>HYPERLINK("https://ipmanager.doe.gov/IPManager//ExternalLink.aspx?6ibkph2k9yi6F%2B0Vz7YoTo7DPLa3%2F%2FGgG8YIPAqcyoI%3D","Link")</f>
        <v>Link</v>
      </c>
      <c r="B1587" s="2" t="s">
        <v>5704</v>
      </c>
      <c r="C1587" s="2" t="s">
        <v>5693</v>
      </c>
      <c r="D1587" s="2" t="s">
        <v>5694</v>
      </c>
      <c r="E1587" s="2" t="s">
        <v>5705</v>
      </c>
      <c r="F1587" s="2" t="s">
        <v>5706</v>
      </c>
      <c r="G1587" s="2" t="s">
        <v>5081</v>
      </c>
      <c r="H1587" s="7"/>
      <c r="I1587" s="2" t="s">
        <v>9</v>
      </c>
    </row>
    <row r="1588" spans="1:9" ht="39" x14ac:dyDescent="0.3">
      <c r="A1588" s="1" t="str">
        <f>HYPERLINK("https://ipmanager.doe.gov/IPManager//ExternalLink.aspx?6ibkph2k9yi6F%2B0Vz7YoTp68px7nSN2glEAw0r0vuUg%3D","Link")</f>
        <v>Link</v>
      </c>
      <c r="B1588" s="2" t="s">
        <v>5708</v>
      </c>
      <c r="C1588" s="2" t="s">
        <v>5693</v>
      </c>
      <c r="D1588" s="2" t="s">
        <v>5694</v>
      </c>
      <c r="E1588" s="2" t="s">
        <v>5709</v>
      </c>
      <c r="F1588" s="2" t="s">
        <v>7650</v>
      </c>
      <c r="G1588" s="2" t="s">
        <v>2186</v>
      </c>
      <c r="H1588" s="7"/>
      <c r="I1588" s="2" t="s">
        <v>9</v>
      </c>
    </row>
    <row r="1589" spans="1:9" ht="39" x14ac:dyDescent="0.3">
      <c r="A1589" s="1" t="str">
        <f>HYPERLINK("https://ipmanager.doe.gov/IPManager//ExternalLink.aspx?6ibkph2k9yi6F%2B0Vz7YoTr7J5I%2BY4foYJVS5sXUb2x0%3D","Link")</f>
        <v>Link</v>
      </c>
      <c r="B1589" s="2" t="s">
        <v>5196</v>
      </c>
      <c r="C1589" s="2" t="s">
        <v>5192</v>
      </c>
      <c r="D1589" s="2" t="s">
        <v>5193</v>
      </c>
      <c r="E1589" s="2" t="s">
        <v>5197</v>
      </c>
      <c r="F1589" s="2" t="s">
        <v>5198</v>
      </c>
      <c r="G1589" s="2" t="s">
        <v>5199</v>
      </c>
      <c r="H1589" s="7" t="s">
        <v>5200</v>
      </c>
      <c r="I1589" s="2" t="s">
        <v>4510</v>
      </c>
    </row>
    <row r="1590" spans="1:9" ht="39" x14ac:dyDescent="0.3">
      <c r="A1590" s="1" t="str">
        <f>HYPERLINK("https://ipmanager.doe.gov/IPManager//ExternalLink.aspx?6ibkph2k9yi6F%2B0Vz7YoTvPUg%2FVZPl3iuC9K1xi9lBw%3D","Link")</f>
        <v>Link</v>
      </c>
      <c r="B1590" s="2" t="s">
        <v>5710</v>
      </c>
      <c r="C1590" s="2" t="s">
        <v>5693</v>
      </c>
      <c r="D1590" s="2" t="s">
        <v>5694</v>
      </c>
      <c r="E1590" s="2" t="s">
        <v>5711</v>
      </c>
      <c r="F1590" s="2" t="s">
        <v>5706</v>
      </c>
      <c r="G1590" s="2" t="s">
        <v>5081</v>
      </c>
      <c r="H1590" s="7"/>
      <c r="I1590" s="2" t="s">
        <v>9</v>
      </c>
    </row>
    <row r="1591" spans="1:9" ht="65" x14ac:dyDescent="0.3">
      <c r="A1591" s="1" t="str">
        <f>HYPERLINK("https://ipmanager.doe.gov/IPManager//ExternalLink.aspx?6ibkph2k9yi6F%2B0Vz7YoTq6RR9BlGHHidRgwks6Uxvo%3D","Link")</f>
        <v>Link</v>
      </c>
      <c r="B1591" s="2" t="s">
        <v>5713</v>
      </c>
      <c r="C1591" s="2" t="s">
        <v>5693</v>
      </c>
      <c r="D1591" s="2" t="s">
        <v>5694</v>
      </c>
      <c r="E1591" s="2" t="s">
        <v>5714</v>
      </c>
      <c r="F1591" s="2" t="s">
        <v>5707</v>
      </c>
      <c r="G1591" s="2" t="s">
        <v>5715</v>
      </c>
      <c r="H1591" s="7"/>
      <c r="I1591" s="2" t="s">
        <v>9</v>
      </c>
    </row>
    <row r="1592" spans="1:9" ht="39" x14ac:dyDescent="0.3">
      <c r="A1592" s="1" t="str">
        <f>HYPERLINK("https://ipmanager.doe.gov/IPManager//ExternalLink.aspx?6ibkph2k9yi6F%2B0Vz7YoTvPUg%2FVZPl3ipXrRT89%2BTKs%3D","Link")</f>
        <v>Link</v>
      </c>
      <c r="B1592" s="2" t="s">
        <v>5208</v>
      </c>
      <c r="C1592" s="2" t="s">
        <v>5192</v>
      </c>
      <c r="D1592" s="2" t="s">
        <v>5193</v>
      </c>
      <c r="E1592" s="2" t="s">
        <v>5197</v>
      </c>
      <c r="F1592" s="2" t="s">
        <v>5209</v>
      </c>
      <c r="G1592" s="2" t="s">
        <v>2395</v>
      </c>
      <c r="H1592" s="8">
        <v>9853147</v>
      </c>
      <c r="I1592" s="2" t="s">
        <v>3749</v>
      </c>
    </row>
    <row r="1593" spans="1:9" ht="39" x14ac:dyDescent="0.3">
      <c r="A1593" s="1" t="str">
        <f>HYPERLINK("https://ipmanager.doe.gov/IPManager//ExternalLink.aspx?6ibkph2k9yi6F%2B0Vz7YoTvPUg%2FVZPl3iLC9mvJhTdE4%3D","Link")</f>
        <v>Link</v>
      </c>
      <c r="B1593" s="2" t="s">
        <v>5210</v>
      </c>
      <c r="C1593" s="2" t="s">
        <v>5192</v>
      </c>
      <c r="D1593" s="2" t="s">
        <v>5193</v>
      </c>
      <c r="E1593" s="2" t="s">
        <v>5197</v>
      </c>
      <c r="F1593" s="2" t="s">
        <v>5211</v>
      </c>
      <c r="G1593" s="2" t="s">
        <v>5212</v>
      </c>
      <c r="H1593" s="8">
        <v>9991376</v>
      </c>
      <c r="I1593" s="2" t="s">
        <v>2623</v>
      </c>
    </row>
    <row r="1594" spans="1:9" ht="39" x14ac:dyDescent="0.3">
      <c r="A1594" s="1" t="str">
        <f>HYPERLINK("https://ipmanager.doe.gov/IPManager//ExternalLink.aspx?6ibkph2k9yi6F%2B0Vz7YoTo7DPLa3%2F%2FGg5Tvvo075dww%3D","Link")</f>
        <v>Link</v>
      </c>
      <c r="B1594" s="2" t="s">
        <v>5716</v>
      </c>
      <c r="C1594" s="2" t="s">
        <v>5693</v>
      </c>
      <c r="D1594" s="2" t="s">
        <v>5694</v>
      </c>
      <c r="E1594" s="2" t="s">
        <v>5711</v>
      </c>
      <c r="F1594" s="2" t="s">
        <v>5712</v>
      </c>
      <c r="G1594" s="2" t="s">
        <v>5717</v>
      </c>
      <c r="H1594" s="7"/>
      <c r="I1594" s="2" t="s">
        <v>9</v>
      </c>
    </row>
    <row r="1595" spans="1:9" ht="52" x14ac:dyDescent="0.3">
      <c r="A1595" s="1" t="str">
        <f>HYPERLINK("https://ipmanager.doe.gov/IPManager//ExternalLink.aspx?6ibkph2k9yi6F%2B0Vz7YoTvPUg%2FVZPl3i%2F0U%2Bv4Jikq4%3D","Link")</f>
        <v>Link</v>
      </c>
      <c r="B1595" s="2" t="s">
        <v>5215</v>
      </c>
      <c r="C1595" s="2" t="s">
        <v>5192</v>
      </c>
      <c r="D1595" s="2" t="s">
        <v>5193</v>
      </c>
      <c r="E1595" s="2" t="s">
        <v>5202</v>
      </c>
      <c r="F1595" s="2" t="s">
        <v>5216</v>
      </c>
      <c r="G1595" s="2" t="s">
        <v>3649</v>
      </c>
      <c r="H1595" s="8">
        <v>9876104</v>
      </c>
      <c r="I1595" s="2" t="s">
        <v>5217</v>
      </c>
    </row>
    <row r="1596" spans="1:9" ht="39" x14ac:dyDescent="0.3">
      <c r="A1596" s="1" t="str">
        <f>HYPERLINK("https://ipmanager.doe.gov/IPManager//ExternalLink.aspx?6ibkph2k9yi6F%2B0Vz7YoThEBhkR3uHVrZ8aKpuq8OVg%3D","Link")</f>
        <v>Link</v>
      </c>
      <c r="B1596" s="2" t="s">
        <v>6027</v>
      </c>
      <c r="C1596" s="2" t="s">
        <v>6028</v>
      </c>
      <c r="D1596" s="2" t="s">
        <v>5694</v>
      </c>
      <c r="E1596" s="2" t="s">
        <v>6029</v>
      </c>
      <c r="F1596" s="2" t="s">
        <v>6030</v>
      </c>
      <c r="G1596" s="2" t="s">
        <v>6031</v>
      </c>
      <c r="H1596" s="7"/>
      <c r="I1596" s="2" t="s">
        <v>9</v>
      </c>
    </row>
    <row r="1597" spans="1:9" ht="52" x14ac:dyDescent="0.3">
      <c r="A1597" s="1" t="str">
        <f>HYPERLINK("https://ipmanager.doe.gov/IPManager//ExternalLink.aspx?6ibkph2k9yi6F%2B0Vz7YoTvPUg%2FVZPl3iQksUVkk%2BcEs%3D","Link")</f>
        <v>Link</v>
      </c>
      <c r="B1597" s="2" t="s">
        <v>5220</v>
      </c>
      <c r="C1597" s="2" t="s">
        <v>5192</v>
      </c>
      <c r="D1597" s="2" t="s">
        <v>5193</v>
      </c>
      <c r="E1597" s="2" t="s">
        <v>5221</v>
      </c>
      <c r="F1597" s="2" t="s">
        <v>5222</v>
      </c>
      <c r="G1597" s="2" t="s">
        <v>4756</v>
      </c>
      <c r="H1597" s="7"/>
      <c r="I1597" s="2" t="s">
        <v>9</v>
      </c>
    </row>
    <row r="1598" spans="1:9" ht="52" x14ac:dyDescent="0.3">
      <c r="A1598" s="1" t="str">
        <f>HYPERLINK("https://ipmanager.doe.gov/IPManager//ExternalLink.aspx?6ibkph2k9yi6F%2B0Vz7YoTvPUg%2FVZPl3ibTrDWX0qXac%3D","Link")</f>
        <v>Link</v>
      </c>
      <c r="B1598" s="2" t="s">
        <v>5223</v>
      </c>
      <c r="C1598" s="2" t="s">
        <v>5192</v>
      </c>
      <c r="D1598" s="2" t="s">
        <v>5193</v>
      </c>
      <c r="E1598" s="2" t="s">
        <v>5221</v>
      </c>
      <c r="F1598" s="2" t="s">
        <v>5205</v>
      </c>
      <c r="G1598" s="2" t="s">
        <v>4193</v>
      </c>
      <c r="H1598" s="7" t="s">
        <v>5224</v>
      </c>
      <c r="I1598" s="2" t="s">
        <v>1965</v>
      </c>
    </row>
    <row r="1599" spans="1:9" ht="26" x14ac:dyDescent="0.3">
      <c r="A1599" s="1" t="str">
        <f>HYPERLINK("https://ipmanager.doe.gov/IPManager//ExternalLink.aspx?6ibkph2k9yi6F%2B0Vz7YoTjnDGhmGHGI7%2BAxS9HFdepM%3D","Link")</f>
        <v>Link</v>
      </c>
      <c r="B1599" s="2" t="s">
        <v>5225</v>
      </c>
      <c r="C1599" s="2" t="s">
        <v>5226</v>
      </c>
      <c r="D1599" s="2" t="s">
        <v>4136</v>
      </c>
      <c r="E1599" s="2" t="s">
        <v>5227</v>
      </c>
      <c r="F1599" s="2"/>
      <c r="G1599" s="2" t="s">
        <v>9</v>
      </c>
      <c r="H1599" s="7"/>
      <c r="I1599" s="2" t="s">
        <v>9</v>
      </c>
    </row>
    <row r="1600" spans="1:9" ht="52" x14ac:dyDescent="0.3">
      <c r="A1600" s="1" t="str">
        <f>HYPERLINK("https://ipmanager.doe.gov/IPManager//ExternalLink.aspx?6ibkph2k9yi6F%2B0Vz7YoTo7DPLa3%2F%2FGgOdpnigI6nEo%3D","Link")</f>
        <v>Link</v>
      </c>
      <c r="B1600" s="2" t="s">
        <v>4167</v>
      </c>
      <c r="C1600" s="2" t="s">
        <v>4168</v>
      </c>
      <c r="D1600" s="2" t="s">
        <v>4169</v>
      </c>
      <c r="E1600" s="2" t="s">
        <v>4170</v>
      </c>
      <c r="F1600" s="2" t="s">
        <v>4171</v>
      </c>
      <c r="G1600" s="2" t="s">
        <v>2115</v>
      </c>
      <c r="H1600" s="7"/>
      <c r="I1600" s="2" t="s">
        <v>9</v>
      </c>
    </row>
    <row r="1601" spans="1:9" ht="39" x14ac:dyDescent="0.3">
      <c r="A1601" s="1" t="str">
        <f>HYPERLINK("https://ipmanager.doe.gov/IPManager//ExternalLink.aspx?6ibkph2k9yi6F%2B0Vz7YoTnXVN2REjGcWu1cwSDzG0Ys%3D","Link")</f>
        <v>Link</v>
      </c>
      <c r="B1601" s="2" t="s">
        <v>5234</v>
      </c>
      <c r="C1601" s="2" t="s">
        <v>5235</v>
      </c>
      <c r="D1601" s="2" t="s">
        <v>5236</v>
      </c>
      <c r="E1601" s="2" t="s">
        <v>5237</v>
      </c>
      <c r="F1601" s="2"/>
      <c r="G1601" s="2" t="s">
        <v>9</v>
      </c>
      <c r="H1601" s="7"/>
      <c r="I1601" s="2" t="s">
        <v>9</v>
      </c>
    </row>
    <row r="1602" spans="1:9" ht="39" x14ac:dyDescent="0.3">
      <c r="A1602" s="1" t="str">
        <f>HYPERLINK("https://ipmanager.doe.gov/IPManager//ExternalLink.aspx?6ibkph2k9yi6F%2B0Vz7YoTgZwfmYxrNyKsP%2BeTxniJjU%3D","Link")</f>
        <v>Link</v>
      </c>
      <c r="B1602" s="2" t="s">
        <v>5238</v>
      </c>
      <c r="C1602" s="2" t="s">
        <v>5235</v>
      </c>
      <c r="D1602" s="2" t="s">
        <v>5236</v>
      </c>
      <c r="E1602" s="2" t="s">
        <v>5239</v>
      </c>
      <c r="F1602" s="2"/>
      <c r="G1602" s="2" t="s">
        <v>9</v>
      </c>
      <c r="H1602" s="7"/>
      <c r="I1602" s="2" t="s">
        <v>9</v>
      </c>
    </row>
    <row r="1603" spans="1:9" ht="26" x14ac:dyDescent="0.3">
      <c r="A1603" s="1" t="str">
        <f>HYPERLINK("https://ipmanager.doe.gov/IPManager//ExternalLink.aspx?6ibkph2k9yi6F%2B0Vz7YoTipZ798QK%2BbPxb%2Fxl%2BbVUjo%3D","Link")</f>
        <v>Link</v>
      </c>
      <c r="B1603" s="2" t="s">
        <v>4280</v>
      </c>
      <c r="C1603" s="2" t="s">
        <v>4281</v>
      </c>
      <c r="D1603" s="2" t="s">
        <v>4169</v>
      </c>
      <c r="E1603" s="2" t="s">
        <v>4282</v>
      </c>
      <c r="F1603" s="2" t="s">
        <v>4283</v>
      </c>
      <c r="G1603" s="2" t="s">
        <v>4284</v>
      </c>
      <c r="H1603" s="7"/>
      <c r="I1603" s="2" t="s">
        <v>9</v>
      </c>
    </row>
    <row r="1604" spans="1:9" ht="26" x14ac:dyDescent="0.3">
      <c r="A1604" s="1" t="str">
        <f>HYPERLINK("https://ipmanager.doe.gov/IPManager//ExternalLink.aspx?6ibkph2k9yi6F%2B0Vz7YoTipZ798QK%2BbPxNneHFw1RfE%3D","Link")</f>
        <v>Link</v>
      </c>
      <c r="B1604" s="2" t="s">
        <v>4285</v>
      </c>
      <c r="C1604" s="2" t="s">
        <v>4281</v>
      </c>
      <c r="D1604" s="2" t="s">
        <v>4169</v>
      </c>
      <c r="E1604" s="2" t="s">
        <v>4286</v>
      </c>
      <c r="F1604" s="2" t="s">
        <v>4287</v>
      </c>
      <c r="G1604" s="2" t="s">
        <v>4284</v>
      </c>
      <c r="H1604" s="7"/>
      <c r="I1604" s="2" t="s">
        <v>9</v>
      </c>
    </row>
    <row r="1605" spans="1:9" ht="39" x14ac:dyDescent="0.3">
      <c r="A1605" s="1" t="str">
        <f>HYPERLINK("https://ipmanager.doe.gov/IPManager//ExternalLink.aspx?6ibkph2k9yi6F%2B0Vz7YoTvPUg%2FVZPl3i2z525AJEZ5g%3D","Link")</f>
        <v>Link</v>
      </c>
      <c r="B1605" s="2" t="s">
        <v>5250</v>
      </c>
      <c r="C1605" s="2" t="s">
        <v>5242</v>
      </c>
      <c r="D1605" s="2" t="s">
        <v>5243</v>
      </c>
      <c r="E1605" s="2" t="s">
        <v>5248</v>
      </c>
      <c r="F1605" s="2" t="s">
        <v>5251</v>
      </c>
      <c r="G1605" s="2" t="s">
        <v>5246</v>
      </c>
      <c r="H1605" s="7" t="s">
        <v>5252</v>
      </c>
      <c r="I1605" s="2" t="s">
        <v>3892</v>
      </c>
    </row>
    <row r="1606" spans="1:9" ht="26" x14ac:dyDescent="0.3">
      <c r="A1606" s="1" t="str">
        <f>HYPERLINK("https://ipmanager.doe.gov/IPManager//ExternalLink.aspx?6ibkph2k9yi6F%2B0Vz7YoTvPUg%2FVZPl3iAL%2Fw5PeKFPk%3D","Link")</f>
        <v>Link</v>
      </c>
      <c r="B1606" s="2" t="s">
        <v>4288</v>
      </c>
      <c r="C1606" s="2" t="s">
        <v>4281</v>
      </c>
      <c r="D1606" s="2" t="s">
        <v>4169</v>
      </c>
      <c r="E1606" s="2" t="s">
        <v>4289</v>
      </c>
      <c r="F1606" s="2" t="s">
        <v>4290</v>
      </c>
      <c r="G1606" s="2" t="s">
        <v>4284</v>
      </c>
      <c r="H1606" s="7"/>
      <c r="I1606" s="2" t="s">
        <v>9</v>
      </c>
    </row>
    <row r="1607" spans="1:9" ht="26" x14ac:dyDescent="0.3">
      <c r="A1607" s="1" t="str">
        <f>HYPERLINK("https://ipmanager.doe.gov/IPManager//ExternalLink.aspx?6ibkph2k9yi6F%2B0Vz7YoTvPUg%2FVZPl3iCvUwYuyqycI%3D","Link")</f>
        <v>Link</v>
      </c>
      <c r="B1607" s="2" t="s">
        <v>4295</v>
      </c>
      <c r="C1607" s="2" t="s">
        <v>4281</v>
      </c>
      <c r="D1607" s="2" t="s">
        <v>4169</v>
      </c>
      <c r="E1607" s="2" t="s">
        <v>4292</v>
      </c>
      <c r="F1607" s="2" t="s">
        <v>4296</v>
      </c>
      <c r="G1607" s="2" t="s">
        <v>4297</v>
      </c>
      <c r="H1607" s="7"/>
      <c r="I1607" s="2" t="s">
        <v>9</v>
      </c>
    </row>
    <row r="1608" spans="1:9" ht="52" x14ac:dyDescent="0.3">
      <c r="A1608" s="1" t="str">
        <f>HYPERLINK("https://ipmanager.doe.gov/IPManager//ExternalLink.aspx?6ibkph2k9yi6F%2B0Vz7YoTp68px7nSN2gUGt77XlYRco%3D","Link")</f>
        <v>Link</v>
      </c>
      <c r="B1608" s="2" t="s">
        <v>4911</v>
      </c>
      <c r="C1608" s="2" t="s">
        <v>4909</v>
      </c>
      <c r="D1608" s="2" t="s">
        <v>4169</v>
      </c>
      <c r="E1608" s="2" t="s">
        <v>4912</v>
      </c>
      <c r="F1608" s="2" t="s">
        <v>4913</v>
      </c>
      <c r="G1608" s="2" t="s">
        <v>3658</v>
      </c>
      <c r="H1608" s="7"/>
      <c r="I1608" s="2" t="s">
        <v>9</v>
      </c>
    </row>
    <row r="1609" spans="1:9" ht="39" x14ac:dyDescent="0.3">
      <c r="A1609" s="1" t="str">
        <f>HYPERLINK("https://ipmanager.doe.gov/IPManager//ExternalLink.aspx?6ibkph2k9yi6F%2B0Vz7YoTnXVN2REjGcWByI1pzdxYfM%3D","Link")</f>
        <v>Link</v>
      </c>
      <c r="B1609" s="2" t="s">
        <v>5853</v>
      </c>
      <c r="C1609" s="2" t="s">
        <v>5842</v>
      </c>
      <c r="D1609" s="2" t="s">
        <v>4169</v>
      </c>
      <c r="E1609" s="2" t="s">
        <v>5854</v>
      </c>
      <c r="F1609" s="2" t="s">
        <v>5855</v>
      </c>
      <c r="G1609" s="2" t="s">
        <v>5856</v>
      </c>
      <c r="H1609" s="7"/>
      <c r="I1609" s="2" t="s">
        <v>9</v>
      </c>
    </row>
    <row r="1610" spans="1:9" ht="52" x14ac:dyDescent="0.3">
      <c r="A1610" s="1" t="str">
        <f>HYPERLINK("https://ipmanager.doe.gov/IPManager//ExternalLink.aspx?6ibkph2k9yi6F%2B0Vz7YoTkqAgjuWMa9QnTmuiPy%2Fmtw%3D","Link")</f>
        <v>Link</v>
      </c>
      <c r="B1610" s="2" t="s">
        <v>5862</v>
      </c>
      <c r="C1610" s="2" t="s">
        <v>5842</v>
      </c>
      <c r="D1610" s="2" t="s">
        <v>4169</v>
      </c>
      <c r="E1610" s="2" t="s">
        <v>5863</v>
      </c>
      <c r="F1610" s="2" t="s">
        <v>5864</v>
      </c>
      <c r="G1610" s="2" t="s">
        <v>2623</v>
      </c>
      <c r="H1610" s="7"/>
      <c r="I1610" s="2" t="s">
        <v>9</v>
      </c>
    </row>
    <row r="1611" spans="1:9" ht="26" x14ac:dyDescent="0.3">
      <c r="A1611" s="1" t="str">
        <f>HYPERLINK("https://ipmanager.doe.gov/IPManager//ExternalLink.aspx?6ibkph2k9yi6F%2B0Vz7YoTo7DPLa3%2F%2FGgXJYC2KkgyYw%3D","Link")</f>
        <v>Link</v>
      </c>
      <c r="B1611" s="2" t="s">
        <v>5266</v>
      </c>
      <c r="C1611" s="2" t="s">
        <v>5242</v>
      </c>
      <c r="D1611" s="2" t="s">
        <v>5243</v>
      </c>
      <c r="E1611" s="2" t="s">
        <v>5267</v>
      </c>
      <c r="F1611" s="2"/>
      <c r="G1611" s="2" t="s">
        <v>9</v>
      </c>
      <c r="H1611" s="7"/>
      <c r="I1611" s="2" t="s">
        <v>9</v>
      </c>
    </row>
    <row r="1612" spans="1:9" ht="52" x14ac:dyDescent="0.3">
      <c r="A1612" s="1" t="str">
        <f>HYPERLINK("https://ipmanager.doe.gov/IPManager//ExternalLink.aspx?6ibkph2k9yi6F%2B0Vz7YoTq6RR9BlGHHiU30Vp60k9Xs%3D","Link")</f>
        <v>Link</v>
      </c>
      <c r="B1612" s="2" t="s">
        <v>6229</v>
      </c>
      <c r="C1612" s="2" t="s">
        <v>6226</v>
      </c>
      <c r="D1612" s="2" t="s">
        <v>4169</v>
      </c>
      <c r="E1612" s="2" t="s">
        <v>6227</v>
      </c>
      <c r="F1612" s="2" t="s">
        <v>6228</v>
      </c>
      <c r="G1612" s="2" t="s">
        <v>5680</v>
      </c>
      <c r="H1612" s="7"/>
      <c r="I1612" s="2" t="s">
        <v>9</v>
      </c>
    </row>
    <row r="1613" spans="1:9" ht="78" x14ac:dyDescent="0.3">
      <c r="A1613" s="1" t="str">
        <f>HYPERLINK("https://ipmanager.doe.gov/IPManager//ExternalLink.aspx?6ibkph2k9yi6F%2B0Vz7YoTlNm8snv%2FZpHE%2BojkcVBBO0%3D","Link")</f>
        <v>Link</v>
      </c>
      <c r="B1613" s="2" t="s">
        <v>1536</v>
      </c>
      <c r="C1613" s="2" t="s">
        <v>1525</v>
      </c>
      <c r="D1613" s="2" t="s">
        <v>1533</v>
      </c>
      <c r="E1613" s="2" t="s">
        <v>1537</v>
      </c>
      <c r="F1613" s="2" t="s">
        <v>1538</v>
      </c>
      <c r="G1613" s="2" t="s">
        <v>1239</v>
      </c>
      <c r="H1613" s="7"/>
      <c r="I1613" s="2" t="s">
        <v>9</v>
      </c>
    </row>
    <row r="1614" spans="1:9" ht="26" x14ac:dyDescent="0.3">
      <c r="A1614" s="1" t="str">
        <f>HYPERLINK("https://ipmanager.doe.gov/IPManager//ExternalLink.aspx?6ibkph2k9yi6F%2B0Vz7YoTvE8yjoHgvp6%2FcbtLTBp4II%3D","Link")</f>
        <v>Link</v>
      </c>
      <c r="B1614" s="2" t="s">
        <v>5618</v>
      </c>
      <c r="C1614" s="2" t="s">
        <v>5619</v>
      </c>
      <c r="D1614" s="2" t="s">
        <v>5620</v>
      </c>
      <c r="E1614" s="2" t="s">
        <v>5621</v>
      </c>
      <c r="F1614" s="2" t="s">
        <v>5622</v>
      </c>
      <c r="G1614" s="2" t="s">
        <v>4785</v>
      </c>
      <c r="H1614" s="7"/>
      <c r="I1614" s="2" t="s">
        <v>9</v>
      </c>
    </row>
    <row r="1615" spans="1:9" ht="26" x14ac:dyDescent="0.3">
      <c r="A1615" s="1" t="str">
        <f>HYPERLINK("https://ipmanager.doe.gov/IPManager//ExternalLink.aspx?6ibkph2k9yi6F%2B0Vz7YoTo7DPLa3%2F%2FGgPgkH6GuOj2E%3D","Link")</f>
        <v>Link</v>
      </c>
      <c r="B1615" s="2" t="s">
        <v>5624</v>
      </c>
      <c r="C1615" s="2" t="s">
        <v>5619</v>
      </c>
      <c r="D1615" s="2" t="s">
        <v>5620</v>
      </c>
      <c r="E1615" s="2" t="s">
        <v>5621</v>
      </c>
      <c r="F1615" s="2" t="s">
        <v>5623</v>
      </c>
      <c r="G1615" s="2" t="s">
        <v>5625</v>
      </c>
      <c r="H1615" s="7"/>
      <c r="I1615" s="2" t="s">
        <v>9</v>
      </c>
    </row>
    <row r="1616" spans="1:9" ht="26" x14ac:dyDescent="0.3">
      <c r="A1616" s="1" t="str">
        <f>HYPERLINK("https://ipmanager.doe.gov/IPManager//ExternalLink.aspx?6ibkph2k9yi6F%2B0Vz7YoTo7DPLa3%2F%2FGgv3%2BYkN1BNTw%3D","Link")</f>
        <v>Link</v>
      </c>
      <c r="B1616" s="2" t="s">
        <v>5272</v>
      </c>
      <c r="C1616" s="2" t="s">
        <v>5273</v>
      </c>
      <c r="D1616" s="2" t="s">
        <v>1787</v>
      </c>
      <c r="E1616" s="2" t="s">
        <v>5274</v>
      </c>
      <c r="F1616" s="2" t="s">
        <v>7651</v>
      </c>
      <c r="G1616" s="2" t="s">
        <v>5275</v>
      </c>
      <c r="H1616" s="8">
        <v>9899482</v>
      </c>
      <c r="I1616" s="2" t="s">
        <v>4674</v>
      </c>
    </row>
    <row r="1617" spans="1:9" ht="39" x14ac:dyDescent="0.3">
      <c r="A1617" s="1" t="str">
        <f>HYPERLINK("https://ipmanager.doe.gov/IPManager//ExternalLink.aspx?6ibkph2k9yi6F%2B0Vz7YoTo7DPLa3%2F%2FGgFjZMPH06%2BDM%3D","Link")</f>
        <v>Link</v>
      </c>
      <c r="B1617" s="2" t="s">
        <v>5276</v>
      </c>
      <c r="C1617" s="2" t="s">
        <v>5273</v>
      </c>
      <c r="D1617" s="2" t="s">
        <v>1787</v>
      </c>
      <c r="E1617" s="2" t="s">
        <v>5277</v>
      </c>
      <c r="F1617" s="2"/>
      <c r="G1617" s="2" t="s">
        <v>9</v>
      </c>
      <c r="H1617" s="7"/>
      <c r="I1617" s="2" t="s">
        <v>9</v>
      </c>
    </row>
    <row r="1618" spans="1:9" ht="52" x14ac:dyDescent="0.3">
      <c r="A1618" s="1" t="str">
        <f>HYPERLINK("https://ipmanager.doe.gov/IPManager//ExternalLink.aspx?6ibkph2k9yi6F%2B0Vz7YoTnXVN2REjGcWv%2BvBP7PIi7Q%3D","Link")</f>
        <v>Link</v>
      </c>
      <c r="B1618" s="2" t="s">
        <v>5626</v>
      </c>
      <c r="C1618" s="2" t="s">
        <v>5619</v>
      </c>
      <c r="D1618" s="2" t="s">
        <v>5620</v>
      </c>
      <c r="E1618" s="2" t="s">
        <v>5627</v>
      </c>
      <c r="F1618" s="2" t="s">
        <v>5628</v>
      </c>
      <c r="G1618" s="2" t="s">
        <v>5629</v>
      </c>
      <c r="H1618" s="7"/>
      <c r="I1618" s="2" t="s">
        <v>9</v>
      </c>
    </row>
    <row r="1619" spans="1:9" ht="26" x14ac:dyDescent="0.3">
      <c r="A1619" s="1" t="str">
        <f>HYPERLINK("https://ipmanager.doe.gov/IPManager//ExternalLink.aspx?6ibkph2k9yi6F%2B0Vz7YoTp68px7nSN2gEhcgEuhCCiQ%3D","Link")</f>
        <v>Link</v>
      </c>
      <c r="B1619" s="2" t="s">
        <v>5281</v>
      </c>
      <c r="C1619" s="2" t="s">
        <v>5273</v>
      </c>
      <c r="D1619" s="2" t="s">
        <v>1787</v>
      </c>
      <c r="E1619" s="2" t="s">
        <v>5282</v>
      </c>
      <c r="F1619" s="2" t="s">
        <v>7652</v>
      </c>
      <c r="G1619" s="2" t="s">
        <v>4087</v>
      </c>
      <c r="H1619" s="8">
        <v>9865725</v>
      </c>
      <c r="I1619" s="2" t="s">
        <v>3391</v>
      </c>
    </row>
    <row r="1620" spans="1:9" ht="52" x14ac:dyDescent="0.3">
      <c r="A1620" s="1" t="str">
        <f>HYPERLINK("https://ipmanager.doe.gov/IPManager//ExternalLink.aspx?6ibkph2k9yi6F%2B0Vz7YoTp68px7nSN2g3j2VO3JUDro%3D","Link")</f>
        <v>Link</v>
      </c>
      <c r="B1620" s="2" t="s">
        <v>5283</v>
      </c>
      <c r="C1620" s="2" t="s">
        <v>5273</v>
      </c>
      <c r="D1620" s="2" t="s">
        <v>1787</v>
      </c>
      <c r="E1620" s="2" t="s">
        <v>5284</v>
      </c>
      <c r="F1620" s="2"/>
      <c r="G1620" s="2" t="s">
        <v>9</v>
      </c>
      <c r="H1620" s="7"/>
      <c r="I1620" s="2" t="s">
        <v>9</v>
      </c>
    </row>
    <row r="1621" spans="1:9" ht="78" x14ac:dyDescent="0.3">
      <c r="A1621" s="1" t="str">
        <f>HYPERLINK("https://ipmanager.doe.gov/IPManager//ExternalLink.aspx?6ibkph2k9yi6F%2B0Vz7YoTo7DPLa3%2F%2FGgNkyc8G5W%2BQc%3D","Link")</f>
        <v>Link</v>
      </c>
      <c r="B1621" s="2" t="s">
        <v>5285</v>
      </c>
      <c r="C1621" s="2" t="s">
        <v>5286</v>
      </c>
      <c r="D1621" s="2" t="s">
        <v>135</v>
      </c>
      <c r="E1621" s="2" t="s">
        <v>5287</v>
      </c>
      <c r="F1621" s="2"/>
      <c r="G1621" s="2" t="s">
        <v>9</v>
      </c>
      <c r="H1621" s="7"/>
      <c r="I1621" s="2" t="s">
        <v>9</v>
      </c>
    </row>
    <row r="1622" spans="1:9" ht="26" x14ac:dyDescent="0.3">
      <c r="A1622" s="1" t="str">
        <f>HYPERLINK("https://ipmanager.doe.gov/IPManager//ExternalLink.aspx?6ibkph2k9yi6F%2B0Vz7YoTp68px7nSN2gI%2Fd3TelzRV0%3D","Link")</f>
        <v>Link</v>
      </c>
      <c r="B1622" s="2" t="s">
        <v>5630</v>
      </c>
      <c r="C1622" s="2" t="s">
        <v>5619</v>
      </c>
      <c r="D1622" s="2" t="s">
        <v>5620</v>
      </c>
      <c r="E1622" s="2" t="s">
        <v>5631</v>
      </c>
      <c r="F1622" s="2" t="s">
        <v>5632</v>
      </c>
      <c r="G1622" s="2" t="s">
        <v>3391</v>
      </c>
      <c r="H1622" s="7"/>
      <c r="I1622" s="2" t="s">
        <v>9</v>
      </c>
    </row>
    <row r="1623" spans="1:9" ht="26" x14ac:dyDescent="0.3">
      <c r="A1623" s="1" t="str">
        <f>HYPERLINK("https://ipmanager.doe.gov/IPManager//ExternalLink.aspx?6ibkph2k9yi6F%2B0Vz7YoTp68px7nSN2gxzA40kSuvCk%3D","Link")</f>
        <v>Link</v>
      </c>
      <c r="B1623" s="2" t="s">
        <v>5634</v>
      </c>
      <c r="C1623" s="2" t="s">
        <v>5619</v>
      </c>
      <c r="D1623" s="2" t="s">
        <v>5620</v>
      </c>
      <c r="E1623" s="2" t="s">
        <v>5631</v>
      </c>
      <c r="F1623" s="2" t="s">
        <v>5633</v>
      </c>
      <c r="G1623" s="2" t="s">
        <v>5635</v>
      </c>
      <c r="H1623" s="7"/>
      <c r="I1623" s="2" t="s">
        <v>9</v>
      </c>
    </row>
    <row r="1624" spans="1:9" ht="39" x14ac:dyDescent="0.3">
      <c r="A1624" s="1" t="str">
        <f>HYPERLINK("https://ipmanager.doe.gov/IPManager//ExternalLink.aspx?6ibkph2k9yi6F%2B0Vz7YoTkqAgjuWMa9QB2%2BTToMkW9o%3D","Link")</f>
        <v>Link</v>
      </c>
      <c r="B1624" s="2" t="s">
        <v>4343</v>
      </c>
      <c r="C1624" s="2" t="s">
        <v>4344</v>
      </c>
      <c r="D1624" s="2" t="s">
        <v>4345</v>
      </c>
      <c r="E1624" s="2" t="s">
        <v>4346</v>
      </c>
      <c r="F1624" s="2" t="s">
        <v>4347</v>
      </c>
      <c r="G1624" s="2" t="s">
        <v>1422</v>
      </c>
      <c r="H1624" s="7"/>
      <c r="I1624" s="2" t="s">
        <v>9</v>
      </c>
    </row>
    <row r="1625" spans="1:9" ht="39" x14ac:dyDescent="0.3">
      <c r="A1625" s="1" t="str">
        <f>HYPERLINK("https://ipmanager.doe.gov/IPManager//ExternalLink.aspx?6ibkph2k9yi6F%2B0Vz7YoTvE8yjoHgvp6UkEzk14pkQU%3D","Link")</f>
        <v>Link</v>
      </c>
      <c r="B1625" s="2" t="s">
        <v>5299</v>
      </c>
      <c r="C1625" s="2" t="s">
        <v>5292</v>
      </c>
      <c r="D1625" s="2" t="s">
        <v>770</v>
      </c>
      <c r="E1625" s="2" t="s">
        <v>5300</v>
      </c>
      <c r="F1625" s="2"/>
      <c r="G1625" s="2" t="s">
        <v>9</v>
      </c>
      <c r="H1625" s="7"/>
      <c r="I1625" s="2" t="s">
        <v>9</v>
      </c>
    </row>
    <row r="1626" spans="1:9" ht="26" x14ac:dyDescent="0.3">
      <c r="A1626" s="1" t="str">
        <f>HYPERLINK("https://ipmanager.doe.gov/IPManager//ExternalLink.aspx?6ibkph2k9yi6F%2B0Vz7YoTjnDGhmGHGI7mVqfuXhislI%3D","Link")</f>
        <v>Link</v>
      </c>
      <c r="B1626" s="2" t="s">
        <v>5301</v>
      </c>
      <c r="C1626" s="2" t="s">
        <v>5292</v>
      </c>
      <c r="D1626" s="2" t="s">
        <v>5302</v>
      </c>
      <c r="E1626" s="2"/>
      <c r="F1626" s="2"/>
      <c r="G1626" s="2" t="s">
        <v>9</v>
      </c>
      <c r="H1626" s="7"/>
      <c r="I1626" s="2" t="s">
        <v>9</v>
      </c>
    </row>
    <row r="1627" spans="1:9" ht="52" x14ac:dyDescent="0.3">
      <c r="A1627" s="1" t="str">
        <f>HYPERLINK("https://ipmanager.doe.gov/IPManager//ExternalLink.aspx?6ibkph2k9yi6F%2B0Vz7YoTipZ798QK%2BbPu1RP8B4tNwA%3D","Link")</f>
        <v>Link</v>
      </c>
      <c r="B1627" s="2" t="s">
        <v>4063</v>
      </c>
      <c r="C1627" s="2" t="s">
        <v>4064</v>
      </c>
      <c r="D1627" s="2" t="s">
        <v>3066</v>
      </c>
      <c r="E1627" s="2" t="s">
        <v>4065</v>
      </c>
      <c r="F1627" s="2" t="s">
        <v>7653</v>
      </c>
      <c r="G1627" s="2" t="s">
        <v>3207</v>
      </c>
      <c r="H1627" s="7"/>
      <c r="I1627" s="2" t="s">
        <v>9</v>
      </c>
    </row>
    <row r="1628" spans="1:9" ht="65" x14ac:dyDescent="0.3">
      <c r="A1628" s="1" t="str">
        <f>HYPERLINK("https://ipmanager.doe.gov/IPManager//ExternalLink.aspx?6ibkph2k9yi6F%2B0Vz7YoTo7DPLa3%2F%2FGg8%2FGoOTfC4F8%3D","Link")</f>
        <v>Link</v>
      </c>
      <c r="B1628" s="2" t="s">
        <v>5308</v>
      </c>
      <c r="C1628" s="2" t="s">
        <v>5304</v>
      </c>
      <c r="D1628" s="2" t="s">
        <v>135</v>
      </c>
      <c r="E1628" s="2" t="s">
        <v>5309</v>
      </c>
      <c r="F1628" s="2"/>
      <c r="G1628" s="2" t="s">
        <v>9</v>
      </c>
      <c r="H1628" s="7"/>
      <c r="I1628" s="2" t="s">
        <v>9</v>
      </c>
    </row>
    <row r="1629" spans="1:9" ht="65" x14ac:dyDescent="0.3">
      <c r="A1629" s="1" t="str">
        <f>HYPERLINK("https://ipmanager.doe.gov/IPManager//ExternalLink.aspx?6ibkph2k9yi6F%2B0Vz7YoTgZwfmYxrNyKZKniO%2F98itE%3D","Link")</f>
        <v>Link</v>
      </c>
      <c r="B1629" s="2" t="s">
        <v>5310</v>
      </c>
      <c r="C1629" s="2" t="s">
        <v>5304</v>
      </c>
      <c r="D1629" s="2" t="s">
        <v>135</v>
      </c>
      <c r="E1629" s="2" t="s">
        <v>5311</v>
      </c>
      <c r="F1629" s="2"/>
      <c r="G1629" s="2" t="s">
        <v>9</v>
      </c>
      <c r="H1629" s="7"/>
      <c r="I1629" s="2" t="s">
        <v>9</v>
      </c>
    </row>
    <row r="1630" spans="1:9" ht="65" x14ac:dyDescent="0.3">
      <c r="A1630" s="1" t="str">
        <f>HYPERLINK("https://ipmanager.doe.gov/IPManager//ExternalLink.aspx?6ibkph2k9yi6F%2B0Vz7YoTgZwfmYxrNyKO%2FgB0KF46ZU%3D","Link")</f>
        <v>Link</v>
      </c>
      <c r="B1630" s="2" t="s">
        <v>5312</v>
      </c>
      <c r="C1630" s="2" t="s">
        <v>5304</v>
      </c>
      <c r="D1630" s="2" t="s">
        <v>135</v>
      </c>
      <c r="E1630" s="2" t="s">
        <v>5313</v>
      </c>
      <c r="F1630" s="2" t="s">
        <v>5314</v>
      </c>
      <c r="G1630" s="2" t="s">
        <v>5315</v>
      </c>
      <c r="H1630" s="7" t="s">
        <v>5316</v>
      </c>
      <c r="I1630" s="2" t="s">
        <v>5317</v>
      </c>
    </row>
    <row r="1631" spans="1:9" ht="52" x14ac:dyDescent="0.3">
      <c r="A1631" s="1" t="str">
        <f>HYPERLINK("https://ipmanager.doe.gov/IPManager//ExternalLink.aspx?6ibkph2k9yi6F%2B0Vz7YoTp68px7nSN2guF0E3BZbbkI%3D","Link")</f>
        <v>Link</v>
      </c>
      <c r="B1631" s="2" t="s">
        <v>5318</v>
      </c>
      <c r="C1631" s="2" t="s">
        <v>5319</v>
      </c>
      <c r="D1631" s="2" t="s">
        <v>1433</v>
      </c>
      <c r="E1631" s="2" t="s">
        <v>5320</v>
      </c>
      <c r="F1631" s="2" t="s">
        <v>5321</v>
      </c>
      <c r="G1631" s="2" t="s">
        <v>5322</v>
      </c>
      <c r="H1631" s="7" t="s">
        <v>5323</v>
      </c>
      <c r="I1631" s="2" t="s">
        <v>597</v>
      </c>
    </row>
    <row r="1632" spans="1:9" ht="52" x14ac:dyDescent="0.3">
      <c r="A1632" s="1" t="str">
        <f>HYPERLINK("https://ipmanager.doe.gov/IPManager//ExternalLink.aspx?6ibkph2k9yi6F%2B0Vz7YoTq6RR9BlGHHiWbnWqk97R6Q%3D","Link")</f>
        <v>Link</v>
      </c>
      <c r="B1632" s="2" t="s">
        <v>5324</v>
      </c>
      <c r="C1632" s="2" t="s">
        <v>5319</v>
      </c>
      <c r="D1632" s="2" t="s">
        <v>1433</v>
      </c>
      <c r="E1632" s="2" t="s">
        <v>5325</v>
      </c>
      <c r="F1632" s="2"/>
      <c r="G1632" s="2" t="s">
        <v>9</v>
      </c>
      <c r="H1632" s="7"/>
      <c r="I1632" s="2" t="s">
        <v>9</v>
      </c>
    </row>
    <row r="1633" spans="1:9" ht="52" x14ac:dyDescent="0.3">
      <c r="A1633" s="1" t="str">
        <f>HYPERLINK("https://ipmanager.doe.gov/IPManager//ExternalLink.aspx?6ibkph2k9yi6F%2B0Vz7YoTr7J5I%2BY4foYbTTKbFg4pHc%3D","Link")</f>
        <v>Link</v>
      </c>
      <c r="B1633" s="2" t="s">
        <v>5326</v>
      </c>
      <c r="C1633" s="2" t="s">
        <v>5327</v>
      </c>
      <c r="D1633" s="2" t="s">
        <v>12</v>
      </c>
      <c r="E1633" s="2" t="s">
        <v>5328</v>
      </c>
      <c r="F1633" s="2"/>
      <c r="G1633" s="2" t="s">
        <v>9</v>
      </c>
      <c r="H1633" s="7"/>
      <c r="I1633" s="2" t="s">
        <v>9</v>
      </c>
    </row>
    <row r="1634" spans="1:9" ht="52" x14ac:dyDescent="0.3">
      <c r="A1634" s="1" t="str">
        <f>HYPERLINK("https://ipmanager.doe.gov/IPManager//ExternalLink.aspx?6ibkph2k9yi6F%2B0Vz7YoTsTAnuFk5EoA79MIwhtCl6M%3D","Link")</f>
        <v>Link</v>
      </c>
      <c r="B1634" s="2" t="s">
        <v>6775</v>
      </c>
      <c r="C1634" s="2" t="s">
        <v>6776</v>
      </c>
      <c r="D1634" s="2" t="s">
        <v>3066</v>
      </c>
      <c r="E1634" s="2" t="s">
        <v>6777</v>
      </c>
      <c r="F1634" s="2" t="s">
        <v>6778</v>
      </c>
      <c r="G1634" s="2" t="s">
        <v>5081</v>
      </c>
      <c r="H1634" s="7"/>
      <c r="I1634" s="2" t="s">
        <v>9</v>
      </c>
    </row>
    <row r="1635" spans="1:9" ht="52" x14ac:dyDescent="0.3">
      <c r="A1635" s="1" t="str">
        <f>HYPERLINK("https://ipmanager.doe.gov/IPManager//ExternalLink.aspx?6ibkph2k9yi6F%2B0Vz7YoTvPUg%2FVZPl3i1H7yP1cLqWk%3D","Link")</f>
        <v>Link</v>
      </c>
      <c r="B1635" s="2" t="s">
        <v>6779</v>
      </c>
      <c r="C1635" s="2" t="s">
        <v>6776</v>
      </c>
      <c r="D1635" s="2" t="s">
        <v>3066</v>
      </c>
      <c r="E1635" s="2" t="s">
        <v>6777</v>
      </c>
      <c r="F1635" s="2" t="s">
        <v>6780</v>
      </c>
      <c r="G1635" s="2" t="s">
        <v>5081</v>
      </c>
      <c r="H1635" s="7"/>
      <c r="I1635" s="2" t="s">
        <v>9</v>
      </c>
    </row>
    <row r="1636" spans="1:9" ht="65" x14ac:dyDescent="0.3">
      <c r="A1636" s="1" t="str">
        <f>HYPERLINK("https://ipmanager.doe.gov/IPManager//ExternalLink.aspx?6ibkph2k9yi6F%2B0Vz7YoTjnDGhmGHGI7HklDMrsjGTg%3D","Link")</f>
        <v>Link</v>
      </c>
      <c r="B1636" s="2" t="s">
        <v>5338</v>
      </c>
      <c r="C1636" s="2" t="s">
        <v>5335</v>
      </c>
      <c r="D1636" s="2" t="s">
        <v>135</v>
      </c>
      <c r="E1636" s="2" t="s">
        <v>5339</v>
      </c>
      <c r="F1636" s="2" t="s">
        <v>5340</v>
      </c>
      <c r="G1636" s="2" t="s">
        <v>507</v>
      </c>
      <c r="H1636" s="7"/>
      <c r="I1636" s="2" t="s">
        <v>9</v>
      </c>
    </row>
    <row r="1637" spans="1:9" ht="78" x14ac:dyDescent="0.3">
      <c r="A1637" s="1" t="str">
        <f>HYPERLINK("https://ipmanager.doe.gov/IPManager//ExternalLink.aspx?6ibkph2k9yi6F%2B0Vz7YoTp68px7nSN2gMYzGTnmCttM%3D","Link")</f>
        <v>Link</v>
      </c>
      <c r="B1637" s="2" t="s">
        <v>7189</v>
      </c>
      <c r="C1637" s="2" t="s">
        <v>7190</v>
      </c>
      <c r="D1637" s="2" t="s">
        <v>3066</v>
      </c>
      <c r="E1637" s="2" t="s">
        <v>7191</v>
      </c>
      <c r="F1637" s="2" t="s">
        <v>7192</v>
      </c>
      <c r="G1637" s="2" t="s">
        <v>4780</v>
      </c>
      <c r="H1637" s="7"/>
      <c r="I1637" s="2" t="s">
        <v>9</v>
      </c>
    </row>
    <row r="1638" spans="1:9" ht="26" x14ac:dyDescent="0.3">
      <c r="A1638" s="1" t="str">
        <f>HYPERLINK("https://ipmanager.doe.gov/IPManager//ExternalLink.aspx?6ibkph2k9yi6F%2B0Vz7YoTr7J5I%2BY4foYF%2FYU85f%2FAPY%3D","Link")</f>
        <v>Link</v>
      </c>
      <c r="B1638" s="2" t="s">
        <v>5343</v>
      </c>
      <c r="C1638" s="2" t="s">
        <v>5344</v>
      </c>
      <c r="D1638" s="2" t="s">
        <v>3094</v>
      </c>
      <c r="E1638" s="2" t="s">
        <v>5345</v>
      </c>
      <c r="F1638" s="2"/>
      <c r="G1638" s="2" t="s">
        <v>9</v>
      </c>
      <c r="H1638" s="7"/>
      <c r="I1638" s="2" t="s">
        <v>9</v>
      </c>
    </row>
    <row r="1639" spans="1:9" ht="39" x14ac:dyDescent="0.3">
      <c r="A1639" s="1" t="str">
        <f>HYPERLINK("https://ipmanager.doe.gov/IPManager//ExternalLink.aspx?6ibkph2k9yi6F%2B0Vz7YoTr7J5I%2BY4foYZcjqb%2BkO4Uw%3D","Link")</f>
        <v>Link</v>
      </c>
      <c r="B1639" s="2" t="s">
        <v>5346</v>
      </c>
      <c r="C1639" s="2" t="s">
        <v>5344</v>
      </c>
      <c r="D1639" s="2" t="s">
        <v>3094</v>
      </c>
      <c r="E1639" s="2" t="s">
        <v>5347</v>
      </c>
      <c r="F1639" s="2"/>
      <c r="G1639" s="2" t="s">
        <v>9</v>
      </c>
      <c r="H1639" s="7"/>
      <c r="I1639" s="2" t="s">
        <v>9</v>
      </c>
    </row>
    <row r="1640" spans="1:9" ht="26" x14ac:dyDescent="0.3">
      <c r="A1640" s="1" t="str">
        <f>HYPERLINK("https://ipmanager.doe.gov/IPManager//ExternalLink.aspx?6ibkph2k9yi6F%2B0Vz7YoTjnDGhmGHGI7OeN0eET1PnQ%3D","Link")</f>
        <v>Link</v>
      </c>
      <c r="B1640" s="2" t="s">
        <v>5348</v>
      </c>
      <c r="C1640" s="2" t="s">
        <v>5349</v>
      </c>
      <c r="D1640" s="2" t="s">
        <v>5350</v>
      </c>
      <c r="E1640" s="2" t="s">
        <v>5351</v>
      </c>
      <c r="F1640" s="2" t="s">
        <v>7654</v>
      </c>
      <c r="G1640" s="2" t="s">
        <v>1498</v>
      </c>
      <c r="H1640" s="8">
        <v>9415996</v>
      </c>
      <c r="I1640" s="2" t="s">
        <v>2130</v>
      </c>
    </row>
    <row r="1641" spans="1:9" ht="26" x14ac:dyDescent="0.3">
      <c r="A1641" s="1" t="str">
        <f>HYPERLINK("https://ipmanager.doe.gov/IPManager//ExternalLink.aspx?6ibkph2k9yi6F%2B0Vz7YoTk2BI6w%2FjZ2fMuTdgb7d0Ns%3D","Link")</f>
        <v>Link</v>
      </c>
      <c r="B1641" s="2" t="s">
        <v>5352</v>
      </c>
      <c r="C1641" s="2" t="s">
        <v>5349</v>
      </c>
      <c r="D1641" s="2" t="s">
        <v>5350</v>
      </c>
      <c r="E1641" s="2" t="s">
        <v>5353</v>
      </c>
      <c r="F1641" s="2" t="s">
        <v>5354</v>
      </c>
      <c r="G1641" s="2" t="s">
        <v>1276</v>
      </c>
      <c r="H1641" s="7" t="s">
        <v>5355</v>
      </c>
      <c r="I1641" s="2" t="s">
        <v>2197</v>
      </c>
    </row>
    <row r="1642" spans="1:9" ht="39" x14ac:dyDescent="0.3">
      <c r="A1642" s="1" t="str">
        <f>HYPERLINK("https://ipmanager.doe.gov/IPManager//ExternalLink.aspx?6ibkph2k9yi6F%2B0Vz7YoTgZwfmYxrNyKrb97a5YSSt0%3D","Link")</f>
        <v>Link</v>
      </c>
      <c r="B1642" s="2" t="s">
        <v>5356</v>
      </c>
      <c r="C1642" s="2" t="s">
        <v>5349</v>
      </c>
      <c r="D1642" s="2" t="s">
        <v>5350</v>
      </c>
      <c r="E1642" s="2" t="s">
        <v>5357</v>
      </c>
      <c r="F1642" s="2"/>
      <c r="G1642" s="2" t="s">
        <v>9</v>
      </c>
      <c r="H1642" s="7"/>
      <c r="I1642" s="2" t="s">
        <v>9</v>
      </c>
    </row>
    <row r="1643" spans="1:9" x14ac:dyDescent="0.3">
      <c r="A1643" s="1" t="str">
        <f>HYPERLINK("https://ipmanager.doe.gov/IPManager//ExternalLink.aspx?6ibkph2k9yi6F%2B0Vz7YoTjnDGhmGHGI7VOLhKcK1d5k%3D","Link")</f>
        <v>Link</v>
      </c>
      <c r="B1643" s="2" t="s">
        <v>5358</v>
      </c>
      <c r="C1643" s="2" t="s">
        <v>5349</v>
      </c>
      <c r="D1643" s="2" t="s">
        <v>5350</v>
      </c>
      <c r="E1643" s="2" t="s">
        <v>5359</v>
      </c>
      <c r="F1643" s="2"/>
      <c r="G1643" s="2" t="s">
        <v>9</v>
      </c>
      <c r="H1643" s="7"/>
      <c r="I1643" s="2" t="s">
        <v>9</v>
      </c>
    </row>
    <row r="1644" spans="1:9" ht="52" x14ac:dyDescent="0.3">
      <c r="A1644" s="1" t="str">
        <f>HYPERLINK("https://ipmanager.doe.gov/IPManager//ExternalLink.aspx?6ibkph2k9yi6F%2B0Vz7YoTq6RR9BlGHHi86DQo7WZnho%3D","Link")</f>
        <v>Link</v>
      </c>
      <c r="B1644" s="2" t="s">
        <v>1725</v>
      </c>
      <c r="C1644" s="2" t="s">
        <v>1719</v>
      </c>
      <c r="D1644" s="2" t="s">
        <v>1720</v>
      </c>
      <c r="E1644" s="2" t="s">
        <v>1726</v>
      </c>
      <c r="F1644" s="2" t="s">
        <v>1727</v>
      </c>
      <c r="G1644" s="2" t="s">
        <v>1728</v>
      </c>
      <c r="H1644" s="7"/>
      <c r="I1644" s="2" t="s">
        <v>9</v>
      </c>
    </row>
    <row r="1645" spans="1:9" ht="39" x14ac:dyDescent="0.3">
      <c r="A1645" s="1" t="str">
        <f>HYPERLINK("https://ipmanager.doe.gov/IPManager//ExternalLink.aspx?6ibkph2k9yi6F%2B0Vz7YoTgZwfmYxrNyKcmXRnVpaW5k%3D","Link")</f>
        <v>Link</v>
      </c>
      <c r="B1645" s="2" t="s">
        <v>5364</v>
      </c>
      <c r="C1645" s="2" t="s">
        <v>5365</v>
      </c>
      <c r="D1645" s="2" t="s">
        <v>5366</v>
      </c>
      <c r="E1645" s="2" t="s">
        <v>5367</v>
      </c>
      <c r="F1645" s="2"/>
      <c r="G1645" s="2" t="s">
        <v>9</v>
      </c>
      <c r="H1645" s="7"/>
      <c r="I1645" s="2" t="s">
        <v>9</v>
      </c>
    </row>
    <row r="1646" spans="1:9" ht="78" x14ac:dyDescent="0.3">
      <c r="A1646" s="1" t="str">
        <f>HYPERLINK("https://ipmanager.doe.gov/IPManager//ExternalLink.aspx?6ibkph2k9yi6F%2B0Vz7YoTjnDGhmGHGI7Q5gaCE3OCvs%3D","Link")</f>
        <v>Link</v>
      </c>
      <c r="B1646" s="2" t="s">
        <v>5368</v>
      </c>
      <c r="C1646" s="2" t="s">
        <v>5365</v>
      </c>
      <c r="D1646" s="2" t="s">
        <v>5366</v>
      </c>
      <c r="E1646" s="2" t="s">
        <v>5369</v>
      </c>
      <c r="F1646" s="2"/>
      <c r="G1646" s="2" t="s">
        <v>9</v>
      </c>
      <c r="H1646" s="7"/>
      <c r="I1646" s="2" t="s">
        <v>9</v>
      </c>
    </row>
    <row r="1647" spans="1:9" ht="65" x14ac:dyDescent="0.3">
      <c r="A1647" s="1" t="str">
        <f>HYPERLINK("https://ipmanager.doe.gov/IPManager//ExternalLink.aspx?6ibkph2k9yi6F%2B0Vz7YoTp68px7nSN2goyYEBa1SAkc%3D","Link")</f>
        <v>Link</v>
      </c>
      <c r="B1647" s="2" t="s">
        <v>5576</v>
      </c>
      <c r="C1647" s="2" t="s">
        <v>5577</v>
      </c>
      <c r="D1647" s="2" t="s">
        <v>5578</v>
      </c>
      <c r="E1647" s="2" t="s">
        <v>5579</v>
      </c>
      <c r="F1647" s="2" t="s">
        <v>5580</v>
      </c>
      <c r="G1647" s="2" t="s">
        <v>1459</v>
      </c>
      <c r="H1647" s="7"/>
      <c r="I1647" s="2" t="s">
        <v>9</v>
      </c>
    </row>
    <row r="1648" spans="1:9" ht="65" x14ac:dyDescent="0.3">
      <c r="A1648" s="1" t="str">
        <f>HYPERLINK("https://ipmanager.doe.gov/IPManager//ExternalLink.aspx?6ibkph2k9yi6F%2B0Vz7YoTr7J5I%2BY4foYm5Y7Of7OBOg%3D","Link")</f>
        <v>Link</v>
      </c>
      <c r="B1648" s="2" t="s">
        <v>2725</v>
      </c>
      <c r="C1648" s="2" t="s">
        <v>2720</v>
      </c>
      <c r="D1648" s="2" t="s">
        <v>2726</v>
      </c>
      <c r="E1648" s="2" t="s">
        <v>2727</v>
      </c>
      <c r="F1648" s="2" t="s">
        <v>2728</v>
      </c>
      <c r="G1648" s="2" t="s">
        <v>1512</v>
      </c>
      <c r="H1648" s="7"/>
      <c r="I1648" s="2" t="s">
        <v>9</v>
      </c>
    </row>
    <row r="1649" spans="1:9" ht="65" x14ac:dyDescent="0.3">
      <c r="A1649" s="1" t="str">
        <f>HYPERLINK("https://ipmanager.doe.gov/IPManager//ExternalLink.aspx?6ibkph2k9yi6F%2B0Vz7YoTr7J5I%2BY4foYVIdr8VJqses%3D","Link")</f>
        <v>Link</v>
      </c>
      <c r="B1649" s="2" t="s">
        <v>2731</v>
      </c>
      <c r="C1649" s="2" t="s">
        <v>2720</v>
      </c>
      <c r="D1649" s="2" t="s">
        <v>2726</v>
      </c>
      <c r="E1649" s="2" t="s">
        <v>2727</v>
      </c>
      <c r="F1649" s="2" t="s">
        <v>2732</v>
      </c>
      <c r="G1649" s="2" t="s">
        <v>2579</v>
      </c>
      <c r="H1649" s="7"/>
      <c r="I1649" s="2" t="s">
        <v>9</v>
      </c>
    </row>
    <row r="1650" spans="1:9" ht="78" x14ac:dyDescent="0.3">
      <c r="A1650" s="1" t="str">
        <f>HYPERLINK("https://ipmanager.doe.gov/IPManager//ExternalLink.aspx?6ibkph2k9yi6F%2B0Vz7YoTr7J5I%2BY4foYksuHClu2NcI%3D","Link")</f>
        <v>Link</v>
      </c>
      <c r="B1650" s="2" t="s">
        <v>3085</v>
      </c>
      <c r="C1650" s="2" t="s">
        <v>3074</v>
      </c>
      <c r="D1650" s="2" t="s">
        <v>3075</v>
      </c>
      <c r="E1650" s="2" t="s">
        <v>3076</v>
      </c>
      <c r="F1650" s="2" t="s">
        <v>3086</v>
      </c>
      <c r="G1650" s="2" t="s">
        <v>1217</v>
      </c>
      <c r="H1650" s="7"/>
      <c r="I1650" s="2" t="s">
        <v>9</v>
      </c>
    </row>
    <row r="1651" spans="1:9" ht="52" x14ac:dyDescent="0.3">
      <c r="A1651" s="1" t="str">
        <f>HYPERLINK("https://ipmanager.doe.gov/IPManager//ExternalLink.aspx?6ibkph2k9yi6F%2B0Vz7YoTgZwfmYxrNyKHBwzYiCPB7A%3D","Link")</f>
        <v>Link</v>
      </c>
      <c r="B1651" s="2" t="s">
        <v>5382</v>
      </c>
      <c r="C1651" s="2" t="s">
        <v>5383</v>
      </c>
      <c r="D1651" s="2" t="s">
        <v>5384</v>
      </c>
      <c r="E1651" s="2" t="s">
        <v>5385</v>
      </c>
      <c r="F1651" s="2"/>
      <c r="G1651" s="2" t="s">
        <v>9</v>
      </c>
      <c r="H1651" s="7"/>
      <c r="I1651" s="2" t="s">
        <v>9</v>
      </c>
    </row>
    <row r="1652" spans="1:9" ht="39" x14ac:dyDescent="0.3">
      <c r="A1652" s="1" t="str">
        <f>HYPERLINK("https://ipmanager.doe.gov/IPManager//ExternalLink.aspx?6ibkph2k9yi6F%2B0Vz7YoTjnDGhmGHGI738EJ0jomcA8%3D","Link")</f>
        <v>Link</v>
      </c>
      <c r="B1652" s="2" t="s">
        <v>1186</v>
      </c>
      <c r="C1652" s="2" t="s">
        <v>1187</v>
      </c>
      <c r="D1652" s="2" t="s">
        <v>1188</v>
      </c>
      <c r="E1652" s="2" t="s">
        <v>1189</v>
      </c>
      <c r="F1652" s="2" t="s">
        <v>1190</v>
      </c>
      <c r="G1652" s="2" t="s">
        <v>113</v>
      </c>
      <c r="H1652" s="7"/>
      <c r="I1652" s="2" t="s">
        <v>9</v>
      </c>
    </row>
    <row r="1653" spans="1:9" ht="52" x14ac:dyDescent="0.3">
      <c r="A1653" s="1" t="str">
        <f>HYPERLINK("https://ipmanager.doe.gov/IPManager//ExternalLink.aspx?6ibkph2k9yi6F%2B0Vz7YoTjnDGhmGHGI7sgaavnWJ0K4%3D","Link")</f>
        <v>Link</v>
      </c>
      <c r="B1653" s="2" t="s">
        <v>5390</v>
      </c>
      <c r="C1653" s="2" t="s">
        <v>5383</v>
      </c>
      <c r="D1653" s="2" t="s">
        <v>5384</v>
      </c>
      <c r="E1653" s="2" t="s">
        <v>5391</v>
      </c>
      <c r="F1653" s="2" t="s">
        <v>5392</v>
      </c>
      <c r="G1653" s="2" t="s">
        <v>5393</v>
      </c>
      <c r="H1653" s="7" t="s">
        <v>5394</v>
      </c>
      <c r="I1653" s="2" t="s">
        <v>5395</v>
      </c>
    </row>
    <row r="1654" spans="1:9" ht="65" x14ac:dyDescent="0.3">
      <c r="A1654" s="1" t="str">
        <f>HYPERLINK("https://ipmanager.doe.gov/IPManager//ExternalLink.aspx?6ibkph2k9yi6F%2B0Vz7YoTipZ798QK%2BbPJxYn%2FCJoVYA%3D","Link")</f>
        <v>Link</v>
      </c>
      <c r="B1654" s="2" t="s">
        <v>1195</v>
      </c>
      <c r="C1654" s="2" t="s">
        <v>1187</v>
      </c>
      <c r="D1654" s="2" t="s">
        <v>1188</v>
      </c>
      <c r="E1654" s="2" t="s">
        <v>1196</v>
      </c>
      <c r="F1654" s="2" t="s">
        <v>1197</v>
      </c>
      <c r="G1654" s="2" t="s">
        <v>541</v>
      </c>
      <c r="H1654" s="7"/>
      <c r="I1654" s="2" t="s">
        <v>9</v>
      </c>
    </row>
    <row r="1655" spans="1:9" ht="39" x14ac:dyDescent="0.3">
      <c r="A1655" s="1" t="str">
        <f>HYPERLINK("https://ipmanager.doe.gov/IPManager//ExternalLink.aspx?6ibkph2k9yi6F%2B0Vz7YoTq6RR9BlGHHiLeRFAkS2OFU%3D","Link")</f>
        <v>Link</v>
      </c>
      <c r="B1655" s="2" t="s">
        <v>5399</v>
      </c>
      <c r="C1655" s="2" t="s">
        <v>5383</v>
      </c>
      <c r="D1655" s="2" t="s">
        <v>5384</v>
      </c>
      <c r="E1655" s="2" t="s">
        <v>5400</v>
      </c>
      <c r="F1655" s="2" t="s">
        <v>5401</v>
      </c>
      <c r="G1655" s="2" t="s">
        <v>4000</v>
      </c>
      <c r="H1655" s="7" t="s">
        <v>5402</v>
      </c>
      <c r="I1655" s="2" t="s">
        <v>2712</v>
      </c>
    </row>
    <row r="1656" spans="1:9" ht="65" x14ac:dyDescent="0.3">
      <c r="A1656" s="1" t="str">
        <f>HYPERLINK("https://ipmanager.doe.gov/IPManager//ExternalLink.aspx?6ibkph2k9yi6F%2B0Vz7YoTvPUg%2FVZPl3iTYUfqxm13Oo%3D","Link")</f>
        <v>Link</v>
      </c>
      <c r="B1656" s="2" t="s">
        <v>1202</v>
      </c>
      <c r="C1656" s="2" t="s">
        <v>1187</v>
      </c>
      <c r="D1656" s="2" t="s">
        <v>1188</v>
      </c>
      <c r="E1656" s="2" t="s">
        <v>1196</v>
      </c>
      <c r="F1656" s="2" t="s">
        <v>1203</v>
      </c>
      <c r="G1656" s="2" t="s">
        <v>357</v>
      </c>
      <c r="H1656" s="7"/>
      <c r="I1656" s="2" t="s">
        <v>9</v>
      </c>
    </row>
    <row r="1657" spans="1:9" ht="39" x14ac:dyDescent="0.3">
      <c r="A1657" s="1" t="str">
        <f>HYPERLINK("https://ipmanager.doe.gov/IPManager//ExternalLink.aspx?6ibkph2k9yi6F%2B0Vz7YoTjnDGhmGHGI7IxZK9Qrjn7w%3D","Link")</f>
        <v>Link</v>
      </c>
      <c r="B1657" s="2" t="s">
        <v>5408</v>
      </c>
      <c r="C1657" s="2" t="s">
        <v>5409</v>
      </c>
      <c r="D1657" s="2" t="s">
        <v>1793</v>
      </c>
      <c r="E1657" s="2" t="s">
        <v>5410</v>
      </c>
      <c r="F1657" s="2"/>
      <c r="G1657" s="2" t="s">
        <v>9</v>
      </c>
      <c r="H1657" s="7"/>
      <c r="I1657" s="2" t="s">
        <v>9</v>
      </c>
    </row>
    <row r="1658" spans="1:9" ht="78" x14ac:dyDescent="0.3">
      <c r="A1658" s="1" t="str">
        <f>HYPERLINK("https://ipmanager.doe.gov/IPManager//ExternalLink.aspx?6ibkph2k9yi6F%2B0Vz7YoTq6RR9BlGHHioUiUSWfNWvs%3D","Link")</f>
        <v>Link</v>
      </c>
      <c r="B1658" s="2" t="s">
        <v>5411</v>
      </c>
      <c r="C1658" s="2" t="s">
        <v>5409</v>
      </c>
      <c r="D1658" s="2" t="s">
        <v>1793</v>
      </c>
      <c r="E1658" s="2" t="s">
        <v>5412</v>
      </c>
      <c r="F1658" s="2"/>
      <c r="G1658" s="2" t="s">
        <v>9</v>
      </c>
      <c r="H1658" s="7"/>
      <c r="I1658" s="2" t="s">
        <v>9</v>
      </c>
    </row>
    <row r="1659" spans="1:9" ht="65" x14ac:dyDescent="0.3">
      <c r="A1659" s="1" t="str">
        <f>HYPERLINK("https://ipmanager.doe.gov/IPManager//ExternalLink.aspx?6ibkph2k9yi6F%2B0Vz7YoTgZwfmYxrNyK7pa9ltU1EG4%3D","Link")</f>
        <v>Link</v>
      </c>
      <c r="B1659" s="2" t="s">
        <v>5413</v>
      </c>
      <c r="C1659" s="2" t="s">
        <v>5409</v>
      </c>
      <c r="D1659" s="2" t="s">
        <v>1793</v>
      </c>
      <c r="E1659" s="2" t="s">
        <v>5414</v>
      </c>
      <c r="F1659" s="2"/>
      <c r="G1659" s="2" t="s">
        <v>9</v>
      </c>
      <c r="H1659" s="7"/>
      <c r="I1659" s="2" t="s">
        <v>9</v>
      </c>
    </row>
    <row r="1660" spans="1:9" ht="52" x14ac:dyDescent="0.3">
      <c r="A1660" s="1" t="str">
        <f>HYPERLINK("https://ipmanager.doe.gov/IPManager//ExternalLink.aspx?6ibkph2k9yi6F%2B0Vz7YoTvPUg%2FVZPl3irvkbs1uIGAM%3D","Link")</f>
        <v>Link</v>
      </c>
      <c r="B1660" s="2" t="s">
        <v>1204</v>
      </c>
      <c r="C1660" s="2" t="s">
        <v>1187</v>
      </c>
      <c r="D1660" s="2" t="s">
        <v>1188</v>
      </c>
      <c r="E1660" s="2" t="s">
        <v>1199</v>
      </c>
      <c r="F1660" s="2" t="s">
        <v>1205</v>
      </c>
      <c r="G1660" s="2" t="s">
        <v>1008</v>
      </c>
      <c r="H1660" s="7"/>
      <c r="I1660" s="2"/>
    </row>
    <row r="1661" spans="1:9" ht="39" x14ac:dyDescent="0.3">
      <c r="A1661" s="1" t="str">
        <f>HYPERLINK("https://ipmanager.doe.gov/IPManager//ExternalLink.aspx?6ibkph2k9yi6F%2B0Vz7YoTipZ798QK%2BbP99%2Fw7HtsnVY%3D","Link")</f>
        <v>Link</v>
      </c>
      <c r="B1661" s="2" t="s">
        <v>1206</v>
      </c>
      <c r="C1661" s="2" t="s">
        <v>1187</v>
      </c>
      <c r="D1661" s="2" t="s">
        <v>1188</v>
      </c>
      <c r="E1661" s="2" t="s">
        <v>1207</v>
      </c>
      <c r="F1661" s="2" t="s">
        <v>1208</v>
      </c>
      <c r="G1661" s="2" t="s">
        <v>1209</v>
      </c>
      <c r="H1661" s="7"/>
      <c r="I1661" s="2" t="s">
        <v>9</v>
      </c>
    </row>
    <row r="1662" spans="1:9" ht="39" x14ac:dyDescent="0.3">
      <c r="A1662" s="1" t="str">
        <f>HYPERLINK("https://ipmanager.doe.gov/IPManager//ExternalLink.aspx?6ibkph2k9yi6F%2B0Vz7YoTipZ798QK%2BbPkCuX%2B7ZbaWA%3D","Link")</f>
        <v>Link</v>
      </c>
      <c r="B1662" s="2" t="s">
        <v>1210</v>
      </c>
      <c r="C1662" s="2" t="s">
        <v>1187</v>
      </c>
      <c r="D1662" s="2" t="s">
        <v>1188</v>
      </c>
      <c r="E1662" s="2" t="s">
        <v>1211</v>
      </c>
      <c r="F1662" s="2" t="s">
        <v>1212</v>
      </c>
      <c r="G1662" s="2" t="s">
        <v>1213</v>
      </c>
      <c r="H1662" s="7"/>
      <c r="I1662" s="2" t="s">
        <v>9</v>
      </c>
    </row>
    <row r="1663" spans="1:9" ht="78" x14ac:dyDescent="0.3">
      <c r="A1663" s="1" t="str">
        <f>HYPERLINK("https://ipmanager.doe.gov/IPManager//ExternalLink.aspx?6ibkph2k9yi6F%2B0Vz7YoTgZwfmYxrNyKcNO9ZW7Ct14%3D","Link")</f>
        <v>Link</v>
      </c>
      <c r="B1663" s="2" t="s">
        <v>5427</v>
      </c>
      <c r="C1663" s="2" t="s">
        <v>5428</v>
      </c>
      <c r="D1663" s="2" t="s">
        <v>770</v>
      </c>
      <c r="E1663" s="2" t="s">
        <v>5429</v>
      </c>
      <c r="F1663" s="2"/>
      <c r="G1663" s="2" t="s">
        <v>9</v>
      </c>
      <c r="H1663" s="7"/>
      <c r="I1663" s="2" t="s">
        <v>9</v>
      </c>
    </row>
    <row r="1664" spans="1:9" ht="78" x14ac:dyDescent="0.3">
      <c r="A1664" s="1" t="str">
        <f>HYPERLINK("https://ipmanager.doe.gov/IPManager//ExternalLink.aspx?6ibkph2k9yi6F%2B0Vz7YoTk2BI6w%2FjZ2fzdQHAG4MQag%3D","Link")</f>
        <v>Link</v>
      </c>
      <c r="B1664" s="2" t="s">
        <v>3083</v>
      </c>
      <c r="C1664" s="2" t="s">
        <v>3074</v>
      </c>
      <c r="D1664" s="2" t="s">
        <v>1188</v>
      </c>
      <c r="E1664" s="2" t="s">
        <v>3080</v>
      </c>
      <c r="F1664" s="2" t="s">
        <v>3084</v>
      </c>
      <c r="G1664" s="2" t="s">
        <v>3082</v>
      </c>
      <c r="H1664" s="7"/>
      <c r="I1664" s="2" t="s">
        <v>9</v>
      </c>
    </row>
    <row r="1665" spans="1:9" ht="39" x14ac:dyDescent="0.3">
      <c r="A1665" s="1" t="str">
        <f>HYPERLINK("https://ipmanager.doe.gov/IPManager//ExternalLink.aspx?6ibkph2k9yi6F%2B0Vz7YoTvE8yjoHgvp6BrBXOnfCI6Q%3D","Link")</f>
        <v>Link</v>
      </c>
      <c r="B1665" s="2" t="s">
        <v>3766</v>
      </c>
      <c r="C1665" s="2" t="s">
        <v>3767</v>
      </c>
      <c r="D1665" s="2" t="s">
        <v>3768</v>
      </c>
      <c r="E1665" s="2" t="s">
        <v>3769</v>
      </c>
      <c r="F1665" s="2" t="s">
        <v>7655</v>
      </c>
      <c r="G1665" s="2" t="s">
        <v>3770</v>
      </c>
      <c r="H1665" s="7"/>
      <c r="I1665" s="2" t="s">
        <v>9</v>
      </c>
    </row>
    <row r="1666" spans="1:9" ht="78" x14ac:dyDescent="0.3">
      <c r="A1666" s="1" t="str">
        <f>HYPERLINK("https://ipmanager.doe.gov/IPManager//ExternalLink.aspx?6ibkph2k9yi6F%2B0Vz7YoTgZwfmYxrNyKFeMocFEVgGc%3D","Link")</f>
        <v>Link</v>
      </c>
      <c r="B1666" s="2" t="s">
        <v>6035</v>
      </c>
      <c r="C1666" s="2" t="s">
        <v>6036</v>
      </c>
      <c r="D1666" s="2" t="s">
        <v>3768</v>
      </c>
      <c r="E1666" s="2" t="s">
        <v>6037</v>
      </c>
      <c r="F1666" s="2" t="s">
        <v>6038</v>
      </c>
      <c r="G1666" s="2" t="s">
        <v>2608</v>
      </c>
      <c r="H1666" s="7"/>
      <c r="I1666" s="2" t="s">
        <v>9</v>
      </c>
    </row>
    <row r="1667" spans="1:9" ht="39" x14ac:dyDescent="0.3">
      <c r="A1667" s="1" t="str">
        <f>HYPERLINK("https://ipmanager.doe.gov/IPManager//ExternalLink.aspx?6ibkph2k9yi6F%2B0Vz7YoTgZwfmYxrNyKU70KKaz0jAY%3D","Link")</f>
        <v>Link</v>
      </c>
      <c r="B1667" s="2" t="s">
        <v>5444</v>
      </c>
      <c r="C1667" s="2" t="s">
        <v>5440</v>
      </c>
      <c r="D1667" s="2" t="s">
        <v>770</v>
      </c>
      <c r="E1667" s="2" t="s">
        <v>5445</v>
      </c>
      <c r="F1667" s="2"/>
      <c r="G1667" s="2" t="s">
        <v>9</v>
      </c>
      <c r="H1667" s="7"/>
      <c r="I1667" s="2" t="s">
        <v>9</v>
      </c>
    </row>
    <row r="1668" spans="1:9" ht="52" x14ac:dyDescent="0.3">
      <c r="A1668" s="1" t="str">
        <f>HYPERLINK("https://ipmanager.doe.gov/IPManager//ExternalLink.aspx?6ibkph2k9yi6F%2B0Vz7YoTq6RR9BlGHHitE%2BIJvXlEik%3D","Link")</f>
        <v>Link</v>
      </c>
      <c r="B1668" s="2" t="s">
        <v>5446</v>
      </c>
      <c r="C1668" s="2" t="s">
        <v>5440</v>
      </c>
      <c r="D1668" s="2" t="s">
        <v>770</v>
      </c>
      <c r="E1668" s="2" t="s">
        <v>5447</v>
      </c>
      <c r="F1668" s="2"/>
      <c r="G1668" s="2" t="s">
        <v>9</v>
      </c>
      <c r="H1668" s="7"/>
      <c r="I1668" s="2" t="s">
        <v>9</v>
      </c>
    </row>
    <row r="1669" spans="1:9" ht="52" x14ac:dyDescent="0.3">
      <c r="A1669" s="1" t="str">
        <f>HYPERLINK("https://ipmanager.doe.gov/IPManager//ExternalLink.aspx?6ibkph2k9yi6F%2B0Vz7YoTvPUg%2FVZPl3i4g42jg39%2FNk%3D","Link")</f>
        <v>Link</v>
      </c>
      <c r="B1669" s="2" t="s">
        <v>6040</v>
      </c>
      <c r="C1669" s="2" t="s">
        <v>6036</v>
      </c>
      <c r="D1669" s="2" t="s">
        <v>3768</v>
      </c>
      <c r="E1669" s="2" t="s">
        <v>6041</v>
      </c>
      <c r="F1669" s="2" t="s">
        <v>6042</v>
      </c>
      <c r="G1669" s="2" t="s">
        <v>6043</v>
      </c>
      <c r="H1669" s="7"/>
      <c r="I1669" s="2" t="s">
        <v>9</v>
      </c>
    </row>
    <row r="1670" spans="1:9" ht="78" x14ac:dyDescent="0.3">
      <c r="A1670" s="1" t="str">
        <f>HYPERLINK("https://ipmanager.doe.gov/IPManager//ExternalLink.aspx?6ibkph2k9yi6F%2B0Vz7YoTvE8yjoHgvp6kfY2oah6%2BQM%3D","Link")</f>
        <v>Link</v>
      </c>
      <c r="B1670" s="2" t="s">
        <v>7285</v>
      </c>
      <c r="C1670" s="2" t="s">
        <v>7286</v>
      </c>
      <c r="D1670" s="2" t="s">
        <v>3768</v>
      </c>
      <c r="E1670" s="2" t="s">
        <v>7287</v>
      </c>
      <c r="F1670" s="2" t="s">
        <v>7288</v>
      </c>
      <c r="G1670" s="2" t="s">
        <v>1265</v>
      </c>
      <c r="H1670" s="7"/>
      <c r="I1670" s="2" t="s">
        <v>9</v>
      </c>
    </row>
    <row r="1671" spans="1:9" ht="26" x14ac:dyDescent="0.3">
      <c r="A1671" s="1" t="str">
        <f>HYPERLINK("https://ipmanager.doe.gov/IPManager//ExternalLink.aspx?6ibkph2k9yi6F%2B0Vz7YoTvPUg%2FVZPl3iWiJhu1qH38k%3D","Link")</f>
        <v>Link</v>
      </c>
      <c r="B1671" s="2" t="s">
        <v>6485</v>
      </c>
      <c r="C1671" s="2" t="s">
        <v>6486</v>
      </c>
      <c r="D1671" s="2" t="s">
        <v>6487</v>
      </c>
      <c r="E1671" s="2" t="s">
        <v>6488</v>
      </c>
      <c r="F1671" s="2" t="s">
        <v>6489</v>
      </c>
      <c r="G1671" s="2" t="s">
        <v>1256</v>
      </c>
      <c r="H1671" s="7"/>
      <c r="I1671" s="2" t="s">
        <v>9</v>
      </c>
    </row>
    <row r="1672" spans="1:9" ht="26" x14ac:dyDescent="0.3">
      <c r="A1672" s="1" t="str">
        <f>HYPERLINK("https://ipmanager.doe.gov/IPManager//ExternalLink.aspx?6ibkph2k9yi6F%2B0Vz7YoTkqAgjuWMa9QNETZ78ngnKY%3D","Link")</f>
        <v>Link</v>
      </c>
      <c r="B1672" s="2" t="s">
        <v>6491</v>
      </c>
      <c r="C1672" s="2" t="s">
        <v>6486</v>
      </c>
      <c r="D1672" s="2" t="s">
        <v>6487</v>
      </c>
      <c r="E1672" s="2" t="s">
        <v>6492</v>
      </c>
      <c r="F1672" s="2" t="s">
        <v>6493</v>
      </c>
      <c r="G1672" s="2" t="s">
        <v>940</v>
      </c>
      <c r="H1672" s="7"/>
      <c r="I1672" s="2" t="s">
        <v>9</v>
      </c>
    </row>
    <row r="1673" spans="1:9" ht="39" x14ac:dyDescent="0.3">
      <c r="A1673" s="1" t="str">
        <f>HYPERLINK("https://ipmanager.doe.gov/IPManager//ExternalLink.aspx?6ibkph2k9yi6F%2B0Vz7YoTo7DPLa3%2F%2FGgC3irNfV%2FFKU%3D","Link")</f>
        <v>Link</v>
      </c>
      <c r="B1673" s="2" t="s">
        <v>6494</v>
      </c>
      <c r="C1673" s="2" t="s">
        <v>6486</v>
      </c>
      <c r="D1673" s="2" t="s">
        <v>6487</v>
      </c>
      <c r="E1673" s="2" t="s">
        <v>6495</v>
      </c>
      <c r="F1673" s="2" t="s">
        <v>6496</v>
      </c>
      <c r="G1673" s="2" t="s">
        <v>6497</v>
      </c>
      <c r="H1673" s="7"/>
      <c r="I1673" s="2" t="s">
        <v>9</v>
      </c>
    </row>
    <row r="1674" spans="1:9" ht="26" x14ac:dyDescent="0.3">
      <c r="A1674" s="1" t="str">
        <f>HYPERLINK("https://ipmanager.doe.gov/IPManager//ExternalLink.aspx?6ibkph2k9yi6F%2B0Vz7YoTo7DPLa3%2F%2FGgBDq7XTSLw9Q%3D","Link")</f>
        <v>Link</v>
      </c>
      <c r="B1674" s="2" t="s">
        <v>6498</v>
      </c>
      <c r="C1674" s="2" t="s">
        <v>6486</v>
      </c>
      <c r="D1674" s="2" t="s">
        <v>6487</v>
      </c>
      <c r="E1674" s="2" t="s">
        <v>6499</v>
      </c>
      <c r="F1674" s="2" t="s">
        <v>6500</v>
      </c>
      <c r="G1674" s="2" t="s">
        <v>1483</v>
      </c>
      <c r="H1674" s="7"/>
      <c r="I1674" s="2" t="s">
        <v>9</v>
      </c>
    </row>
    <row r="1675" spans="1:9" ht="26" x14ac:dyDescent="0.3">
      <c r="A1675" s="1" t="str">
        <f>HYPERLINK("https://ipmanager.doe.gov/IPManager//ExternalLink.aspx?6ibkph2k9yi6F%2B0Vz7YoTq6RR9BlGHHihPt8ChA8bn8%3D","Link")</f>
        <v>Link</v>
      </c>
      <c r="B1675" s="2" t="s">
        <v>6501</v>
      </c>
      <c r="C1675" s="2" t="s">
        <v>6486</v>
      </c>
      <c r="D1675" s="2" t="s">
        <v>6487</v>
      </c>
      <c r="E1675" s="2" t="s">
        <v>6502</v>
      </c>
      <c r="F1675" s="2" t="s">
        <v>6503</v>
      </c>
      <c r="G1675" s="2" t="s">
        <v>5107</v>
      </c>
      <c r="H1675" s="7"/>
      <c r="I1675" s="2" t="s">
        <v>9</v>
      </c>
    </row>
    <row r="1676" spans="1:9" ht="52" x14ac:dyDescent="0.3">
      <c r="A1676" s="1" t="str">
        <f>HYPERLINK("https://ipmanager.doe.gov/IPManager//ExternalLink.aspx?6ibkph2k9yi6F%2B0Vz7YoTgZwfmYxrNyKocRU%2FyFha5c%3D","Link")</f>
        <v>Link</v>
      </c>
      <c r="B1676" s="2" t="s">
        <v>5473</v>
      </c>
      <c r="C1676" s="2" t="s">
        <v>5469</v>
      </c>
      <c r="D1676" s="2" t="s">
        <v>132</v>
      </c>
      <c r="E1676" s="2" t="s">
        <v>5474</v>
      </c>
      <c r="F1676" s="2"/>
      <c r="G1676" s="2" t="s">
        <v>9</v>
      </c>
      <c r="H1676" s="7"/>
      <c r="I1676" s="2" t="s">
        <v>9</v>
      </c>
    </row>
    <row r="1677" spans="1:9" ht="26" x14ac:dyDescent="0.3">
      <c r="A1677" s="1" t="str">
        <f>HYPERLINK("https://ipmanager.doe.gov/IPManager//ExternalLink.aspx?6ibkph2k9yi6F%2B0Vz7YoThEBhkR3uHVrXqoa7oDznjU%3D","Link")</f>
        <v>Link</v>
      </c>
      <c r="B1677" s="2" t="s">
        <v>5138</v>
      </c>
      <c r="C1677" s="2" t="s">
        <v>5139</v>
      </c>
      <c r="D1677" s="2" t="s">
        <v>5140</v>
      </c>
      <c r="E1677" s="2" t="s">
        <v>5141</v>
      </c>
      <c r="F1677" s="2" t="s">
        <v>5142</v>
      </c>
      <c r="G1677" s="2" t="s">
        <v>5143</v>
      </c>
      <c r="H1677" s="7"/>
      <c r="I1677" s="2" t="s">
        <v>9</v>
      </c>
    </row>
    <row r="1678" spans="1:9" ht="26" x14ac:dyDescent="0.3">
      <c r="A1678" s="1" t="str">
        <f>HYPERLINK("https://ipmanager.doe.gov/IPManager//ExternalLink.aspx?6ibkph2k9yi6F%2B0Vz7YoTq6RR9BlGHHiFGaYDgvb0qk%3D","Link")</f>
        <v>Link</v>
      </c>
      <c r="B1678" s="2" t="s">
        <v>5479</v>
      </c>
      <c r="C1678" s="2" t="s">
        <v>5480</v>
      </c>
      <c r="D1678" s="2" t="s">
        <v>4631</v>
      </c>
      <c r="E1678" s="2" t="s">
        <v>5481</v>
      </c>
      <c r="F1678" s="2"/>
      <c r="G1678" s="2" t="s">
        <v>9</v>
      </c>
      <c r="H1678" s="7"/>
      <c r="I1678" s="2" t="s">
        <v>9</v>
      </c>
    </row>
    <row r="1679" spans="1:9" ht="52" x14ac:dyDescent="0.3">
      <c r="A1679" s="1" t="str">
        <f>HYPERLINK("https://ipmanager.doe.gov/IPManager//ExternalLink.aspx?6ibkph2k9yi6F%2B0Vz7YoThEBhkR3uHVr6FayW9196jc%3D","Link")</f>
        <v>Link</v>
      </c>
      <c r="B1679" s="2" t="s">
        <v>5144</v>
      </c>
      <c r="C1679" s="2" t="s">
        <v>5139</v>
      </c>
      <c r="D1679" s="2" t="s">
        <v>5140</v>
      </c>
      <c r="E1679" s="2" t="s">
        <v>5145</v>
      </c>
      <c r="F1679" s="2" t="s">
        <v>7656</v>
      </c>
      <c r="G1679" s="2" t="s">
        <v>5146</v>
      </c>
      <c r="H1679" s="7"/>
      <c r="I1679" s="2" t="s">
        <v>9</v>
      </c>
    </row>
    <row r="1680" spans="1:9" ht="65" x14ac:dyDescent="0.3">
      <c r="A1680" s="1" t="str">
        <f>HYPERLINK("https://ipmanager.doe.gov/IPManager//ExternalLink.aspx?6ibkph2k9yi6F%2B0Vz7YoTjnDGhmGHGI7LQ%2FgznYAWeM%3D","Link")</f>
        <v>Link</v>
      </c>
      <c r="B1680" s="2" t="s">
        <v>5448</v>
      </c>
      <c r="C1680" s="2" t="s">
        <v>5449</v>
      </c>
      <c r="D1680" s="2" t="s">
        <v>5450</v>
      </c>
      <c r="E1680" s="2" t="s">
        <v>5451</v>
      </c>
      <c r="F1680" s="2" t="s">
        <v>5452</v>
      </c>
      <c r="G1680" s="2" t="s">
        <v>5453</v>
      </c>
      <c r="H1680" s="7"/>
      <c r="I1680" s="2" t="s">
        <v>9</v>
      </c>
    </row>
    <row r="1681" spans="1:9" ht="39" x14ac:dyDescent="0.3">
      <c r="A1681" s="1" t="str">
        <f>HYPERLINK("https://ipmanager.doe.gov/IPManager//ExternalLink.aspx?6ibkph2k9yi6F%2B0Vz7YoTjnDGhmGHGI7ljUtesJprqk%3D","Link")</f>
        <v>Link</v>
      </c>
      <c r="B1681" s="2" t="s">
        <v>5455</v>
      </c>
      <c r="C1681" s="2" t="s">
        <v>5449</v>
      </c>
      <c r="D1681" s="2" t="s">
        <v>5450</v>
      </c>
      <c r="E1681" s="2" t="s">
        <v>5456</v>
      </c>
      <c r="F1681" s="2" t="s">
        <v>5457</v>
      </c>
      <c r="G1681" s="2" t="s">
        <v>5453</v>
      </c>
      <c r="H1681" s="7"/>
      <c r="I1681" s="2" t="s">
        <v>9</v>
      </c>
    </row>
    <row r="1682" spans="1:9" ht="52" x14ac:dyDescent="0.3">
      <c r="A1682" s="1" t="str">
        <f>HYPERLINK("https://ipmanager.doe.gov/IPManager//ExternalLink.aspx?6ibkph2k9yi6F%2B0Vz7YoTvE8yjoHgvp6GY%2FaOp3%2BGOk%3D","Link")</f>
        <v>Link</v>
      </c>
      <c r="B1682" s="2" t="s">
        <v>5458</v>
      </c>
      <c r="C1682" s="2" t="s">
        <v>5449</v>
      </c>
      <c r="D1682" s="2" t="s">
        <v>5450</v>
      </c>
      <c r="E1682" s="2" t="s">
        <v>5459</v>
      </c>
      <c r="F1682" s="2" t="s">
        <v>7657</v>
      </c>
      <c r="G1682" s="2" t="s">
        <v>5460</v>
      </c>
      <c r="H1682" s="7"/>
      <c r="I1682" s="2" t="s">
        <v>9</v>
      </c>
    </row>
    <row r="1683" spans="1:9" ht="65" x14ac:dyDescent="0.3">
      <c r="A1683" s="1" t="str">
        <f>HYPERLINK("https://ipmanager.doe.gov/IPManager//ExternalLink.aspx?6ibkph2k9yi6F%2B0Vz7YoTvE8yjoHgvp6rh70y49NrmY%3D","Link")</f>
        <v>Link</v>
      </c>
      <c r="B1683" s="2" t="s">
        <v>5461</v>
      </c>
      <c r="C1683" s="2" t="s">
        <v>5449</v>
      </c>
      <c r="D1683" s="2" t="s">
        <v>5450</v>
      </c>
      <c r="E1683" s="2" t="s">
        <v>5462</v>
      </c>
      <c r="F1683" s="2" t="s">
        <v>5463</v>
      </c>
      <c r="G1683" s="2" t="s">
        <v>4330</v>
      </c>
      <c r="H1683" s="7"/>
      <c r="I1683" s="2" t="s">
        <v>9</v>
      </c>
    </row>
    <row r="1684" spans="1:9" ht="65" x14ac:dyDescent="0.3">
      <c r="A1684" s="1" t="str">
        <f>HYPERLINK("https://ipmanager.doe.gov/IPManager//ExternalLink.aspx?6ibkph2k9yi6F%2B0Vz7YoTgZwfmYxrNyKtBYQ8hY6XEY%3D","Link")</f>
        <v>Link</v>
      </c>
      <c r="B1684" s="2" t="s">
        <v>5464</v>
      </c>
      <c r="C1684" s="2" t="s">
        <v>5449</v>
      </c>
      <c r="D1684" s="2" t="s">
        <v>5450</v>
      </c>
      <c r="E1684" s="2" t="s">
        <v>5462</v>
      </c>
      <c r="F1684" s="2" t="s">
        <v>5465</v>
      </c>
      <c r="G1684" s="2" t="s">
        <v>5228</v>
      </c>
      <c r="H1684" s="7"/>
      <c r="I1684" s="2" t="s">
        <v>9</v>
      </c>
    </row>
    <row r="1685" spans="1:9" ht="65" x14ac:dyDescent="0.3">
      <c r="A1685" s="1" t="str">
        <f>HYPERLINK("https://ipmanager.doe.gov/IPManager//ExternalLink.aspx?6ibkph2k9yi6F%2B0Vz7YoTnXVN2REjGcWOsJy01mxHxI%3D","Link")</f>
        <v>Link</v>
      </c>
      <c r="B1685" s="2" t="s">
        <v>5466</v>
      </c>
      <c r="C1685" s="2" t="s">
        <v>5449</v>
      </c>
      <c r="D1685" s="2" t="s">
        <v>5450</v>
      </c>
      <c r="E1685" s="2" t="s">
        <v>5467</v>
      </c>
      <c r="F1685" s="2" t="s">
        <v>7658</v>
      </c>
      <c r="G1685" s="2" t="s">
        <v>1846</v>
      </c>
      <c r="H1685" s="7"/>
      <c r="I1685" s="2" t="s">
        <v>9</v>
      </c>
    </row>
    <row r="1686" spans="1:9" ht="65" x14ac:dyDescent="0.3">
      <c r="A1686" s="1" t="str">
        <f>HYPERLINK("https://ipmanager.doe.gov/IPManager//ExternalLink.aspx?6ibkph2k9yi6F%2B0Vz7YoTgZwfmYxrNyK9f5f1O6zW7Q%3D","Link")</f>
        <v>Link</v>
      </c>
      <c r="B1686" s="2" t="s">
        <v>1967</v>
      </c>
      <c r="C1686" s="2" t="s">
        <v>1951</v>
      </c>
      <c r="D1686" s="2" t="s">
        <v>1968</v>
      </c>
      <c r="E1686" s="2" t="s">
        <v>1969</v>
      </c>
      <c r="F1686" s="2" t="s">
        <v>1970</v>
      </c>
      <c r="G1686" s="2" t="s">
        <v>728</v>
      </c>
      <c r="H1686" s="7"/>
      <c r="I1686" s="2" t="s">
        <v>9</v>
      </c>
    </row>
    <row r="1687" spans="1:9" ht="39" x14ac:dyDescent="0.3">
      <c r="A1687" s="1" t="str">
        <f>HYPERLINK("https://ipmanager.doe.gov/IPManager//ExternalLink.aspx?6ibkph2k9yi6F%2B0Vz7YoTq6RR9BlGHHigcN0NPXLyX0%3D","Link")</f>
        <v>Link</v>
      </c>
      <c r="B1687" s="2" t="s">
        <v>5504</v>
      </c>
      <c r="C1687" s="2" t="s">
        <v>5505</v>
      </c>
      <c r="D1687" s="2" t="s">
        <v>5506</v>
      </c>
      <c r="E1687" s="2" t="s">
        <v>5507</v>
      </c>
      <c r="F1687" s="2"/>
      <c r="G1687" s="2" t="s">
        <v>9</v>
      </c>
      <c r="H1687" s="7"/>
      <c r="I1687" s="2" t="s">
        <v>9</v>
      </c>
    </row>
    <row r="1688" spans="1:9" ht="65" x14ac:dyDescent="0.3">
      <c r="A1688" s="1" t="str">
        <f>HYPERLINK("https://ipmanager.doe.gov/IPManager//ExternalLink.aspx?6ibkph2k9yi6F%2B0Vz7YoTo7DPLa3%2F%2FGg5dS2aB17SsQ%3D","Link")</f>
        <v>Link</v>
      </c>
      <c r="B1688" s="2" t="s">
        <v>5508</v>
      </c>
      <c r="C1688" s="2" t="s">
        <v>5505</v>
      </c>
      <c r="D1688" s="2" t="s">
        <v>5506</v>
      </c>
      <c r="E1688" s="2" t="s">
        <v>5509</v>
      </c>
      <c r="F1688" s="2"/>
      <c r="G1688" s="2" t="s">
        <v>9</v>
      </c>
      <c r="H1688" s="7"/>
      <c r="I1688" s="2" t="s">
        <v>9</v>
      </c>
    </row>
    <row r="1689" spans="1:9" ht="65" x14ac:dyDescent="0.3">
      <c r="A1689" s="1" t="str">
        <f>HYPERLINK("https://ipmanager.doe.gov/IPManager//ExternalLink.aspx?6ibkph2k9yi6F%2B0Vz7YoTvPUg%2FVZPl3ikgllDhNA6sE%3D","Link")</f>
        <v>Link</v>
      </c>
      <c r="B1689" s="2" t="s">
        <v>5510</v>
      </c>
      <c r="C1689" s="2" t="s">
        <v>5505</v>
      </c>
      <c r="D1689" s="2" t="s">
        <v>5506</v>
      </c>
      <c r="E1689" s="2" t="s">
        <v>5511</v>
      </c>
      <c r="F1689" s="2"/>
      <c r="G1689" s="2" t="s">
        <v>9</v>
      </c>
      <c r="H1689" s="7"/>
      <c r="I1689" s="2" t="s">
        <v>9</v>
      </c>
    </row>
    <row r="1690" spans="1:9" ht="26" x14ac:dyDescent="0.3">
      <c r="A1690" s="1" t="str">
        <f>HYPERLINK("https://ipmanager.doe.gov/IPManager//ExternalLink.aspx?6ibkph2k9yi6F%2B0Vz7YoTvPUg%2FVZPl3iy6x3iOREUSU%3D","Link")</f>
        <v>Link</v>
      </c>
      <c r="B1690" s="2" t="s">
        <v>5512</v>
      </c>
      <c r="C1690" s="2" t="s">
        <v>5505</v>
      </c>
      <c r="D1690" s="2" t="s">
        <v>5506</v>
      </c>
      <c r="E1690" s="2" t="s">
        <v>5513</v>
      </c>
      <c r="F1690" s="2"/>
      <c r="G1690" s="2" t="s">
        <v>9</v>
      </c>
      <c r="H1690" s="7"/>
      <c r="I1690" s="2" t="s">
        <v>9</v>
      </c>
    </row>
    <row r="1691" spans="1:9" ht="26" x14ac:dyDescent="0.3">
      <c r="A1691" s="1" t="str">
        <f>HYPERLINK("https://ipmanager.doe.gov/IPManager//ExternalLink.aspx?6ibkph2k9yi6F%2B0Vz7YoTgZwfmYxrNyKmAvDHkOPE2E%3D","Link")</f>
        <v>Link</v>
      </c>
      <c r="B1691" s="2" t="s">
        <v>1971</v>
      </c>
      <c r="C1691" s="2" t="s">
        <v>1951</v>
      </c>
      <c r="D1691" s="2" t="s">
        <v>1968</v>
      </c>
      <c r="E1691" s="2" t="s">
        <v>1972</v>
      </c>
      <c r="F1691" s="2" t="s">
        <v>1973</v>
      </c>
      <c r="G1691" s="2" t="s">
        <v>773</v>
      </c>
      <c r="H1691" s="7"/>
      <c r="I1691" s="2" t="s">
        <v>9</v>
      </c>
    </row>
    <row r="1692" spans="1:9" ht="26" x14ac:dyDescent="0.3">
      <c r="A1692" s="1" t="str">
        <f>HYPERLINK("https://ipmanager.doe.gov/IPManager//ExternalLink.aspx?6ibkph2k9yi6F%2B0Vz7YoTipZ798QK%2BbP4%2BT3skx5fvQ%3D","Link")</f>
        <v>Link</v>
      </c>
      <c r="B1692" s="2" t="s">
        <v>1978</v>
      </c>
      <c r="C1692" s="2" t="s">
        <v>1951</v>
      </c>
      <c r="D1692" s="2" t="s">
        <v>1968</v>
      </c>
      <c r="E1692" s="2" t="s">
        <v>1979</v>
      </c>
      <c r="F1692" s="2" t="s">
        <v>1980</v>
      </c>
      <c r="G1692" s="2" t="s">
        <v>1981</v>
      </c>
      <c r="H1692" s="7"/>
      <c r="I1692" s="2" t="s">
        <v>9</v>
      </c>
    </row>
    <row r="1693" spans="1:9" ht="39" x14ac:dyDescent="0.3">
      <c r="A1693" s="1" t="str">
        <f>HYPERLINK("https://ipmanager.doe.gov/IPManager//ExternalLink.aspx?6ibkph2k9yi6F%2B0Vz7YoTgZwfmYxrNyKLpBBz%2BJeVYw%3D","Link")</f>
        <v>Link</v>
      </c>
      <c r="B1693" s="2" t="s">
        <v>2021</v>
      </c>
      <c r="C1693" s="2" t="s">
        <v>2018</v>
      </c>
      <c r="D1693" s="2" t="s">
        <v>2019</v>
      </c>
      <c r="E1693" s="2" t="s">
        <v>2022</v>
      </c>
      <c r="F1693" s="2" t="s">
        <v>2023</v>
      </c>
      <c r="G1693" s="2" t="s">
        <v>2024</v>
      </c>
      <c r="H1693" s="7"/>
      <c r="I1693" s="2" t="s">
        <v>9</v>
      </c>
    </row>
    <row r="1694" spans="1:9" ht="39" x14ac:dyDescent="0.3">
      <c r="A1694" s="1" t="str">
        <f>HYPERLINK("https://ipmanager.doe.gov/IPManager//ExternalLink.aspx?6ibkph2k9yi6F%2B0Vz7YoTlNm8snv%2FZpHUU1Xw57CHu8%3D","Link")</f>
        <v>Link</v>
      </c>
      <c r="B1694" s="2" t="s">
        <v>2025</v>
      </c>
      <c r="C1694" s="2" t="s">
        <v>2018</v>
      </c>
      <c r="D1694" s="2" t="s">
        <v>2019</v>
      </c>
      <c r="E1694" s="2" t="s">
        <v>2022</v>
      </c>
      <c r="F1694" s="2" t="s">
        <v>2026</v>
      </c>
      <c r="G1694" s="2" t="s">
        <v>258</v>
      </c>
      <c r="H1694" s="7"/>
      <c r="I1694" s="2" t="s">
        <v>9</v>
      </c>
    </row>
    <row r="1695" spans="1:9" ht="39" x14ac:dyDescent="0.3">
      <c r="A1695" s="1" t="str">
        <f>HYPERLINK("https://ipmanager.doe.gov/IPManager//ExternalLink.aspx?6ibkph2k9yi6F%2B0Vz7YoTq6RR9BlGHHi8295%2BK9%2FUJ0%3D","Link")</f>
        <v>Link</v>
      </c>
      <c r="B1695" s="2" t="s">
        <v>2027</v>
      </c>
      <c r="C1695" s="2" t="s">
        <v>2018</v>
      </c>
      <c r="D1695" s="2" t="s">
        <v>2019</v>
      </c>
      <c r="E1695" s="2" t="s">
        <v>2028</v>
      </c>
      <c r="F1695" s="2" t="s">
        <v>2029</v>
      </c>
      <c r="G1695" s="2" t="s">
        <v>1660</v>
      </c>
      <c r="H1695" s="7"/>
      <c r="I1695" s="2" t="s">
        <v>9</v>
      </c>
    </row>
    <row r="1696" spans="1:9" ht="65" x14ac:dyDescent="0.3">
      <c r="A1696" s="1" t="str">
        <f>HYPERLINK("https://ipmanager.doe.gov/IPManager//ExternalLink.aspx?6ibkph2k9yi6F%2B0Vz7YoTq6RR9BlGHHib53%2BwSEb9bE%3D","Link")</f>
        <v>Link</v>
      </c>
      <c r="B1696" s="2" t="s">
        <v>2045</v>
      </c>
      <c r="C1696" s="2" t="s">
        <v>2046</v>
      </c>
      <c r="D1696" s="2" t="s">
        <v>2019</v>
      </c>
      <c r="E1696" s="2" t="s">
        <v>2047</v>
      </c>
      <c r="F1696" s="2" t="s">
        <v>2048</v>
      </c>
      <c r="G1696" s="2" t="s">
        <v>392</v>
      </c>
      <c r="H1696" s="7"/>
      <c r="I1696" s="2" t="s">
        <v>9</v>
      </c>
    </row>
    <row r="1697" spans="1:9" ht="65" x14ac:dyDescent="0.3">
      <c r="A1697" s="1" t="str">
        <f>HYPERLINK("https://ipmanager.doe.gov/IPManager//ExternalLink.aspx?6ibkph2k9yi6F%2B0Vz7YoTvPUg%2FVZPl3iEKM8GAXiej4%3D","Link")</f>
        <v>Link</v>
      </c>
      <c r="B1697" s="2" t="s">
        <v>5536</v>
      </c>
      <c r="C1697" s="2" t="s">
        <v>5537</v>
      </c>
      <c r="D1697" s="2" t="s">
        <v>5538</v>
      </c>
      <c r="E1697" s="2" t="s">
        <v>5539</v>
      </c>
      <c r="F1697" s="2"/>
      <c r="G1697" s="2" t="s">
        <v>9</v>
      </c>
      <c r="H1697" s="7"/>
      <c r="I1697" s="2" t="s">
        <v>9</v>
      </c>
    </row>
    <row r="1698" spans="1:9" ht="39" x14ac:dyDescent="0.3">
      <c r="A1698" s="1" t="str">
        <f>HYPERLINK("https://ipmanager.doe.gov/IPManager//ExternalLink.aspx?6ibkph2k9yi6F%2B0Vz7YoTq6RR9BlGHHiIeMXhUePcPA%3D","Link")</f>
        <v>Link</v>
      </c>
      <c r="B1698" s="2" t="s">
        <v>2050</v>
      </c>
      <c r="C1698" s="2" t="s">
        <v>2046</v>
      </c>
      <c r="D1698" s="2" t="s">
        <v>2019</v>
      </c>
      <c r="E1698" s="2" t="s">
        <v>2051</v>
      </c>
      <c r="F1698" s="2" t="s">
        <v>2052</v>
      </c>
      <c r="G1698" s="2" t="s">
        <v>2053</v>
      </c>
      <c r="H1698" s="7"/>
      <c r="I1698" s="2" t="s">
        <v>9</v>
      </c>
    </row>
    <row r="1699" spans="1:9" ht="65" x14ac:dyDescent="0.3">
      <c r="A1699" s="1" t="str">
        <f>HYPERLINK("https://ipmanager.doe.gov/IPManager//ExternalLink.aspx?6ibkph2k9yi6F%2B0Vz7YoTq6RR9BlGHHiGBnhmlaekXw%3D","Link")</f>
        <v>Link</v>
      </c>
      <c r="B1699" s="2" t="s">
        <v>5543</v>
      </c>
      <c r="C1699" s="2" t="s">
        <v>5537</v>
      </c>
      <c r="D1699" s="2" t="s">
        <v>4141</v>
      </c>
      <c r="E1699" s="2" t="s">
        <v>5544</v>
      </c>
      <c r="F1699" s="2" t="s">
        <v>5545</v>
      </c>
      <c r="G1699" s="2" t="s">
        <v>5546</v>
      </c>
      <c r="H1699" s="7"/>
      <c r="I1699" s="2" t="s">
        <v>9</v>
      </c>
    </row>
    <row r="1700" spans="1:9" ht="39" x14ac:dyDescent="0.3">
      <c r="A1700" s="1" t="str">
        <f>HYPERLINK("https://ipmanager.doe.gov/IPManager//ExternalLink.aspx?6ibkph2k9yi6F%2B0Vz7YoTnXVN2REjGcWurP85ATMXdA%3D","Link")</f>
        <v>Link</v>
      </c>
      <c r="B1700" s="2" t="s">
        <v>5547</v>
      </c>
      <c r="C1700" s="2" t="s">
        <v>5537</v>
      </c>
      <c r="D1700" s="2" t="s">
        <v>4141</v>
      </c>
      <c r="E1700" s="2" t="s">
        <v>5548</v>
      </c>
      <c r="F1700" s="2" t="s">
        <v>5549</v>
      </c>
      <c r="G1700" s="2" t="s">
        <v>5426</v>
      </c>
      <c r="H1700" s="7"/>
      <c r="I1700" s="2" t="s">
        <v>9</v>
      </c>
    </row>
    <row r="1701" spans="1:9" ht="65" x14ac:dyDescent="0.3">
      <c r="A1701" s="1" t="str">
        <f>HYPERLINK("https://ipmanager.doe.gov/IPManager//ExternalLink.aspx?6ibkph2k9yi6F%2B0Vz7YoTnXVN2REjGcWD4676XlQEaI%3D","Link")</f>
        <v>Link</v>
      </c>
      <c r="B1701" s="2" t="s">
        <v>5550</v>
      </c>
      <c r="C1701" s="2" t="s">
        <v>5551</v>
      </c>
      <c r="D1701" s="2" t="s">
        <v>5552</v>
      </c>
      <c r="E1701" s="2" t="s">
        <v>5553</v>
      </c>
      <c r="F1701" s="2"/>
      <c r="G1701" s="2" t="s">
        <v>9</v>
      </c>
      <c r="H1701" s="7"/>
      <c r="I1701" s="2" t="s">
        <v>9</v>
      </c>
    </row>
    <row r="1702" spans="1:9" ht="39" x14ac:dyDescent="0.3">
      <c r="A1702" s="1" t="str">
        <f>HYPERLINK("https://ipmanager.doe.gov/IPManager//ExternalLink.aspx?6ibkph2k9yi6F%2B0Vz7YoTnXVN2REjGcWlFxqdKMyqVI%3D","Link")</f>
        <v>Link</v>
      </c>
      <c r="B1702" s="2" t="s">
        <v>5554</v>
      </c>
      <c r="C1702" s="2" t="s">
        <v>5551</v>
      </c>
      <c r="D1702" s="2" t="s">
        <v>5552</v>
      </c>
      <c r="E1702" s="2" t="s">
        <v>5555</v>
      </c>
      <c r="F1702" s="2"/>
      <c r="G1702" s="2" t="s">
        <v>9</v>
      </c>
      <c r="H1702" s="7"/>
      <c r="I1702" s="2" t="s">
        <v>9</v>
      </c>
    </row>
    <row r="1703" spans="1:9" ht="26" x14ac:dyDescent="0.3">
      <c r="A1703" s="1" t="str">
        <f>HYPERLINK("https://ipmanager.doe.gov/IPManager//ExternalLink.aspx?6ibkph2k9yi6F%2B0Vz7YoThEBhkR3uHVrw6HdEilDRRs%3D","Link")</f>
        <v>Link</v>
      </c>
      <c r="B1703" s="2" t="s">
        <v>5556</v>
      </c>
      <c r="C1703" s="2" t="s">
        <v>5551</v>
      </c>
      <c r="D1703" s="2" t="s">
        <v>5552</v>
      </c>
      <c r="E1703" s="2" t="s">
        <v>5557</v>
      </c>
      <c r="F1703" s="2"/>
      <c r="G1703" s="2" t="s">
        <v>9</v>
      </c>
      <c r="H1703" s="7"/>
      <c r="I1703" s="2" t="s">
        <v>9</v>
      </c>
    </row>
    <row r="1704" spans="1:9" ht="26" x14ac:dyDescent="0.3">
      <c r="A1704" s="1" t="str">
        <f>HYPERLINK("https://ipmanager.doe.gov/IPManager//ExternalLink.aspx?6ibkph2k9yi6F%2B0Vz7YoTsTAnuFk5EoA%2F%2BEK4SJ5erg%3D","Link")</f>
        <v>Link</v>
      </c>
      <c r="B1704" s="2" t="s">
        <v>5558</v>
      </c>
      <c r="C1704" s="2" t="s">
        <v>5551</v>
      </c>
      <c r="D1704" s="2" t="s">
        <v>5552</v>
      </c>
      <c r="E1704" s="2" t="s">
        <v>5559</v>
      </c>
      <c r="F1704" s="2"/>
      <c r="G1704" s="2" t="s">
        <v>9</v>
      </c>
      <c r="H1704" s="7"/>
      <c r="I1704" s="2" t="s">
        <v>9</v>
      </c>
    </row>
    <row r="1705" spans="1:9" ht="65" x14ac:dyDescent="0.3">
      <c r="A1705" s="1" t="str">
        <f>HYPERLINK("https://ipmanager.doe.gov/IPManager//ExternalLink.aspx?6ibkph2k9yi6F%2B0Vz7YoTo7DPLa3%2F%2FGgwem4XBMOLxc%3D","Link")</f>
        <v>Link</v>
      </c>
      <c r="B1705" s="2" t="s">
        <v>2055</v>
      </c>
      <c r="C1705" s="2" t="s">
        <v>2046</v>
      </c>
      <c r="D1705" s="2" t="s">
        <v>2019</v>
      </c>
      <c r="E1705" s="2" t="s">
        <v>2056</v>
      </c>
      <c r="F1705" s="2" t="s">
        <v>2057</v>
      </c>
      <c r="G1705" s="2" t="s">
        <v>35</v>
      </c>
      <c r="H1705" s="7"/>
      <c r="I1705" s="2" t="s">
        <v>9</v>
      </c>
    </row>
    <row r="1706" spans="1:9" ht="39" x14ac:dyDescent="0.3">
      <c r="A1706" s="1" t="str">
        <f>HYPERLINK("https://ipmanager.doe.gov/IPManager//ExternalLink.aspx?6ibkph2k9yi6F%2B0Vz7YoTgZwfmYxrNyKd03gybvjMr0%3D","Link")</f>
        <v>Link</v>
      </c>
      <c r="B1706" s="2" t="s">
        <v>5565</v>
      </c>
      <c r="C1706" s="2" t="s">
        <v>5561</v>
      </c>
      <c r="D1706" s="2" t="s">
        <v>5566</v>
      </c>
      <c r="E1706" s="2" t="s">
        <v>5567</v>
      </c>
      <c r="F1706" s="2"/>
      <c r="G1706" s="2" t="s">
        <v>9</v>
      </c>
      <c r="H1706" s="7"/>
      <c r="I1706" s="2" t="s">
        <v>9</v>
      </c>
    </row>
    <row r="1707" spans="1:9" ht="65" x14ac:dyDescent="0.3">
      <c r="A1707" s="1" t="str">
        <f>HYPERLINK("https://ipmanager.doe.gov/IPManager//ExternalLink.aspx?6ibkph2k9yi6F%2B0Vz7YoTo7DPLa3%2F%2FGgjmYlbsZCUfI%3D","Link")</f>
        <v>Link</v>
      </c>
      <c r="B1707" s="2" t="s">
        <v>2062</v>
      </c>
      <c r="C1707" s="2" t="s">
        <v>2046</v>
      </c>
      <c r="D1707" s="2" t="s">
        <v>2019</v>
      </c>
      <c r="E1707" s="2" t="s">
        <v>2047</v>
      </c>
      <c r="F1707" s="2" t="s">
        <v>2049</v>
      </c>
      <c r="G1707" s="2" t="s">
        <v>392</v>
      </c>
      <c r="H1707" s="7"/>
      <c r="I1707" s="2" t="s">
        <v>9</v>
      </c>
    </row>
    <row r="1708" spans="1:9" ht="26" x14ac:dyDescent="0.3">
      <c r="A1708" s="1" t="str">
        <f>HYPERLINK("https://ipmanager.doe.gov/IPManager//ExternalLink.aspx?6ibkph2k9yi6F%2B0Vz7YoTo7DPLa3%2F%2FGgAEoYV%2Fiz%2FVk%3D","Link")</f>
        <v>Link</v>
      </c>
      <c r="B1708" s="2" t="s">
        <v>5569</v>
      </c>
      <c r="C1708" s="2" t="s">
        <v>5570</v>
      </c>
      <c r="D1708" s="2" t="s">
        <v>5167</v>
      </c>
      <c r="E1708" s="2" t="s">
        <v>5571</v>
      </c>
      <c r="F1708" s="2"/>
      <c r="G1708" s="2" t="s">
        <v>9</v>
      </c>
      <c r="H1708" s="7"/>
      <c r="I1708" s="2" t="s">
        <v>9</v>
      </c>
    </row>
    <row r="1709" spans="1:9" ht="39" x14ac:dyDescent="0.3">
      <c r="A1709" s="1" t="str">
        <f>HYPERLINK("https://ipmanager.doe.gov/IPManager//ExternalLink.aspx?6ibkph2k9yi6F%2B0Vz7YoTq6RR9BlGHHigEm95MVWbAM%3D","Link")</f>
        <v>Link</v>
      </c>
      <c r="B1709" s="2" t="s">
        <v>5572</v>
      </c>
      <c r="C1709" s="2" t="s">
        <v>5570</v>
      </c>
      <c r="D1709" s="2" t="s">
        <v>5167</v>
      </c>
      <c r="E1709" s="2" t="s">
        <v>5573</v>
      </c>
      <c r="F1709" s="2"/>
      <c r="G1709" s="2" t="s">
        <v>9</v>
      </c>
      <c r="H1709" s="7"/>
      <c r="I1709" s="2" t="s">
        <v>9</v>
      </c>
    </row>
    <row r="1710" spans="1:9" ht="39" x14ac:dyDescent="0.3">
      <c r="A1710" s="1" t="str">
        <f>HYPERLINK("https://ipmanager.doe.gov/IPManager//ExternalLink.aspx?6ibkph2k9yi6F%2B0Vz7YoTnXVN2REjGcWFV3OSXKhfyU%3D","Link")</f>
        <v>Link</v>
      </c>
      <c r="B1710" s="2" t="s">
        <v>5574</v>
      </c>
      <c r="C1710" s="2" t="s">
        <v>5570</v>
      </c>
      <c r="D1710" s="2" t="s">
        <v>2019</v>
      </c>
      <c r="E1710" s="2" t="s">
        <v>5575</v>
      </c>
      <c r="F1710" s="2"/>
      <c r="G1710" s="2" t="s">
        <v>9</v>
      </c>
      <c r="H1710" s="7"/>
      <c r="I1710" s="2" t="s">
        <v>9</v>
      </c>
    </row>
    <row r="1711" spans="1:9" ht="39" x14ac:dyDescent="0.3">
      <c r="A1711" s="1" t="str">
        <f>HYPERLINK("https://ipmanager.doe.gov/IPManager//ExternalLink.aspx?6ibkph2k9yi6F%2B0Vz7YoTgZwfmYxrNyKWdtor7WZZgo%3D","Link")</f>
        <v>Link</v>
      </c>
      <c r="B1711" s="2" t="s">
        <v>2067</v>
      </c>
      <c r="C1711" s="2" t="s">
        <v>2046</v>
      </c>
      <c r="D1711" s="2" t="s">
        <v>2019</v>
      </c>
      <c r="E1711" s="2" t="s">
        <v>2051</v>
      </c>
      <c r="F1711" s="2" t="s">
        <v>2054</v>
      </c>
      <c r="G1711" s="2" t="s">
        <v>2053</v>
      </c>
      <c r="H1711" s="7"/>
      <c r="I1711" s="2" t="s">
        <v>9</v>
      </c>
    </row>
    <row r="1712" spans="1:9" ht="39" x14ac:dyDescent="0.3">
      <c r="A1712" s="1" t="str">
        <f>HYPERLINK("https://ipmanager.doe.gov/IPManager//ExternalLink.aspx?6ibkph2k9yi6F%2B0Vz7YoTjnDGhmGHGI7uycxl74PxSg%3D","Link")</f>
        <v>Link</v>
      </c>
      <c r="B1712" s="2" t="s">
        <v>5581</v>
      </c>
      <c r="C1712" s="2" t="s">
        <v>5582</v>
      </c>
      <c r="D1712" s="2" t="s">
        <v>3527</v>
      </c>
      <c r="E1712" s="2" t="s">
        <v>5583</v>
      </c>
      <c r="F1712" s="2"/>
      <c r="G1712" s="2" t="s">
        <v>9</v>
      </c>
      <c r="H1712" s="7"/>
      <c r="I1712" s="2" t="s">
        <v>9</v>
      </c>
    </row>
    <row r="1713" spans="1:9" ht="52" x14ac:dyDescent="0.3">
      <c r="A1713" s="1" t="str">
        <f>HYPERLINK("https://ipmanager.doe.gov/IPManager//ExternalLink.aspx?6ibkph2k9yi6F%2B0Vz7YoTnXVN2REjGcWm%2F1QJZgGW5E%3D","Link")</f>
        <v>Link</v>
      </c>
      <c r="B1713" s="2" t="s">
        <v>5584</v>
      </c>
      <c r="C1713" s="2" t="s">
        <v>5582</v>
      </c>
      <c r="D1713" s="2" t="s">
        <v>3527</v>
      </c>
      <c r="E1713" s="2" t="s">
        <v>5585</v>
      </c>
      <c r="F1713" s="2"/>
      <c r="G1713" s="2" t="s">
        <v>9</v>
      </c>
      <c r="H1713" s="7"/>
      <c r="I1713" s="2" t="s">
        <v>9</v>
      </c>
    </row>
    <row r="1714" spans="1:9" ht="52" x14ac:dyDescent="0.3">
      <c r="A1714" s="1" t="str">
        <f>HYPERLINK("https://ipmanager.doe.gov/IPManager//ExternalLink.aspx?6ibkph2k9yi6F%2B0Vz7YoTipZ798QK%2BbPLS%2BW662iA3w%3D","Link")</f>
        <v>Link</v>
      </c>
      <c r="B1714" s="2" t="s">
        <v>2083</v>
      </c>
      <c r="C1714" s="2" t="s">
        <v>2046</v>
      </c>
      <c r="D1714" s="2" t="s">
        <v>2019</v>
      </c>
      <c r="E1714" s="2" t="s">
        <v>2064</v>
      </c>
      <c r="F1714" s="2" t="s">
        <v>2084</v>
      </c>
      <c r="G1714" s="2" t="s">
        <v>2066</v>
      </c>
      <c r="H1714" s="7"/>
      <c r="I1714" s="2" t="s">
        <v>9</v>
      </c>
    </row>
    <row r="1715" spans="1:9" ht="39" x14ac:dyDescent="0.3">
      <c r="A1715" s="1" t="str">
        <f>HYPERLINK("https://ipmanager.doe.gov/IPManager//ExternalLink.aspx?6ibkph2k9yi6F%2B0Vz7YoTo7DPLa3%2F%2FGgDXMkAgKdBfE%3D","Link")</f>
        <v>Link</v>
      </c>
      <c r="B1715" s="2" t="s">
        <v>2087</v>
      </c>
      <c r="C1715" s="2" t="s">
        <v>2046</v>
      </c>
      <c r="D1715" s="2" t="s">
        <v>2019</v>
      </c>
      <c r="E1715" s="2" t="s">
        <v>2088</v>
      </c>
      <c r="F1715" s="2" t="s">
        <v>2089</v>
      </c>
      <c r="G1715" s="2" t="s">
        <v>2090</v>
      </c>
      <c r="H1715" s="7"/>
      <c r="I1715" s="2" t="s">
        <v>9</v>
      </c>
    </row>
    <row r="1716" spans="1:9" ht="78" x14ac:dyDescent="0.3">
      <c r="A1716" s="1" t="str">
        <f>HYPERLINK("https://ipmanager.doe.gov/IPManager//ExternalLink.aspx?6ibkph2k9yi6F%2B0Vz7YoTq6RR9BlGHHivPJn8o4xV0M%3D","Link")</f>
        <v>Link</v>
      </c>
      <c r="B1716" s="2" t="s">
        <v>5593</v>
      </c>
      <c r="C1716" s="2" t="s">
        <v>5594</v>
      </c>
      <c r="D1716" s="2" t="s">
        <v>308</v>
      </c>
      <c r="E1716" s="2" t="s">
        <v>5595</v>
      </c>
      <c r="F1716" s="2"/>
      <c r="G1716" s="2" t="s">
        <v>9</v>
      </c>
      <c r="H1716" s="7"/>
      <c r="I1716" s="2" t="s">
        <v>9</v>
      </c>
    </row>
    <row r="1717" spans="1:9" ht="78" x14ac:dyDescent="0.3">
      <c r="A1717" s="1" t="str">
        <f>HYPERLINK("https://ipmanager.doe.gov/IPManager//ExternalLink.aspx?6ibkph2k9yi6F%2B0Vz7YoTkqAgjuWMa9QN%2BCX6v3tLD8%3D","Link")</f>
        <v>Link</v>
      </c>
      <c r="B1717" s="2" t="s">
        <v>5596</v>
      </c>
      <c r="C1717" s="2" t="s">
        <v>5597</v>
      </c>
      <c r="D1717" s="2" t="s">
        <v>293</v>
      </c>
      <c r="E1717" s="2" t="s">
        <v>5598</v>
      </c>
      <c r="F1717" s="2"/>
      <c r="G1717" s="2" t="s">
        <v>9</v>
      </c>
      <c r="H1717" s="7"/>
      <c r="I1717" s="2" t="s">
        <v>9</v>
      </c>
    </row>
    <row r="1718" spans="1:9" ht="52" x14ac:dyDescent="0.3">
      <c r="A1718" s="1" t="str">
        <f>HYPERLINK("https://ipmanager.doe.gov/IPManager//ExternalLink.aspx?6ibkph2k9yi6F%2B0Vz7YoTo7DPLa3%2F%2FGgHsf5n6OeIhA%3D","Link")</f>
        <v>Link</v>
      </c>
      <c r="B1718" s="2" t="s">
        <v>2092</v>
      </c>
      <c r="C1718" s="2" t="s">
        <v>2046</v>
      </c>
      <c r="D1718" s="2" t="s">
        <v>2019</v>
      </c>
      <c r="E1718" s="2" t="s">
        <v>2093</v>
      </c>
      <c r="F1718" s="2" t="s">
        <v>2094</v>
      </c>
      <c r="G1718" s="2" t="s">
        <v>2095</v>
      </c>
      <c r="H1718" s="7"/>
      <c r="I1718" s="2" t="s">
        <v>9</v>
      </c>
    </row>
    <row r="1719" spans="1:9" ht="78" x14ac:dyDescent="0.3">
      <c r="A1719" s="1" t="str">
        <f>HYPERLINK("https://ipmanager.doe.gov/IPManager//ExternalLink.aspx?6ibkph2k9yi6F%2B0Vz7YoTo7DPLa3%2F%2FGghxFCOuendaA%3D","Link")</f>
        <v>Link</v>
      </c>
      <c r="B1719" s="2" t="s">
        <v>2097</v>
      </c>
      <c r="C1719" s="2" t="s">
        <v>2046</v>
      </c>
      <c r="D1719" s="2" t="s">
        <v>2019</v>
      </c>
      <c r="E1719" s="2" t="s">
        <v>2098</v>
      </c>
      <c r="F1719" s="2" t="s">
        <v>2099</v>
      </c>
      <c r="G1719" s="2" t="s">
        <v>276</v>
      </c>
      <c r="H1719" s="7"/>
      <c r="I1719" s="2" t="s">
        <v>9</v>
      </c>
    </row>
    <row r="1720" spans="1:9" ht="52" x14ac:dyDescent="0.3">
      <c r="A1720" s="1" t="str">
        <f>HYPERLINK("https://ipmanager.doe.gov/IPManager//ExternalLink.aspx?6ibkph2k9yi6F%2B0Vz7YoTo7DPLa3%2F%2FGgExW5Y39sWnU%3D","Link")</f>
        <v>Link</v>
      </c>
      <c r="B1720" s="2" t="s">
        <v>2100</v>
      </c>
      <c r="C1720" s="2" t="s">
        <v>2046</v>
      </c>
      <c r="D1720" s="2" t="s">
        <v>2019</v>
      </c>
      <c r="E1720" s="2" t="s">
        <v>2101</v>
      </c>
      <c r="F1720" s="2" t="s">
        <v>2057</v>
      </c>
      <c r="G1720" s="2" t="s">
        <v>35</v>
      </c>
      <c r="H1720" s="7"/>
      <c r="I1720" s="2" t="s">
        <v>9</v>
      </c>
    </row>
    <row r="1721" spans="1:9" ht="26" x14ac:dyDescent="0.3">
      <c r="A1721" s="1" t="str">
        <f>HYPERLINK("https://ipmanager.doe.gov/IPManager//ExternalLink.aspx?6ibkph2k9yi6F%2B0Vz7YoTvPUg%2FVZPl3iuq43MvtgrsQ%3D","Link")</f>
        <v>Link</v>
      </c>
      <c r="B1721" s="2" t="s">
        <v>5611</v>
      </c>
      <c r="C1721" s="2" t="s">
        <v>5608</v>
      </c>
      <c r="D1721" s="2" t="s">
        <v>5538</v>
      </c>
      <c r="E1721" s="2" t="s">
        <v>5612</v>
      </c>
      <c r="F1721" s="2"/>
      <c r="G1721" s="2" t="s">
        <v>9</v>
      </c>
      <c r="H1721" s="7"/>
      <c r="I1721" s="2" t="s">
        <v>9</v>
      </c>
    </row>
    <row r="1722" spans="1:9" ht="39" x14ac:dyDescent="0.3">
      <c r="A1722" s="1" t="str">
        <f>HYPERLINK("https://ipmanager.doe.gov/IPManager//ExternalLink.aspx?6ibkph2k9yi6F%2B0Vz7YoTo7DPLa3%2F%2FGg6UY2EoABZQQ%3D","Link")</f>
        <v>Link</v>
      </c>
      <c r="B1722" s="2" t="s">
        <v>2102</v>
      </c>
      <c r="C1722" s="2" t="s">
        <v>2046</v>
      </c>
      <c r="D1722" s="2" t="s">
        <v>2019</v>
      </c>
      <c r="E1722" s="2" t="s">
        <v>2103</v>
      </c>
      <c r="F1722" s="2" t="s">
        <v>2104</v>
      </c>
      <c r="G1722" s="2" t="s">
        <v>2105</v>
      </c>
      <c r="H1722" s="7"/>
      <c r="I1722" s="2" t="s">
        <v>9</v>
      </c>
    </row>
    <row r="1723" spans="1:9" ht="39" x14ac:dyDescent="0.3">
      <c r="A1723" s="1" t="str">
        <f>HYPERLINK("https://ipmanager.doe.gov/IPManager//ExternalLink.aspx?6ibkph2k9yi6F%2B0Vz7YoTo7DPLa3%2F%2FGgRL3n%2FRUlHVo%3D","Link")</f>
        <v>Link</v>
      </c>
      <c r="B1723" s="2" t="s">
        <v>2106</v>
      </c>
      <c r="C1723" s="2" t="s">
        <v>2046</v>
      </c>
      <c r="D1723" s="2" t="s">
        <v>2019</v>
      </c>
      <c r="E1723" s="2" t="s">
        <v>2088</v>
      </c>
      <c r="F1723" s="2" t="s">
        <v>2107</v>
      </c>
      <c r="G1723" s="2" t="s">
        <v>2091</v>
      </c>
      <c r="H1723" s="7"/>
      <c r="I1723" s="2" t="s">
        <v>9</v>
      </c>
    </row>
    <row r="1724" spans="1:9" ht="78" x14ac:dyDescent="0.3">
      <c r="A1724" s="1" t="str">
        <f>HYPERLINK("https://ipmanager.doe.gov/IPManager//ExternalLink.aspx?6ibkph2k9yi6F%2B0Vz7YoTo7DPLa3%2F%2FGg8fmW94mIBpI%3D","Link")</f>
        <v>Link</v>
      </c>
      <c r="B1724" s="2" t="s">
        <v>2108</v>
      </c>
      <c r="C1724" s="2" t="s">
        <v>2046</v>
      </c>
      <c r="D1724" s="2" t="s">
        <v>2019</v>
      </c>
      <c r="E1724" s="2" t="s">
        <v>2098</v>
      </c>
      <c r="F1724" s="2" t="s">
        <v>2054</v>
      </c>
      <c r="G1724" s="2" t="s">
        <v>2053</v>
      </c>
      <c r="H1724" s="7"/>
      <c r="I1724" s="2" t="s">
        <v>9</v>
      </c>
    </row>
    <row r="1725" spans="1:9" ht="52" x14ac:dyDescent="0.3">
      <c r="A1725" s="1" t="str">
        <f>HYPERLINK("https://ipmanager.doe.gov/IPManager//ExternalLink.aspx?6ibkph2k9yi6F%2B0Vz7YoTlNm8snv%2FZpH%2BHLFjkuCnvQ%3D","Link")</f>
        <v>Link</v>
      </c>
      <c r="B1725" s="2" t="s">
        <v>2111</v>
      </c>
      <c r="C1725" s="2" t="s">
        <v>2046</v>
      </c>
      <c r="D1725" s="2" t="s">
        <v>2019</v>
      </c>
      <c r="E1725" s="2" t="s">
        <v>2093</v>
      </c>
      <c r="F1725" s="2" t="s">
        <v>2096</v>
      </c>
      <c r="G1725" s="2" t="s">
        <v>2112</v>
      </c>
      <c r="H1725" s="7"/>
      <c r="I1725" s="2" t="s">
        <v>9</v>
      </c>
    </row>
    <row r="1726" spans="1:9" ht="39" x14ac:dyDescent="0.3">
      <c r="A1726" s="1" t="str">
        <f>HYPERLINK("https://ipmanager.doe.gov/IPManager//ExternalLink.aspx?6ibkph2k9yi6F%2B0Vz7YoTlNm8snv%2FZpH0AVETihBs0E%3D","Link")</f>
        <v>Link</v>
      </c>
      <c r="B1726" s="2" t="s">
        <v>2113</v>
      </c>
      <c r="C1726" s="2" t="s">
        <v>2046</v>
      </c>
      <c r="D1726" s="2" t="s">
        <v>2019</v>
      </c>
      <c r="E1726" s="2" t="s">
        <v>2114</v>
      </c>
      <c r="F1726" s="2" t="s">
        <v>2084</v>
      </c>
      <c r="G1726" s="2" t="s">
        <v>2066</v>
      </c>
      <c r="H1726" s="7"/>
      <c r="I1726" s="2" t="s">
        <v>9</v>
      </c>
    </row>
    <row r="1727" spans="1:9" ht="39" x14ac:dyDescent="0.3">
      <c r="A1727" s="1" t="str">
        <f>HYPERLINK("https://ipmanager.doe.gov/IPManager//ExternalLink.aspx?6ibkph2k9yi6F%2B0Vz7YoTk2BI6w%2FjZ2f04E3HyncPwk%3D","Link")</f>
        <v>Link</v>
      </c>
      <c r="B1727" s="2" t="s">
        <v>2116</v>
      </c>
      <c r="C1727" s="2" t="s">
        <v>2046</v>
      </c>
      <c r="D1727" s="2" t="s">
        <v>2019</v>
      </c>
      <c r="E1727" s="2" t="s">
        <v>2114</v>
      </c>
      <c r="F1727" s="2" t="s">
        <v>2065</v>
      </c>
      <c r="G1727" s="3">
        <v>41266</v>
      </c>
      <c r="H1727" s="7"/>
      <c r="I1727" s="2" t="s">
        <v>9</v>
      </c>
    </row>
    <row r="1728" spans="1:9" ht="39" x14ac:dyDescent="0.3">
      <c r="A1728" s="1" t="str">
        <f>HYPERLINK("https://ipmanager.doe.gov/IPManager//ExternalLink.aspx?6ibkph2k9yi6F%2B0Vz7YoTlNm8snv%2FZpHxobBoJJSLIw%3D","Link")</f>
        <v>Link</v>
      </c>
      <c r="B1728" s="2" t="s">
        <v>2387</v>
      </c>
      <c r="C1728" s="2" t="s">
        <v>2354</v>
      </c>
      <c r="D1728" s="2" t="s">
        <v>2019</v>
      </c>
      <c r="E1728" s="2" t="s">
        <v>2388</v>
      </c>
      <c r="F1728" s="2" t="s">
        <v>2389</v>
      </c>
      <c r="G1728" s="2" t="s">
        <v>2390</v>
      </c>
      <c r="H1728" s="7"/>
      <c r="I1728" s="2" t="s">
        <v>9</v>
      </c>
    </row>
    <row r="1729" spans="1:9" ht="39" x14ac:dyDescent="0.3">
      <c r="A1729" s="1" t="str">
        <f>HYPERLINK("https://ipmanager.doe.gov/IPManager//ExternalLink.aspx?6ibkph2k9yi6F%2B0Vz7YoTvPUg%2FVZPl3idakjjn9L0zI%3D","Link")</f>
        <v>Link</v>
      </c>
      <c r="B1729" s="2" t="s">
        <v>3137</v>
      </c>
      <c r="C1729" s="2" t="s">
        <v>3138</v>
      </c>
      <c r="D1729" s="2" t="s">
        <v>2019</v>
      </c>
      <c r="E1729" s="2" t="s">
        <v>3139</v>
      </c>
      <c r="F1729" s="2" t="s">
        <v>3140</v>
      </c>
      <c r="G1729" s="2" t="s">
        <v>3141</v>
      </c>
      <c r="H1729" s="7"/>
      <c r="I1729" s="2" t="s">
        <v>9</v>
      </c>
    </row>
    <row r="1730" spans="1:9" ht="52" x14ac:dyDescent="0.3">
      <c r="A1730" s="1" t="str">
        <f>HYPERLINK("https://ipmanager.doe.gov/IPManager//ExternalLink.aspx?6ibkph2k9yi6F%2B0Vz7YoTq6RR9BlGHHiulyk4yAXP8A%3D","Link")</f>
        <v>Link</v>
      </c>
      <c r="B1730" s="2" t="s">
        <v>3146</v>
      </c>
      <c r="C1730" s="2" t="s">
        <v>3138</v>
      </c>
      <c r="D1730" s="2" t="s">
        <v>2019</v>
      </c>
      <c r="E1730" s="2" t="s">
        <v>3143</v>
      </c>
      <c r="F1730" s="2" t="s">
        <v>3144</v>
      </c>
      <c r="G1730" s="2" t="s">
        <v>3145</v>
      </c>
      <c r="H1730" s="7"/>
      <c r="I1730" s="2" t="s">
        <v>9</v>
      </c>
    </row>
    <row r="1731" spans="1:9" ht="52" x14ac:dyDescent="0.3">
      <c r="A1731" s="1" t="str">
        <f>HYPERLINK("https://ipmanager.doe.gov/IPManager//ExternalLink.aspx?6ibkph2k9yi6F%2B0Vz7YoThEBhkR3uHVrSvmvQZhxVJs%3D","Link")</f>
        <v>Link</v>
      </c>
      <c r="B1731" s="2" t="s">
        <v>3147</v>
      </c>
      <c r="C1731" s="2" t="s">
        <v>3138</v>
      </c>
      <c r="D1731" s="2" t="s">
        <v>2019</v>
      </c>
      <c r="E1731" s="2" t="s">
        <v>3148</v>
      </c>
      <c r="F1731" s="2" t="s">
        <v>3149</v>
      </c>
      <c r="G1731" s="2" t="s">
        <v>3150</v>
      </c>
      <c r="H1731" s="7"/>
      <c r="I1731" s="2" t="s">
        <v>9</v>
      </c>
    </row>
    <row r="1732" spans="1:9" ht="39" x14ac:dyDescent="0.3">
      <c r="A1732" s="1" t="str">
        <f>HYPERLINK("https://ipmanager.doe.gov/IPManager//ExternalLink.aspx?6ibkph2k9yi6F%2B0Vz7YoTgZwfmYxrNyKgU9HGrUDFA0%3D","Link")</f>
        <v>Link</v>
      </c>
      <c r="B1732" s="2" t="s">
        <v>3161</v>
      </c>
      <c r="C1732" s="2" t="s">
        <v>3138</v>
      </c>
      <c r="D1732" s="2" t="s">
        <v>2019</v>
      </c>
      <c r="E1732" s="2" t="s">
        <v>3162</v>
      </c>
      <c r="F1732" s="2" t="s">
        <v>3163</v>
      </c>
      <c r="G1732" s="2" t="s">
        <v>3150</v>
      </c>
      <c r="H1732" s="7"/>
      <c r="I1732" s="2" t="s">
        <v>9</v>
      </c>
    </row>
    <row r="1733" spans="1:9" ht="39" x14ac:dyDescent="0.3">
      <c r="A1733" s="1" t="str">
        <f>HYPERLINK("https://ipmanager.doe.gov/IPManager//ExternalLink.aspx?6ibkph2k9yi6F%2B0Vz7YoTnXVN2REjGcWDicemx8kKsU%3D","Link")</f>
        <v>Link</v>
      </c>
      <c r="B1733" s="2" t="s">
        <v>5653</v>
      </c>
      <c r="C1733" s="2" t="s">
        <v>5637</v>
      </c>
      <c r="D1733" s="2" t="s">
        <v>5638</v>
      </c>
      <c r="E1733" s="2" t="s">
        <v>5642</v>
      </c>
      <c r="F1733" s="2"/>
      <c r="G1733" s="2" t="s">
        <v>9</v>
      </c>
      <c r="H1733" s="7"/>
      <c r="I1733" s="2" t="s">
        <v>9</v>
      </c>
    </row>
    <row r="1734" spans="1:9" ht="39" x14ac:dyDescent="0.3">
      <c r="A1734" s="1" t="str">
        <f>HYPERLINK("https://ipmanager.doe.gov/IPManager//ExternalLink.aspx?6ibkph2k9yi6F%2B0Vz7YoTr7J5I%2BY4foY%2FW9EpuLBI3c%3D","Link")</f>
        <v>Link</v>
      </c>
      <c r="B1734" s="2" t="s">
        <v>3173</v>
      </c>
      <c r="C1734" s="2" t="s">
        <v>3138</v>
      </c>
      <c r="D1734" s="2" t="s">
        <v>2019</v>
      </c>
      <c r="E1734" s="2" t="s">
        <v>3174</v>
      </c>
      <c r="F1734" s="2" t="s">
        <v>3175</v>
      </c>
      <c r="G1734" s="2" t="s">
        <v>3176</v>
      </c>
      <c r="H1734" s="7"/>
      <c r="I1734" s="2" t="s">
        <v>9</v>
      </c>
    </row>
    <row r="1735" spans="1:9" ht="52" x14ac:dyDescent="0.3">
      <c r="A1735" s="1" t="str">
        <f>HYPERLINK("https://ipmanager.doe.gov/IPManager//ExternalLink.aspx?6ibkph2k9yi6F%2B0Vz7YoTvE8yjoHgvp6OmoFRfx94Zg%3D","Link")</f>
        <v>Link</v>
      </c>
      <c r="B1735" s="2" t="s">
        <v>5657</v>
      </c>
      <c r="C1735" s="2" t="s">
        <v>5637</v>
      </c>
      <c r="D1735" s="2" t="s">
        <v>5638</v>
      </c>
      <c r="E1735" s="2" t="s">
        <v>5658</v>
      </c>
      <c r="F1735" s="2"/>
      <c r="G1735" s="2" t="s">
        <v>9</v>
      </c>
      <c r="H1735" s="7"/>
      <c r="I1735" s="2" t="s">
        <v>9</v>
      </c>
    </row>
    <row r="1736" spans="1:9" ht="78" x14ac:dyDescent="0.3">
      <c r="A1736" s="1" t="str">
        <f>HYPERLINK("https://ipmanager.doe.gov/IPManager//ExternalLink.aspx?6ibkph2k9yi6F%2B0Vz7YoTgZwfmYxrNyKo%2F3pseWFsvE%3D","Link")</f>
        <v>Link</v>
      </c>
      <c r="B1736" s="2" t="s">
        <v>5659</v>
      </c>
      <c r="C1736" s="2" t="s">
        <v>5637</v>
      </c>
      <c r="D1736" s="2" t="s">
        <v>5638</v>
      </c>
      <c r="E1736" s="2" t="s">
        <v>5660</v>
      </c>
      <c r="F1736" s="2"/>
      <c r="G1736" s="2" t="s">
        <v>9</v>
      </c>
      <c r="H1736" s="7"/>
      <c r="I1736" s="2" t="s">
        <v>9</v>
      </c>
    </row>
    <row r="1737" spans="1:9" ht="39" x14ac:dyDescent="0.3">
      <c r="A1737" s="1" t="str">
        <f>HYPERLINK("https://ipmanager.doe.gov/IPManager//ExternalLink.aspx?6ibkph2k9yi6F%2B0Vz7YoTo7DPLa3%2F%2FGg6c3DSNHHmmk%3D","Link")</f>
        <v>Link</v>
      </c>
      <c r="B1737" s="2" t="s">
        <v>5661</v>
      </c>
      <c r="C1737" s="2" t="s">
        <v>5662</v>
      </c>
      <c r="D1737" s="2" t="s">
        <v>4128</v>
      </c>
      <c r="E1737" s="2" t="s">
        <v>5663</v>
      </c>
      <c r="F1737" s="2"/>
      <c r="G1737" s="2" t="s">
        <v>9</v>
      </c>
      <c r="H1737" s="7"/>
      <c r="I1737" s="2" t="s">
        <v>9</v>
      </c>
    </row>
    <row r="1738" spans="1:9" ht="39" x14ac:dyDescent="0.3">
      <c r="A1738" s="1" t="str">
        <f>HYPERLINK("https://ipmanager.doe.gov/IPManager//ExternalLink.aspx?6ibkph2k9yi6F%2B0Vz7YoTo7DPLa3%2F%2FGgcKgf32xy32M%3D","Link")</f>
        <v>Link</v>
      </c>
      <c r="B1738" s="2" t="s">
        <v>3178</v>
      </c>
      <c r="C1738" s="2" t="s">
        <v>3138</v>
      </c>
      <c r="D1738" s="2" t="s">
        <v>2019</v>
      </c>
      <c r="E1738" s="2" t="s">
        <v>3179</v>
      </c>
      <c r="F1738" s="2" t="s">
        <v>3180</v>
      </c>
      <c r="G1738" s="2" t="s">
        <v>3181</v>
      </c>
      <c r="H1738" s="7"/>
      <c r="I1738" s="2" t="s">
        <v>9</v>
      </c>
    </row>
    <row r="1739" spans="1:9" ht="39" x14ac:dyDescent="0.3">
      <c r="A1739" s="1" t="str">
        <f>HYPERLINK("https://ipmanager.doe.gov/IPManager//ExternalLink.aspx?6ibkph2k9yi6F%2B0Vz7YoTr7J5I%2BY4foYD6b4%2FayFpDg%3D","Link")</f>
        <v>Link</v>
      </c>
      <c r="B1739" s="2" t="s">
        <v>4072</v>
      </c>
      <c r="C1739" s="2" t="s">
        <v>4073</v>
      </c>
      <c r="D1739" s="2" t="s">
        <v>2019</v>
      </c>
      <c r="E1739" s="2" t="s">
        <v>4074</v>
      </c>
      <c r="F1739" s="2" t="s">
        <v>4075</v>
      </c>
      <c r="G1739" s="2" t="s">
        <v>2396</v>
      </c>
      <c r="H1739" s="7"/>
      <c r="I1739" s="2" t="s">
        <v>9</v>
      </c>
    </row>
    <row r="1740" spans="1:9" ht="52" x14ac:dyDescent="0.3">
      <c r="A1740" s="1" t="str">
        <f>HYPERLINK("https://ipmanager.doe.gov/IPManager//ExternalLink.aspx?6ibkph2k9yi6F%2B0Vz7YoTk2BI6w%2FjZ2fIeyaoJJH7xA%3D","Link")</f>
        <v>Link</v>
      </c>
      <c r="B1740" s="2" t="s">
        <v>4076</v>
      </c>
      <c r="C1740" s="2" t="s">
        <v>4073</v>
      </c>
      <c r="D1740" s="2" t="s">
        <v>2019</v>
      </c>
      <c r="E1740" s="2" t="s">
        <v>4077</v>
      </c>
      <c r="F1740" s="2" t="s">
        <v>4078</v>
      </c>
      <c r="G1740" s="2" t="s">
        <v>3254</v>
      </c>
      <c r="H1740" s="7"/>
      <c r="I1740" s="2" t="s">
        <v>9</v>
      </c>
    </row>
    <row r="1741" spans="1:9" ht="52" x14ac:dyDescent="0.3">
      <c r="A1741" s="1" t="str">
        <f>HYPERLINK("https://ipmanager.doe.gov/IPManager//ExternalLink.aspx?6ibkph2k9yi6F%2B0Vz7YoTo7DPLa3%2F%2FGgeq9MV8xj%2Fco%3D","Link")</f>
        <v>Link</v>
      </c>
      <c r="B1741" s="2" t="s">
        <v>4079</v>
      </c>
      <c r="C1741" s="2" t="s">
        <v>4073</v>
      </c>
      <c r="D1741" s="2" t="s">
        <v>2019</v>
      </c>
      <c r="E1741" s="2" t="s">
        <v>4080</v>
      </c>
      <c r="F1741" s="2" t="s">
        <v>4081</v>
      </c>
      <c r="G1741" s="2" t="s">
        <v>4082</v>
      </c>
      <c r="H1741" s="7"/>
      <c r="I1741" s="2" t="s">
        <v>9</v>
      </c>
    </row>
    <row r="1742" spans="1:9" ht="39" x14ac:dyDescent="0.3">
      <c r="A1742" s="1" t="str">
        <f>HYPERLINK("https://ipmanager.doe.gov/IPManager//ExternalLink.aspx?6ibkph2k9yi6F%2B0Vz7YoTo7DPLa3%2F%2FGg9UJmemYjY4E%3D","Link")</f>
        <v>Link</v>
      </c>
      <c r="B1742" s="2" t="s">
        <v>4092</v>
      </c>
      <c r="C1742" s="2" t="s">
        <v>4073</v>
      </c>
      <c r="D1742" s="2" t="s">
        <v>2019</v>
      </c>
      <c r="E1742" s="2" t="s">
        <v>4093</v>
      </c>
      <c r="F1742" s="2" t="s">
        <v>4094</v>
      </c>
      <c r="G1742" s="2" t="s">
        <v>4095</v>
      </c>
      <c r="H1742" s="7"/>
      <c r="I1742" s="2" t="s">
        <v>9</v>
      </c>
    </row>
    <row r="1743" spans="1:9" ht="78" x14ac:dyDescent="0.3">
      <c r="A1743" s="1" t="str">
        <f>HYPERLINK("https://ipmanager.doe.gov/IPManager//ExternalLink.aspx?6ibkph2k9yi6F%2B0Vz7YoTgZwfmYxrNyKiwgnSaKY8CU%3D","Link")</f>
        <v>Link</v>
      </c>
      <c r="B1743" s="2" t="s">
        <v>4096</v>
      </c>
      <c r="C1743" s="2" t="s">
        <v>4073</v>
      </c>
      <c r="D1743" s="2" t="s">
        <v>2019</v>
      </c>
      <c r="E1743" s="2" t="s">
        <v>4097</v>
      </c>
      <c r="F1743" s="2" t="s">
        <v>4078</v>
      </c>
      <c r="G1743" s="2" t="s">
        <v>3254</v>
      </c>
      <c r="H1743" s="7"/>
      <c r="I1743" s="2" t="s">
        <v>9</v>
      </c>
    </row>
    <row r="1744" spans="1:9" ht="39" x14ac:dyDescent="0.3">
      <c r="A1744" s="1" t="str">
        <f>HYPERLINK("https://ipmanager.doe.gov/IPManager//ExternalLink.aspx?6ibkph2k9yi6F%2B0Vz7YoTlNm8snv%2FZpHxNVjLwX0AV8%3D","Link")</f>
        <v>Link</v>
      </c>
      <c r="B1744" s="2" t="s">
        <v>4102</v>
      </c>
      <c r="C1744" s="2" t="s">
        <v>4073</v>
      </c>
      <c r="D1744" s="2" t="s">
        <v>2019</v>
      </c>
      <c r="E1744" s="2" t="s">
        <v>4103</v>
      </c>
      <c r="F1744" s="2" t="s">
        <v>4104</v>
      </c>
      <c r="G1744" s="2" t="s">
        <v>4105</v>
      </c>
      <c r="H1744" s="7"/>
      <c r="I1744" s="2" t="s">
        <v>9</v>
      </c>
    </row>
    <row r="1745" spans="1:9" ht="39" x14ac:dyDescent="0.3">
      <c r="A1745" s="1" t="str">
        <f>HYPERLINK("https://ipmanager.doe.gov/IPManager//ExternalLink.aspx?6ibkph2k9yi6F%2B0Vz7YoTvE8yjoHgvp66oHTL21lhBs%3D","Link")</f>
        <v>Link</v>
      </c>
      <c r="B1745" s="2" t="s">
        <v>5688</v>
      </c>
      <c r="C1745" s="2" t="s">
        <v>5682</v>
      </c>
      <c r="D1745" s="2" t="s">
        <v>1901</v>
      </c>
      <c r="E1745" s="2" t="s">
        <v>5689</v>
      </c>
      <c r="F1745" s="2"/>
      <c r="G1745" s="2" t="s">
        <v>9</v>
      </c>
      <c r="H1745" s="7"/>
      <c r="I1745" s="2" t="s">
        <v>9</v>
      </c>
    </row>
    <row r="1746" spans="1:9" ht="39" x14ac:dyDescent="0.3">
      <c r="A1746" s="1" t="str">
        <f>HYPERLINK("https://ipmanager.doe.gov/IPManager//ExternalLink.aspx?6ibkph2k9yi6F%2B0Vz7YoTgZwfmYxrNyKLuF0%2F7banVQ%3D","Link")</f>
        <v>Link</v>
      </c>
      <c r="B1746" s="2" t="s">
        <v>5690</v>
      </c>
      <c r="C1746" s="2" t="s">
        <v>5682</v>
      </c>
      <c r="D1746" s="2" t="s">
        <v>1901</v>
      </c>
      <c r="E1746" s="2" t="s">
        <v>5691</v>
      </c>
      <c r="F1746" s="2"/>
      <c r="G1746" s="2" t="s">
        <v>9</v>
      </c>
      <c r="H1746" s="7"/>
      <c r="I1746" s="2" t="s">
        <v>9</v>
      </c>
    </row>
    <row r="1747" spans="1:9" ht="52" x14ac:dyDescent="0.3">
      <c r="A1747" s="1" t="str">
        <f>HYPERLINK("https://ipmanager.doe.gov/IPManager//ExternalLink.aspx?6ibkph2k9yi6F%2B0Vz7YoTk2BI6w%2FjZ2fy8eRpnT1XrA%3D","Link")</f>
        <v>Link</v>
      </c>
      <c r="B1747" s="2" t="s">
        <v>4112</v>
      </c>
      <c r="C1747" s="2" t="s">
        <v>4073</v>
      </c>
      <c r="D1747" s="2" t="s">
        <v>2019</v>
      </c>
      <c r="E1747" s="2" t="s">
        <v>4113</v>
      </c>
      <c r="F1747" s="2" t="s">
        <v>4114</v>
      </c>
      <c r="G1747" s="2" t="s">
        <v>4111</v>
      </c>
      <c r="H1747" s="7"/>
      <c r="I1747" s="2" t="s">
        <v>9</v>
      </c>
    </row>
    <row r="1748" spans="1:9" ht="39" x14ac:dyDescent="0.3">
      <c r="A1748" s="1" t="str">
        <f>HYPERLINK("https://ipmanager.doe.gov/IPManager//ExternalLink.aspx?6ibkph2k9yi6F%2B0Vz7YoTjnDGhmGHGI7rsu2OO3O9MQ%3D","Link")</f>
        <v>Link</v>
      </c>
      <c r="B1748" s="2" t="s">
        <v>4115</v>
      </c>
      <c r="C1748" s="2" t="s">
        <v>4073</v>
      </c>
      <c r="D1748" s="2" t="s">
        <v>2019</v>
      </c>
      <c r="E1748" s="2" t="s">
        <v>4116</v>
      </c>
      <c r="F1748" s="2" t="s">
        <v>4117</v>
      </c>
      <c r="G1748" s="2" t="s">
        <v>4118</v>
      </c>
      <c r="H1748" s="7"/>
      <c r="I1748" s="2" t="s">
        <v>9</v>
      </c>
    </row>
    <row r="1749" spans="1:9" ht="52" x14ac:dyDescent="0.3">
      <c r="A1749" s="1" t="str">
        <f>HYPERLINK("https://ipmanager.doe.gov/IPManager//ExternalLink.aspx?6ibkph2k9yi6F%2B0Vz7YoTnXVN2REjGcWajRPJZx0DM8%3D","Link")</f>
        <v>Link</v>
      </c>
      <c r="B1749" s="2" t="s">
        <v>5636</v>
      </c>
      <c r="C1749" s="2" t="s">
        <v>5637</v>
      </c>
      <c r="D1749" s="2" t="s">
        <v>5638</v>
      </c>
      <c r="E1749" s="2" t="s">
        <v>5639</v>
      </c>
      <c r="F1749" s="2" t="s">
        <v>5640</v>
      </c>
      <c r="G1749" s="2" t="s">
        <v>2737</v>
      </c>
      <c r="H1749" s="7"/>
      <c r="I1749" s="2" t="s">
        <v>9</v>
      </c>
    </row>
    <row r="1750" spans="1:9" ht="39" x14ac:dyDescent="0.3">
      <c r="A1750" s="1" t="str">
        <f>HYPERLINK("https://ipmanager.doe.gov/IPManager//ExternalLink.aspx?6ibkph2k9yi6F%2B0Vz7YoTo7DPLa3%2F%2FGg4KJQ0vvi4V4%3D","Link")</f>
        <v>Link</v>
      </c>
      <c r="B1750" s="2" t="s">
        <v>5641</v>
      </c>
      <c r="C1750" s="2" t="s">
        <v>5637</v>
      </c>
      <c r="D1750" s="2" t="s">
        <v>5638</v>
      </c>
      <c r="E1750" s="2" t="s">
        <v>5642</v>
      </c>
      <c r="F1750" s="2" t="s">
        <v>5643</v>
      </c>
      <c r="G1750" s="2" t="s">
        <v>5644</v>
      </c>
      <c r="H1750" s="7"/>
      <c r="I1750" s="2" t="s">
        <v>9</v>
      </c>
    </row>
    <row r="1751" spans="1:9" ht="39" x14ac:dyDescent="0.3">
      <c r="A1751" s="1" t="str">
        <f>HYPERLINK("https://ipmanager.doe.gov/IPManager//ExternalLink.aspx?6ibkph2k9yi6F%2B0Vz7YoTvPUg%2FVZPl3iKNRtamMMuxo%3D","Link")</f>
        <v>Link</v>
      </c>
      <c r="B1751" s="2" t="s">
        <v>5646</v>
      </c>
      <c r="C1751" s="2" t="s">
        <v>5637</v>
      </c>
      <c r="D1751" s="2" t="s">
        <v>5638</v>
      </c>
      <c r="E1751" s="2" t="s">
        <v>5642</v>
      </c>
      <c r="F1751" s="2" t="s">
        <v>5645</v>
      </c>
      <c r="G1751" s="2" t="s">
        <v>3229</v>
      </c>
      <c r="H1751" s="7"/>
      <c r="I1751" s="2" t="s">
        <v>9</v>
      </c>
    </row>
    <row r="1752" spans="1:9" ht="26" x14ac:dyDescent="0.3">
      <c r="A1752" s="1" t="str">
        <f>HYPERLINK("https://ipmanager.doe.gov/IPManager//ExternalLink.aspx?6ibkph2k9yi6F%2B0Vz7YoTvE8yjoHgvp6Dht3BvWr8M4%3D","Link")</f>
        <v>Link</v>
      </c>
      <c r="B1752" s="2" t="s">
        <v>5647</v>
      </c>
      <c r="C1752" s="2" t="s">
        <v>5637</v>
      </c>
      <c r="D1752" s="2" t="s">
        <v>5638</v>
      </c>
      <c r="E1752" s="2" t="s">
        <v>5648</v>
      </c>
      <c r="F1752" s="2" t="s">
        <v>5649</v>
      </c>
      <c r="G1752" s="2" t="s">
        <v>5133</v>
      </c>
      <c r="H1752" s="7"/>
      <c r="I1752" s="2" t="s">
        <v>9</v>
      </c>
    </row>
    <row r="1753" spans="1:9" ht="52" x14ac:dyDescent="0.3">
      <c r="A1753" s="1" t="str">
        <f>HYPERLINK("https://ipmanager.doe.gov/IPManager//ExternalLink.aspx?6ibkph2k9yi6F%2B0Vz7YoThEBhkR3uHVrP7lEY11LyK8%3D","Link")</f>
        <v>Link</v>
      </c>
      <c r="B1753" s="2" t="s">
        <v>5650</v>
      </c>
      <c r="C1753" s="2" t="s">
        <v>5637</v>
      </c>
      <c r="D1753" s="2" t="s">
        <v>5638</v>
      </c>
      <c r="E1753" s="2" t="s">
        <v>5639</v>
      </c>
      <c r="F1753" s="2" t="s">
        <v>5651</v>
      </c>
      <c r="G1753" s="2" t="s">
        <v>5652</v>
      </c>
      <c r="H1753" s="7"/>
      <c r="I1753" s="2" t="s">
        <v>9</v>
      </c>
    </row>
    <row r="1754" spans="1:9" ht="39" x14ac:dyDescent="0.3">
      <c r="A1754" s="1" t="str">
        <f>HYPERLINK("https://ipmanager.doe.gov/IPManager//ExternalLink.aspx?6ibkph2k9yi6F%2B0Vz7YoThEBhkR3uHVrMFgPsySuyDU%3D","Link")</f>
        <v>Link</v>
      </c>
      <c r="B1754" s="2" t="s">
        <v>5654</v>
      </c>
      <c r="C1754" s="2" t="s">
        <v>5637</v>
      </c>
      <c r="D1754" s="2" t="s">
        <v>1897</v>
      </c>
      <c r="E1754" s="2" t="s">
        <v>5655</v>
      </c>
      <c r="F1754" s="2" t="s">
        <v>5656</v>
      </c>
      <c r="G1754" s="2" t="s">
        <v>1949</v>
      </c>
      <c r="H1754" s="7"/>
      <c r="I1754" s="2" t="s">
        <v>9</v>
      </c>
    </row>
    <row r="1755" spans="1:9" ht="52" x14ac:dyDescent="0.3">
      <c r="A1755" s="1" t="str">
        <f>HYPERLINK("https://ipmanager.doe.gov/IPManager//ExternalLink.aspx?6ibkph2k9yi6F%2B0Vz7YoTq6RR9BlGHHibCUso0lv3dc%3D","Link")</f>
        <v>Link</v>
      </c>
      <c r="B1755" s="2" t="s">
        <v>5718</v>
      </c>
      <c r="C1755" s="2" t="s">
        <v>5719</v>
      </c>
      <c r="D1755" s="2" t="s">
        <v>3094</v>
      </c>
      <c r="E1755" s="2" t="s">
        <v>5720</v>
      </c>
      <c r="F1755" s="2"/>
      <c r="G1755" s="2" t="s">
        <v>9</v>
      </c>
      <c r="H1755" s="7"/>
      <c r="I1755" s="2" t="s">
        <v>9</v>
      </c>
    </row>
    <row r="1756" spans="1:9" ht="26" x14ac:dyDescent="0.3">
      <c r="A1756" s="1" t="str">
        <f>HYPERLINK("https://ipmanager.doe.gov/IPManager//ExternalLink.aspx?6ibkph2k9yi6F%2B0Vz7YoTkqAgjuWMa9QW8V%2B1ol8BUI%3D","Link")</f>
        <v>Link</v>
      </c>
      <c r="B1756" s="2" t="s">
        <v>5722</v>
      </c>
      <c r="C1756" s="2" t="s">
        <v>5719</v>
      </c>
      <c r="D1756" s="2" t="s">
        <v>3094</v>
      </c>
      <c r="E1756" s="2" t="s">
        <v>5723</v>
      </c>
      <c r="F1756" s="2"/>
      <c r="G1756" s="2" t="s">
        <v>9</v>
      </c>
      <c r="H1756" s="7"/>
      <c r="I1756" s="2" t="s">
        <v>9</v>
      </c>
    </row>
    <row r="1757" spans="1:9" ht="26" x14ac:dyDescent="0.3">
      <c r="A1757" s="1" t="str">
        <f>HYPERLINK("https://ipmanager.doe.gov/IPManager//ExternalLink.aspx?6ibkph2k9yi6F%2B0Vz7YoTsTAnuFk5EoArqth9XA83vg%3D","Link")</f>
        <v>Link</v>
      </c>
      <c r="B1757" s="2" t="s">
        <v>5724</v>
      </c>
      <c r="C1757" s="2" t="s">
        <v>5719</v>
      </c>
      <c r="D1757" s="2" t="s">
        <v>3094</v>
      </c>
      <c r="E1757" s="2" t="s">
        <v>5725</v>
      </c>
      <c r="F1757" s="2"/>
      <c r="G1757" s="2" t="s">
        <v>9</v>
      </c>
      <c r="H1757" s="7"/>
      <c r="I1757" s="2" t="s">
        <v>9</v>
      </c>
    </row>
    <row r="1758" spans="1:9" ht="52" x14ac:dyDescent="0.3">
      <c r="A1758" s="1" t="str">
        <f>HYPERLINK("https://ipmanager.doe.gov/IPManager//ExternalLink.aspx?6ibkph2k9yi6F%2B0Vz7YoTsTAnuFk5EoArOCfteYJR9g%3D","Link")</f>
        <v>Link</v>
      </c>
      <c r="B1758" s="2" t="s">
        <v>5726</v>
      </c>
      <c r="C1758" s="2" t="s">
        <v>5719</v>
      </c>
      <c r="D1758" s="2" t="s">
        <v>3094</v>
      </c>
      <c r="E1758" s="2" t="s">
        <v>5727</v>
      </c>
      <c r="F1758" s="2"/>
      <c r="G1758" s="2" t="s">
        <v>9</v>
      </c>
      <c r="H1758" s="7"/>
      <c r="I1758" s="2" t="s">
        <v>9</v>
      </c>
    </row>
    <row r="1759" spans="1:9" ht="39" x14ac:dyDescent="0.3">
      <c r="A1759" s="1" t="str">
        <f>HYPERLINK("https://ipmanager.doe.gov/IPManager//ExternalLink.aspx?6ibkph2k9yi6F%2B0Vz7YoTnXVN2REjGcWf9hupEzuExU%3D","Link")</f>
        <v>Link</v>
      </c>
      <c r="B1759" s="2" t="s">
        <v>6284</v>
      </c>
      <c r="C1759" s="2" t="s">
        <v>6285</v>
      </c>
      <c r="D1759" s="2" t="s">
        <v>6286</v>
      </c>
      <c r="E1759" s="2" t="s">
        <v>6287</v>
      </c>
      <c r="F1759" s="2" t="s">
        <v>6288</v>
      </c>
      <c r="G1759" s="2" t="s">
        <v>6289</v>
      </c>
      <c r="H1759" s="7"/>
      <c r="I1759" s="2" t="s">
        <v>9</v>
      </c>
    </row>
    <row r="1760" spans="1:9" ht="26" x14ac:dyDescent="0.3">
      <c r="A1760" s="1" t="str">
        <f>HYPERLINK("https://ipmanager.doe.gov/IPManager//ExternalLink.aspx?6ibkph2k9yi6F%2B0Vz7YoTo7DPLa3%2F%2FGg3zuZF0iRfC8%3D","Link")</f>
        <v>Link</v>
      </c>
      <c r="B1760" s="2" t="s">
        <v>5731</v>
      </c>
      <c r="C1760" s="2" t="s">
        <v>5719</v>
      </c>
      <c r="D1760" s="2" t="s">
        <v>3094</v>
      </c>
      <c r="E1760" s="2" t="s">
        <v>5732</v>
      </c>
      <c r="F1760" s="2"/>
      <c r="G1760" s="2" t="s">
        <v>9</v>
      </c>
      <c r="H1760" s="7"/>
      <c r="I1760" s="2" t="s">
        <v>9</v>
      </c>
    </row>
    <row r="1761" spans="1:9" ht="26" x14ac:dyDescent="0.3">
      <c r="A1761" s="1" t="str">
        <f>HYPERLINK("https://ipmanager.doe.gov/IPManager//ExternalLink.aspx?6ibkph2k9yi6F%2B0Vz7YoTo7DPLa3%2F%2FGg%2B3Hy40xvh5g%3D","Link")</f>
        <v>Link</v>
      </c>
      <c r="B1761" s="2" t="s">
        <v>5733</v>
      </c>
      <c r="C1761" s="2" t="s">
        <v>5719</v>
      </c>
      <c r="D1761" s="2" t="s">
        <v>3094</v>
      </c>
      <c r="E1761" s="2" t="s">
        <v>5734</v>
      </c>
      <c r="F1761" s="2"/>
      <c r="G1761" s="2" t="s">
        <v>9</v>
      </c>
      <c r="H1761" s="7"/>
      <c r="I1761" s="2" t="s">
        <v>9</v>
      </c>
    </row>
    <row r="1762" spans="1:9" ht="26" x14ac:dyDescent="0.3">
      <c r="A1762" s="1" t="str">
        <f>HYPERLINK("https://ipmanager.doe.gov/IPManager//ExternalLink.aspx?6ibkph2k9yi6F%2B0Vz7YoTnXVN2REjGcW9MEBWLHrRz0%3D","Link")</f>
        <v>Link</v>
      </c>
      <c r="B1762" s="2" t="s">
        <v>5735</v>
      </c>
      <c r="C1762" s="2" t="s">
        <v>5736</v>
      </c>
      <c r="D1762" s="2" t="s">
        <v>4148</v>
      </c>
      <c r="E1762" s="2"/>
      <c r="F1762" s="2"/>
      <c r="G1762" s="2" t="s">
        <v>9</v>
      </c>
      <c r="H1762" s="7"/>
      <c r="I1762" s="2" t="s">
        <v>9</v>
      </c>
    </row>
    <row r="1763" spans="1:9" ht="52" x14ac:dyDescent="0.3">
      <c r="A1763" s="1" t="str">
        <f>HYPERLINK("https://ipmanager.doe.gov/IPManager//ExternalLink.aspx?6ibkph2k9yi6F%2B0Vz7YoTnXVN2REjGcW5t6IOXwNlog%3D","Link")</f>
        <v>Link</v>
      </c>
      <c r="B1763" s="2" t="s">
        <v>6290</v>
      </c>
      <c r="C1763" s="2" t="s">
        <v>6285</v>
      </c>
      <c r="D1763" s="2" t="s">
        <v>6286</v>
      </c>
      <c r="E1763" s="2" t="s">
        <v>6291</v>
      </c>
      <c r="F1763" s="2" t="s">
        <v>6292</v>
      </c>
      <c r="G1763" s="2" t="s">
        <v>6289</v>
      </c>
      <c r="H1763" s="7"/>
      <c r="I1763" s="2" t="s">
        <v>9</v>
      </c>
    </row>
    <row r="1764" spans="1:9" ht="52" x14ac:dyDescent="0.3">
      <c r="A1764" s="1" t="str">
        <f>HYPERLINK("https://ipmanager.doe.gov/IPManager//ExternalLink.aspx?6ibkph2k9yi6F%2B0Vz7YoTp68px7nSN2gvEs72OF%2Bx4g%3D","Link")</f>
        <v>Link</v>
      </c>
      <c r="B1764" s="2" t="s">
        <v>6975</v>
      </c>
      <c r="C1764" s="2" t="s">
        <v>6972</v>
      </c>
      <c r="D1764" s="2" t="s">
        <v>6286</v>
      </c>
      <c r="E1764" s="2" t="s">
        <v>6976</v>
      </c>
      <c r="F1764" s="2" t="s">
        <v>6977</v>
      </c>
      <c r="G1764" s="2" t="s">
        <v>5240</v>
      </c>
      <c r="H1764" s="7"/>
      <c r="I1764" s="2" t="s">
        <v>9</v>
      </c>
    </row>
    <row r="1765" spans="1:9" ht="52" x14ac:dyDescent="0.3">
      <c r="A1765" s="1" t="str">
        <f>HYPERLINK("https://ipmanager.doe.gov/IPManager//ExternalLink.aspx?6ibkph2k9yi6F%2B0Vz7YoTp68px7nSN2gfqx5TohInms%3D","Link")</f>
        <v>Link</v>
      </c>
      <c r="B1765" s="2" t="s">
        <v>6978</v>
      </c>
      <c r="C1765" s="2" t="s">
        <v>6972</v>
      </c>
      <c r="D1765" s="2" t="s">
        <v>6286</v>
      </c>
      <c r="E1765" s="2" t="s">
        <v>6979</v>
      </c>
      <c r="F1765" s="2" t="s">
        <v>6980</v>
      </c>
      <c r="G1765" s="2" t="s">
        <v>4733</v>
      </c>
      <c r="H1765" s="7"/>
      <c r="I1765" s="2" t="s">
        <v>9</v>
      </c>
    </row>
    <row r="1766" spans="1:9" ht="65" x14ac:dyDescent="0.3">
      <c r="A1766" s="1" t="str">
        <f>HYPERLINK("https://ipmanager.doe.gov/IPManager//ExternalLink.aspx?6ibkph2k9yi6F%2B0Vz7YoTp68px7nSN2g7O73JWR%2FVrA%3D","Link")</f>
        <v>Link</v>
      </c>
      <c r="B1766" s="2" t="s">
        <v>6983</v>
      </c>
      <c r="C1766" s="2" t="s">
        <v>6972</v>
      </c>
      <c r="D1766" s="2" t="s">
        <v>6286</v>
      </c>
      <c r="E1766" s="2" t="s">
        <v>6984</v>
      </c>
      <c r="F1766" s="2" t="s">
        <v>6985</v>
      </c>
      <c r="G1766" s="2" t="s">
        <v>6197</v>
      </c>
      <c r="H1766" s="7"/>
      <c r="I1766" s="2" t="s">
        <v>9</v>
      </c>
    </row>
    <row r="1767" spans="1:9" ht="39" x14ac:dyDescent="0.3">
      <c r="A1767" s="1" t="str">
        <f>HYPERLINK("https://ipmanager.doe.gov/IPManager//ExternalLink.aspx?6ibkph2k9yi6F%2B0Vz7YoTsTAnuFk5EoAzITq2VkKgms%3D","Link")</f>
        <v>Link</v>
      </c>
      <c r="B1767" s="2" t="s">
        <v>6986</v>
      </c>
      <c r="C1767" s="2" t="s">
        <v>6972</v>
      </c>
      <c r="D1767" s="2" t="s">
        <v>6286</v>
      </c>
      <c r="E1767" s="2" t="s">
        <v>6987</v>
      </c>
      <c r="F1767" s="2" t="s">
        <v>6988</v>
      </c>
      <c r="G1767" s="2" t="s">
        <v>6989</v>
      </c>
      <c r="H1767" s="7"/>
      <c r="I1767" s="2" t="s">
        <v>9</v>
      </c>
    </row>
    <row r="1768" spans="1:9" ht="39" x14ac:dyDescent="0.3">
      <c r="A1768" s="1" t="str">
        <f>HYPERLINK("https://ipmanager.doe.gov/IPManager//ExternalLink.aspx?6ibkph2k9yi6F%2B0Vz7YoTvE8yjoHgvp6LQXMQc3sJsA%3D","Link")</f>
        <v>Link</v>
      </c>
      <c r="B1768" s="2" t="s">
        <v>7061</v>
      </c>
      <c r="C1768" s="2" t="s">
        <v>7062</v>
      </c>
      <c r="D1768" s="2" t="s">
        <v>6286</v>
      </c>
      <c r="E1768" s="2" t="s">
        <v>7063</v>
      </c>
      <c r="F1768" s="2" t="s">
        <v>7064</v>
      </c>
      <c r="G1768" s="2" t="s">
        <v>5644</v>
      </c>
      <c r="H1768" s="7"/>
      <c r="I1768" s="2" t="s">
        <v>9</v>
      </c>
    </row>
    <row r="1769" spans="1:9" ht="26" x14ac:dyDescent="0.3">
      <c r="A1769" s="1" t="str">
        <f>HYPERLINK("https://ipmanager.doe.gov/IPManager//ExternalLink.aspx?6ibkph2k9yi6F%2B0Vz7YoTp68px7nSN2gx698c6DKsac%3D","Link")</f>
        <v>Link</v>
      </c>
      <c r="B1769" s="2" t="s">
        <v>5754</v>
      </c>
      <c r="C1769" s="2" t="s">
        <v>5755</v>
      </c>
      <c r="D1769" s="2" t="s">
        <v>5064</v>
      </c>
      <c r="E1769" s="2" t="s">
        <v>5756</v>
      </c>
      <c r="F1769" s="2"/>
      <c r="G1769" s="2" t="s">
        <v>9</v>
      </c>
      <c r="H1769" s="7"/>
      <c r="I1769" s="2" t="s">
        <v>9</v>
      </c>
    </row>
    <row r="1770" spans="1:9" ht="26" x14ac:dyDescent="0.3">
      <c r="A1770" s="1" t="str">
        <f>HYPERLINK("https://ipmanager.doe.gov/IPManager//ExternalLink.aspx?6ibkph2k9yi6F%2B0Vz7YoTgZwfmYxrNyKmmqddKTUsM0%3D","Link")</f>
        <v>Link</v>
      </c>
      <c r="B1770" s="2" t="s">
        <v>5757</v>
      </c>
      <c r="C1770" s="2" t="s">
        <v>5755</v>
      </c>
      <c r="D1770" s="2" t="s">
        <v>5064</v>
      </c>
      <c r="E1770" s="2" t="s">
        <v>5758</v>
      </c>
      <c r="F1770" s="2"/>
      <c r="G1770" s="2" t="s">
        <v>9</v>
      </c>
      <c r="H1770" s="7"/>
      <c r="I1770" s="2" t="s">
        <v>9</v>
      </c>
    </row>
    <row r="1771" spans="1:9" ht="39" x14ac:dyDescent="0.3">
      <c r="A1771" s="1" t="str">
        <f>HYPERLINK("https://ipmanager.doe.gov/IPManager//ExternalLink.aspx?6ibkph2k9yi6F%2B0Vz7YoTp68px7nSN2gMQLhM4JC80Y%3D","Link")</f>
        <v>Link</v>
      </c>
      <c r="B1771" s="2" t="s">
        <v>5759</v>
      </c>
      <c r="C1771" s="2" t="s">
        <v>5760</v>
      </c>
      <c r="D1771" s="2" t="s">
        <v>5761</v>
      </c>
      <c r="E1771" s="2" t="s">
        <v>5762</v>
      </c>
      <c r="F1771" s="2"/>
      <c r="G1771" s="2" t="s">
        <v>9</v>
      </c>
      <c r="H1771" s="7"/>
      <c r="I1771" s="2" t="s">
        <v>9</v>
      </c>
    </row>
    <row r="1772" spans="1:9" ht="52" x14ac:dyDescent="0.3">
      <c r="A1772" s="1" t="str">
        <f>HYPERLINK("https://ipmanager.doe.gov/IPManager//ExternalLink.aspx?6ibkph2k9yi6F%2B0Vz7YoTvPUg%2FVZPl3im17RQiTy34E%3D","Link")</f>
        <v>Link</v>
      </c>
      <c r="B1772" s="2" t="s">
        <v>5763</v>
      </c>
      <c r="C1772" s="2" t="s">
        <v>5760</v>
      </c>
      <c r="D1772" s="2" t="s">
        <v>4631</v>
      </c>
      <c r="E1772" s="2" t="s">
        <v>5764</v>
      </c>
      <c r="F1772" s="2"/>
      <c r="G1772" s="2" t="s">
        <v>9</v>
      </c>
      <c r="H1772" s="7"/>
      <c r="I1772" s="2" t="s">
        <v>9</v>
      </c>
    </row>
    <row r="1773" spans="1:9" ht="52" x14ac:dyDescent="0.3">
      <c r="A1773" s="1" t="str">
        <f>HYPERLINK("https://ipmanager.doe.gov/IPManager//ExternalLink.aspx?6ibkph2k9yi6F%2B0Vz7YoThEBhkR3uHVrWHa36zDmVxI%3D","Link")</f>
        <v>Link</v>
      </c>
      <c r="B1773" s="2" t="s">
        <v>5765</v>
      </c>
      <c r="C1773" s="2" t="s">
        <v>5760</v>
      </c>
      <c r="D1773" s="2" t="s">
        <v>4631</v>
      </c>
      <c r="E1773" s="2" t="s">
        <v>5764</v>
      </c>
      <c r="F1773" s="2"/>
      <c r="G1773" s="2" t="s">
        <v>9</v>
      </c>
      <c r="H1773" s="7"/>
      <c r="I1773" s="2" t="s">
        <v>9</v>
      </c>
    </row>
    <row r="1774" spans="1:9" ht="91" x14ac:dyDescent="0.3">
      <c r="A1774" s="1" t="str">
        <f>HYPERLINK("https://ipmanager.doe.gov/IPManager//ExternalLink.aspx?6ibkph2k9yi6F%2B0Vz7YoTnXVN2REjGcW13YY0cUFvaM%3D","Link")</f>
        <v>Link</v>
      </c>
      <c r="B1774" s="2" t="s">
        <v>5766</v>
      </c>
      <c r="C1774" s="2" t="s">
        <v>5760</v>
      </c>
      <c r="D1774" s="2" t="s">
        <v>4657</v>
      </c>
      <c r="E1774" s="2" t="s">
        <v>5767</v>
      </c>
      <c r="F1774" s="2"/>
      <c r="G1774" s="2" t="s">
        <v>9</v>
      </c>
      <c r="H1774" s="7"/>
      <c r="I1774" s="2" t="s">
        <v>9</v>
      </c>
    </row>
    <row r="1775" spans="1:9" ht="39" x14ac:dyDescent="0.3">
      <c r="A1775" s="1" t="str">
        <f>HYPERLINK("https://ipmanager.doe.gov/IPManager//ExternalLink.aspx?6ibkph2k9yi6F%2B0Vz7YoTnXVN2REjGcW4jws%2BhkNQr8%3D","Link")</f>
        <v>Link</v>
      </c>
      <c r="B1775" s="2" t="s">
        <v>5768</v>
      </c>
      <c r="C1775" s="2" t="s">
        <v>5760</v>
      </c>
      <c r="D1775" s="2" t="s">
        <v>4657</v>
      </c>
      <c r="E1775" s="2" t="s">
        <v>5769</v>
      </c>
      <c r="F1775" s="2"/>
      <c r="G1775" s="2" t="s">
        <v>9</v>
      </c>
      <c r="H1775" s="7"/>
      <c r="I1775" s="2" t="s">
        <v>9</v>
      </c>
    </row>
    <row r="1776" spans="1:9" ht="65" x14ac:dyDescent="0.3">
      <c r="A1776" s="1" t="str">
        <f>HYPERLINK("https://ipmanager.doe.gov/IPManager//ExternalLink.aspx?6ibkph2k9yi6F%2B0Vz7YoTq6RR9BlGHHiboQtBMnbeqs%3D","Link")</f>
        <v>Link</v>
      </c>
      <c r="B1776" s="2" t="s">
        <v>5770</v>
      </c>
      <c r="C1776" s="2" t="s">
        <v>5760</v>
      </c>
      <c r="D1776" s="2" t="s">
        <v>4657</v>
      </c>
      <c r="E1776" s="2" t="s">
        <v>5771</v>
      </c>
      <c r="F1776" s="2"/>
      <c r="G1776" s="2" t="s">
        <v>9</v>
      </c>
      <c r="H1776" s="7"/>
      <c r="I1776" s="2" t="s">
        <v>9</v>
      </c>
    </row>
    <row r="1777" spans="1:9" ht="39" x14ac:dyDescent="0.3">
      <c r="A1777" s="1" t="str">
        <f>HYPERLINK("https://ipmanager.doe.gov/IPManager//ExternalLink.aspx?6ibkph2k9yi6F%2B0Vz7YoTq6RR9BlGHHiP2XK%2FcpCC4A%3D","Link")</f>
        <v>Link</v>
      </c>
      <c r="B1777" s="2" t="s">
        <v>5772</v>
      </c>
      <c r="C1777" s="2" t="s">
        <v>5760</v>
      </c>
      <c r="D1777" s="2" t="s">
        <v>5761</v>
      </c>
      <c r="E1777" s="2" t="s">
        <v>5773</v>
      </c>
      <c r="F1777" s="2"/>
      <c r="G1777" s="2" t="s">
        <v>9</v>
      </c>
      <c r="H1777" s="7"/>
      <c r="I1777" s="2" t="s">
        <v>9</v>
      </c>
    </row>
    <row r="1778" spans="1:9" ht="39" x14ac:dyDescent="0.3">
      <c r="A1778" s="1" t="str">
        <f>HYPERLINK("https://ipmanager.doe.gov/IPManager//ExternalLink.aspx?6ibkph2k9yi6F%2B0Vz7YoTq6RR9BlGHHit89YRpydXLM%3D","Link")</f>
        <v>Link</v>
      </c>
      <c r="B1778" s="2" t="s">
        <v>5774</v>
      </c>
      <c r="C1778" s="2" t="s">
        <v>5760</v>
      </c>
      <c r="D1778" s="2" t="s">
        <v>4657</v>
      </c>
      <c r="E1778" s="2" t="s">
        <v>5775</v>
      </c>
      <c r="F1778" s="2"/>
      <c r="G1778" s="2" t="s">
        <v>9</v>
      </c>
      <c r="H1778" s="7"/>
      <c r="I1778" s="2" t="s">
        <v>9</v>
      </c>
    </row>
    <row r="1779" spans="1:9" ht="65" x14ac:dyDescent="0.3">
      <c r="A1779" s="1" t="str">
        <f>HYPERLINK("https://ipmanager.doe.gov/IPManager//ExternalLink.aspx?6ibkph2k9yi6F%2B0Vz7YoTvPUg%2FVZPl3i3smLSpr%2FHQA%3D","Link")</f>
        <v>Link</v>
      </c>
      <c r="B1779" s="2" t="s">
        <v>5776</v>
      </c>
      <c r="C1779" s="2" t="s">
        <v>5760</v>
      </c>
      <c r="D1779" s="2" t="s">
        <v>4657</v>
      </c>
      <c r="E1779" s="2" t="s">
        <v>5777</v>
      </c>
      <c r="F1779" s="2"/>
      <c r="G1779" s="2" t="s">
        <v>9</v>
      </c>
      <c r="H1779" s="7"/>
      <c r="I1779" s="2" t="s">
        <v>9</v>
      </c>
    </row>
    <row r="1780" spans="1:9" ht="52" x14ac:dyDescent="0.3">
      <c r="A1780" s="1" t="str">
        <f>HYPERLINK("https://ipmanager.doe.gov/IPManager//ExternalLink.aspx?6ibkph2k9yi6F%2B0Vz7YoTnXVN2REjGcWfa%2B8GYMFOAE%3D","Link")</f>
        <v>Link</v>
      </c>
      <c r="B1780" s="2" t="s">
        <v>5778</v>
      </c>
      <c r="C1780" s="2" t="s">
        <v>5760</v>
      </c>
      <c r="D1780" s="2" t="s">
        <v>4657</v>
      </c>
      <c r="E1780" s="2" t="s">
        <v>5779</v>
      </c>
      <c r="F1780" s="2"/>
      <c r="G1780" s="2" t="s">
        <v>9</v>
      </c>
      <c r="H1780" s="7"/>
      <c r="I1780" s="2" t="s">
        <v>9</v>
      </c>
    </row>
    <row r="1781" spans="1:9" ht="65" x14ac:dyDescent="0.3">
      <c r="A1781" s="1" t="str">
        <f>HYPERLINK("https://ipmanager.doe.gov/IPManager//ExternalLink.aspx?6ibkph2k9yi6F%2B0Vz7YoTvPUg%2FVZPl3iVI8h0Fu4lPk%3D","Link")</f>
        <v>Link</v>
      </c>
      <c r="B1781" s="2" t="s">
        <v>5780</v>
      </c>
      <c r="C1781" s="2" t="s">
        <v>5760</v>
      </c>
      <c r="D1781" s="2" t="s">
        <v>4657</v>
      </c>
      <c r="E1781" s="2" t="s">
        <v>5781</v>
      </c>
      <c r="F1781" s="2"/>
      <c r="G1781" s="2" t="s">
        <v>9</v>
      </c>
      <c r="H1781" s="7"/>
      <c r="I1781" s="2" t="s">
        <v>9</v>
      </c>
    </row>
    <row r="1782" spans="1:9" ht="26" x14ac:dyDescent="0.3">
      <c r="A1782" s="1" t="str">
        <f>HYPERLINK("https://ipmanager.doe.gov/IPManager//ExternalLink.aspx?6ibkph2k9yi6F%2B0Vz7YoTo7DPLa3%2F%2FGg81wbo%2Bhxv2c%3D","Link")</f>
        <v>Link</v>
      </c>
      <c r="B1782" s="2" t="s">
        <v>5386</v>
      </c>
      <c r="C1782" s="2" t="s">
        <v>5383</v>
      </c>
      <c r="D1782" s="2" t="s">
        <v>5387</v>
      </c>
      <c r="E1782" s="2" t="s">
        <v>5388</v>
      </c>
      <c r="F1782" s="2" t="s">
        <v>5389</v>
      </c>
      <c r="G1782" s="2" t="s">
        <v>4975</v>
      </c>
      <c r="H1782" s="7"/>
      <c r="I1782" s="2" t="s">
        <v>9</v>
      </c>
    </row>
    <row r="1783" spans="1:9" ht="52" x14ac:dyDescent="0.3">
      <c r="A1783" s="1" t="str">
        <f>HYPERLINK("https://ipmanager.doe.gov/IPManager//ExternalLink.aspx?6ibkph2k9yi6F%2B0Vz7YoTo7DPLa3%2F%2FGg3uIzJLdukZk%3D","Link")</f>
        <v>Link</v>
      </c>
      <c r="B1783" s="2" t="s">
        <v>5396</v>
      </c>
      <c r="C1783" s="2" t="s">
        <v>5383</v>
      </c>
      <c r="D1783" s="2" t="s">
        <v>5387</v>
      </c>
      <c r="E1783" s="2" t="s">
        <v>5397</v>
      </c>
      <c r="F1783" s="2" t="s">
        <v>5398</v>
      </c>
      <c r="G1783" s="2" t="s">
        <v>9</v>
      </c>
      <c r="H1783" s="7"/>
      <c r="I1783" s="2" t="s">
        <v>9</v>
      </c>
    </row>
    <row r="1784" spans="1:9" ht="39" x14ac:dyDescent="0.3">
      <c r="A1784" s="1" t="str">
        <f>HYPERLINK("https://ipmanager.doe.gov/IPManager//ExternalLink.aspx?6ibkph2k9yi6F%2B0Vz7YoTipZ798QK%2BbPYTx6xPJ64BU%3D","Link")</f>
        <v>Link</v>
      </c>
      <c r="B1784" s="2" t="s">
        <v>1335</v>
      </c>
      <c r="C1784" s="2" t="s">
        <v>1317</v>
      </c>
      <c r="D1784" s="2" t="s">
        <v>1336</v>
      </c>
      <c r="E1784" s="2" t="s">
        <v>1327</v>
      </c>
      <c r="F1784" s="2" t="s">
        <v>1337</v>
      </c>
      <c r="G1784" s="2" t="s">
        <v>195</v>
      </c>
      <c r="H1784" s="7"/>
      <c r="I1784" s="2" t="s">
        <v>9</v>
      </c>
    </row>
    <row r="1785" spans="1:9" ht="65" x14ac:dyDescent="0.3">
      <c r="A1785" s="1" t="str">
        <f>HYPERLINK("https://ipmanager.doe.gov/IPManager//ExternalLink.aspx?6ibkph2k9yi6F%2B0Vz7YoTr7J5I%2BY4foYhLVjfV4%2FBhI%3D","Link")</f>
        <v>Link</v>
      </c>
      <c r="B1785" s="2" t="s">
        <v>3111</v>
      </c>
      <c r="C1785" s="2" t="s">
        <v>3099</v>
      </c>
      <c r="D1785" s="2" t="s">
        <v>1336</v>
      </c>
      <c r="E1785" s="2" t="s">
        <v>3100</v>
      </c>
      <c r="F1785" s="2" t="s">
        <v>3112</v>
      </c>
      <c r="G1785" s="2" t="s">
        <v>3113</v>
      </c>
      <c r="H1785" s="7"/>
      <c r="I1785" s="2" t="s">
        <v>9</v>
      </c>
    </row>
    <row r="1786" spans="1:9" ht="52" x14ac:dyDescent="0.3">
      <c r="A1786" s="1" t="str">
        <f>HYPERLINK("https://ipmanager.doe.gov/IPManager//ExternalLink.aspx?6ibkph2k9yi6F%2B0Vz7YoTnXVN2REjGcWFBYoyMIOJyA%3D","Link")</f>
        <v>Link</v>
      </c>
      <c r="B1786" s="2" t="s">
        <v>5798</v>
      </c>
      <c r="C1786" s="2" t="s">
        <v>5795</v>
      </c>
      <c r="D1786" s="2" t="s">
        <v>3184</v>
      </c>
      <c r="E1786" s="2" t="s">
        <v>5799</v>
      </c>
      <c r="F1786" s="2"/>
      <c r="G1786" s="2" t="s">
        <v>9</v>
      </c>
      <c r="H1786" s="7"/>
      <c r="I1786" s="2" t="s">
        <v>9</v>
      </c>
    </row>
    <row r="1787" spans="1:9" ht="65" x14ac:dyDescent="0.3">
      <c r="A1787" s="1" t="str">
        <f>HYPERLINK("https://ipmanager.doe.gov/IPManager//ExternalLink.aspx?6ibkph2k9yi6F%2B0Vz7YoTjnDGhmGHGI7FR2%2BLjMDbws%3D","Link")</f>
        <v>Link</v>
      </c>
      <c r="B1787" s="2" t="s">
        <v>3114</v>
      </c>
      <c r="C1787" s="2" t="s">
        <v>3099</v>
      </c>
      <c r="D1787" s="2" t="s">
        <v>1336</v>
      </c>
      <c r="E1787" s="2" t="s">
        <v>3100</v>
      </c>
      <c r="F1787" s="2" t="s">
        <v>3115</v>
      </c>
      <c r="G1787" s="2" t="s">
        <v>461</v>
      </c>
      <c r="H1787" s="7"/>
      <c r="I1787" s="2" t="s">
        <v>9</v>
      </c>
    </row>
    <row r="1788" spans="1:9" ht="39" x14ac:dyDescent="0.3">
      <c r="A1788" s="1" t="str">
        <f>HYPERLINK("https://ipmanager.doe.gov/IPManager//ExternalLink.aspx?6ibkph2k9yi6F%2B0Vz7YoTsTAnuFk5EoALtuUl0D3BqQ%3D","Link")</f>
        <v>Link</v>
      </c>
      <c r="B1788" s="2" t="s">
        <v>3116</v>
      </c>
      <c r="C1788" s="2" t="s">
        <v>3099</v>
      </c>
      <c r="D1788" s="2" t="s">
        <v>1336</v>
      </c>
      <c r="E1788" s="2" t="s">
        <v>3105</v>
      </c>
      <c r="F1788" s="2" t="s">
        <v>3117</v>
      </c>
      <c r="G1788" s="2" t="s">
        <v>3106</v>
      </c>
      <c r="H1788" s="7"/>
      <c r="I1788" s="2" t="s">
        <v>9</v>
      </c>
    </row>
    <row r="1789" spans="1:9" ht="65" x14ac:dyDescent="0.3">
      <c r="A1789" s="1" t="str">
        <f>HYPERLINK("https://ipmanager.doe.gov/IPManager//ExternalLink.aspx?6ibkph2k9yi6F%2B0Vz7YoTvPUg%2FVZPl3ikLRm7040010%3D","Link")</f>
        <v>Link</v>
      </c>
      <c r="B1789" s="2" t="s">
        <v>4402</v>
      </c>
      <c r="C1789" s="2" t="s">
        <v>4403</v>
      </c>
      <c r="D1789" s="2" t="s">
        <v>4404</v>
      </c>
      <c r="E1789" s="2" t="s">
        <v>4405</v>
      </c>
      <c r="F1789" s="2" t="s">
        <v>4406</v>
      </c>
      <c r="G1789" s="2" t="s">
        <v>254</v>
      </c>
      <c r="H1789" s="7"/>
      <c r="I1789" s="2" t="s">
        <v>9</v>
      </c>
    </row>
    <row r="1790" spans="1:9" ht="65" x14ac:dyDescent="0.3">
      <c r="A1790" s="1" t="str">
        <f>HYPERLINK("https://ipmanager.doe.gov/IPManager//ExternalLink.aspx?6ibkph2k9yi6F%2B0Vz7YoTipZ798QK%2BbPSnrbAQv02Kk%3D","Link")</f>
        <v>Link</v>
      </c>
      <c r="B1790" s="2" t="s">
        <v>4407</v>
      </c>
      <c r="C1790" s="2" t="s">
        <v>4403</v>
      </c>
      <c r="D1790" s="2" t="s">
        <v>4404</v>
      </c>
      <c r="E1790" s="2" t="s">
        <v>4405</v>
      </c>
      <c r="F1790" s="2" t="s">
        <v>4408</v>
      </c>
      <c r="G1790" s="2" t="s">
        <v>1256</v>
      </c>
      <c r="H1790" s="7"/>
      <c r="I1790" s="2" t="s">
        <v>9</v>
      </c>
    </row>
    <row r="1791" spans="1:9" ht="26" x14ac:dyDescent="0.3">
      <c r="A1791" s="1" t="str">
        <f>HYPERLINK("https://ipmanager.doe.gov/IPManager//ExternalLink.aspx?6ibkph2k9yi6F%2B0Vz7YoTkqAgjuWMa9QJSlFqucvGJ8%3D","Link")</f>
        <v>Link</v>
      </c>
      <c r="B1791" s="2" t="s">
        <v>5814</v>
      </c>
      <c r="C1791" s="2" t="s">
        <v>5815</v>
      </c>
      <c r="D1791" s="2" t="s">
        <v>5816</v>
      </c>
      <c r="E1791" s="2" t="s">
        <v>5817</v>
      </c>
      <c r="F1791" s="2"/>
      <c r="G1791" s="2" t="s">
        <v>9</v>
      </c>
      <c r="H1791" s="7"/>
      <c r="I1791" s="2" t="s">
        <v>9</v>
      </c>
    </row>
    <row r="1792" spans="1:9" ht="39" x14ac:dyDescent="0.3">
      <c r="A1792" s="1" t="str">
        <f>HYPERLINK("https://ipmanager.doe.gov/IPManager//ExternalLink.aspx?6ibkph2k9yi6F%2B0Vz7YoTvE8yjoHgvp6VyHrbMvwd4c%3D","Link")</f>
        <v>Link</v>
      </c>
      <c r="B1792" s="2" t="s">
        <v>6430</v>
      </c>
      <c r="C1792" s="2" t="s">
        <v>6425</v>
      </c>
      <c r="D1792" s="2" t="s">
        <v>4404</v>
      </c>
      <c r="E1792" s="2" t="s">
        <v>6431</v>
      </c>
      <c r="F1792" s="2" t="s">
        <v>6432</v>
      </c>
      <c r="G1792" s="2" t="s">
        <v>6433</v>
      </c>
      <c r="H1792" s="7"/>
      <c r="I1792" s="2" t="s">
        <v>9</v>
      </c>
    </row>
    <row r="1793" spans="1:9" ht="65" x14ac:dyDescent="0.3">
      <c r="A1793" s="1" t="str">
        <f>HYPERLINK("https://ipmanager.doe.gov/IPManager//ExternalLink.aspx?6ibkph2k9yi6F%2B0Vz7YoTsTAnuFk5EoAeUSstDeemss%3D","Link")</f>
        <v>Link</v>
      </c>
      <c r="B1793" s="2" t="s">
        <v>5822</v>
      </c>
      <c r="C1793" s="2" t="s">
        <v>5815</v>
      </c>
      <c r="D1793" s="2" t="s">
        <v>5823</v>
      </c>
      <c r="E1793" s="2" t="s">
        <v>5824</v>
      </c>
      <c r="F1793" s="2"/>
      <c r="G1793" s="2" t="s">
        <v>9</v>
      </c>
      <c r="H1793" s="7"/>
      <c r="I1793" s="2" t="s">
        <v>9</v>
      </c>
    </row>
    <row r="1794" spans="1:9" ht="39" x14ac:dyDescent="0.3">
      <c r="A1794" s="1" t="str">
        <f>HYPERLINK("https://ipmanager.doe.gov/IPManager//ExternalLink.aspx?6ibkph2k9yi6F%2B0Vz7YoTvE8yjoHgvp6lDyih5ukgSk%3D","Link")</f>
        <v>Link</v>
      </c>
      <c r="B1794" s="2" t="s">
        <v>6434</v>
      </c>
      <c r="C1794" s="2" t="s">
        <v>6425</v>
      </c>
      <c r="D1794" s="2" t="s">
        <v>4404</v>
      </c>
      <c r="E1794" s="2" t="s">
        <v>6435</v>
      </c>
      <c r="F1794" s="2" t="s">
        <v>6436</v>
      </c>
      <c r="G1794" s="2" t="s">
        <v>5825</v>
      </c>
      <c r="H1794" s="7"/>
      <c r="I1794" s="2" t="s">
        <v>9</v>
      </c>
    </row>
    <row r="1795" spans="1:9" ht="39" x14ac:dyDescent="0.3">
      <c r="A1795" s="1" t="str">
        <f>HYPERLINK("https://ipmanager.doe.gov/IPManager//ExternalLink.aspx?6ibkph2k9yi6F%2B0Vz7YoTq6RR9BlGHHiuruxKIz5VEw%3D","Link")</f>
        <v>Link</v>
      </c>
      <c r="B1795" s="2" t="s">
        <v>6439</v>
      </c>
      <c r="C1795" s="2" t="s">
        <v>6425</v>
      </c>
      <c r="D1795" s="2" t="s">
        <v>4404</v>
      </c>
      <c r="E1795" s="2" t="s">
        <v>6435</v>
      </c>
      <c r="F1795" s="2" t="s">
        <v>6440</v>
      </c>
      <c r="G1795" s="2" t="s">
        <v>6441</v>
      </c>
      <c r="H1795" s="7"/>
      <c r="I1795" s="2" t="s">
        <v>9</v>
      </c>
    </row>
    <row r="1796" spans="1:9" ht="52" x14ac:dyDescent="0.3">
      <c r="A1796" s="1" t="str">
        <f>HYPERLINK("https://ipmanager.doe.gov/IPManager//ExternalLink.aspx?6ibkph2k9yi6F%2B0Vz7YoTvE8yjoHgvp69Nw9Mv8CBbM%3D","Link")</f>
        <v>Link</v>
      </c>
      <c r="B1796" s="2" t="s">
        <v>6444</v>
      </c>
      <c r="C1796" s="2" t="s">
        <v>6425</v>
      </c>
      <c r="D1796" s="2" t="s">
        <v>4404</v>
      </c>
      <c r="E1796" s="2" t="s">
        <v>6445</v>
      </c>
      <c r="F1796" s="2" t="s">
        <v>6446</v>
      </c>
      <c r="G1796" s="2" t="s">
        <v>6447</v>
      </c>
      <c r="H1796" s="7"/>
      <c r="I1796" s="2" t="s">
        <v>9</v>
      </c>
    </row>
    <row r="1797" spans="1:9" ht="52" x14ac:dyDescent="0.3">
      <c r="A1797" s="1" t="str">
        <f>HYPERLINK("https://ipmanager.doe.gov/IPManager//ExternalLink.aspx?6ibkph2k9yi6F%2B0Vz7YoTvPUg%2FVZPl3ihJVHCEdZtBs%3D","Link")</f>
        <v>Link</v>
      </c>
      <c r="B1797" s="2" t="s">
        <v>6450</v>
      </c>
      <c r="C1797" s="2" t="s">
        <v>6425</v>
      </c>
      <c r="D1797" s="2" t="s">
        <v>4404</v>
      </c>
      <c r="E1797" s="2" t="s">
        <v>6445</v>
      </c>
      <c r="F1797" s="2" t="s">
        <v>6448</v>
      </c>
      <c r="G1797" s="2" t="s">
        <v>6449</v>
      </c>
      <c r="H1797" s="7"/>
      <c r="I1797" s="2" t="s">
        <v>9</v>
      </c>
    </row>
    <row r="1798" spans="1:9" ht="78" x14ac:dyDescent="0.3">
      <c r="A1798" s="1" t="str">
        <f>HYPERLINK("https://ipmanager.doe.gov/IPManager//ExternalLink.aspx?6ibkph2k9yi6F%2B0Vz7YoTsTAnuFk5EoAZCFiO4mAsVQ%3D","Link")</f>
        <v>Link</v>
      </c>
      <c r="B1798" s="2" t="s">
        <v>5841</v>
      </c>
      <c r="C1798" s="2" t="s">
        <v>5842</v>
      </c>
      <c r="D1798" s="2" t="s">
        <v>5843</v>
      </c>
      <c r="E1798" s="2" t="s">
        <v>5844</v>
      </c>
      <c r="F1798" s="2"/>
      <c r="G1798" s="2" t="s">
        <v>9</v>
      </c>
      <c r="H1798" s="7"/>
      <c r="I1798" s="2" t="s">
        <v>9</v>
      </c>
    </row>
    <row r="1799" spans="1:9" ht="78" x14ac:dyDescent="0.3">
      <c r="A1799" s="1" t="str">
        <f>HYPERLINK("https://ipmanager.doe.gov/IPManager//ExternalLink.aspx?6ibkph2k9yi6F%2B0Vz7YoTjnDGhmGHGI7GzoYxpCAeMk%3D","Link")</f>
        <v>Link</v>
      </c>
      <c r="B1799" s="2" t="s">
        <v>5845</v>
      </c>
      <c r="C1799" s="2" t="s">
        <v>5842</v>
      </c>
      <c r="D1799" s="2" t="s">
        <v>5843</v>
      </c>
      <c r="E1799" s="2" t="s">
        <v>5846</v>
      </c>
      <c r="F1799" s="2"/>
      <c r="G1799" s="2" t="s">
        <v>9</v>
      </c>
      <c r="H1799" s="7"/>
      <c r="I1799" s="2" t="s">
        <v>9</v>
      </c>
    </row>
    <row r="1800" spans="1:9" ht="39" x14ac:dyDescent="0.3">
      <c r="A1800" s="1" t="str">
        <f>HYPERLINK("https://ipmanager.doe.gov/IPManager//ExternalLink.aspx?6ibkph2k9yi6F%2B0Vz7YoTo7DPLa3%2F%2FGgx3rKbIBgnN8%3D","Link")</f>
        <v>Link</v>
      </c>
      <c r="B1800" s="2" t="s">
        <v>5847</v>
      </c>
      <c r="C1800" s="2" t="s">
        <v>5842</v>
      </c>
      <c r="D1800" s="2" t="s">
        <v>5843</v>
      </c>
      <c r="E1800" s="2" t="s">
        <v>5848</v>
      </c>
      <c r="F1800" s="2"/>
      <c r="G1800" s="2" t="s">
        <v>9</v>
      </c>
      <c r="H1800" s="7"/>
      <c r="I1800" s="2" t="s">
        <v>9</v>
      </c>
    </row>
    <row r="1801" spans="1:9" ht="91" x14ac:dyDescent="0.3">
      <c r="A1801" s="1" t="str">
        <f>HYPERLINK("https://ipmanager.doe.gov/IPManager//ExternalLink.aspx?6ibkph2k9yi6F%2B0Vz7YoTnXVN2REjGcWYt%2Ffe9yCiEE%3D","Link")</f>
        <v>Link</v>
      </c>
      <c r="B1801" s="2" t="s">
        <v>5849</v>
      </c>
      <c r="C1801" s="2" t="s">
        <v>5842</v>
      </c>
      <c r="D1801" s="2" t="s">
        <v>5843</v>
      </c>
      <c r="E1801" s="2" t="s">
        <v>5850</v>
      </c>
      <c r="F1801" s="2"/>
      <c r="G1801" s="2" t="s">
        <v>9</v>
      </c>
      <c r="H1801" s="7"/>
      <c r="I1801" s="2" t="s">
        <v>9</v>
      </c>
    </row>
    <row r="1802" spans="1:9" ht="39" x14ac:dyDescent="0.3">
      <c r="A1802" s="1" t="str">
        <f>HYPERLINK("https://ipmanager.doe.gov/IPManager//ExternalLink.aspx?6ibkph2k9yi6F%2B0Vz7YoTnXVN2REjGcWrfqdT6mLaMM%3D","Link")</f>
        <v>Link</v>
      </c>
      <c r="B1802" s="2" t="s">
        <v>5851</v>
      </c>
      <c r="C1802" s="2" t="s">
        <v>5842</v>
      </c>
      <c r="D1802" s="2" t="s">
        <v>5843</v>
      </c>
      <c r="E1802" s="2" t="s">
        <v>5852</v>
      </c>
      <c r="F1802" s="2"/>
      <c r="G1802" s="2" t="s">
        <v>9</v>
      </c>
      <c r="H1802" s="7"/>
      <c r="I1802" s="2" t="s">
        <v>9</v>
      </c>
    </row>
    <row r="1803" spans="1:9" ht="39" x14ac:dyDescent="0.3">
      <c r="A1803" s="1" t="str">
        <f>HYPERLINK("https://ipmanager.doe.gov/IPManager//ExternalLink.aspx?6ibkph2k9yi6F%2B0Vz7YoTq6RR9BlGHHitBsufZAEEII%3D","Link")</f>
        <v>Link</v>
      </c>
      <c r="B1803" s="2" t="s">
        <v>6453</v>
      </c>
      <c r="C1803" s="2" t="s">
        <v>6454</v>
      </c>
      <c r="D1803" s="2" t="s">
        <v>4404</v>
      </c>
      <c r="E1803" s="2" t="s">
        <v>6455</v>
      </c>
      <c r="F1803" s="2" t="s">
        <v>6456</v>
      </c>
      <c r="G1803" s="2" t="s">
        <v>6457</v>
      </c>
      <c r="H1803" s="7"/>
      <c r="I1803" s="2" t="s">
        <v>9</v>
      </c>
    </row>
    <row r="1804" spans="1:9" ht="39" x14ac:dyDescent="0.3">
      <c r="A1804" s="1" t="str">
        <f>HYPERLINK("https://ipmanager.doe.gov/IPManager//ExternalLink.aspx?6ibkph2k9yi6F%2B0Vz7YoTnXVN2REjGcWjfZaaGOwFPo%3D","Link")</f>
        <v>Link</v>
      </c>
      <c r="B1804" s="2" t="s">
        <v>5857</v>
      </c>
      <c r="C1804" s="2" t="s">
        <v>5842</v>
      </c>
      <c r="D1804" s="2" t="s">
        <v>5843</v>
      </c>
      <c r="E1804" s="2" t="s">
        <v>5848</v>
      </c>
      <c r="F1804" s="2"/>
      <c r="G1804" s="2" t="s">
        <v>9</v>
      </c>
      <c r="H1804" s="7"/>
      <c r="I1804" s="2" t="s">
        <v>9</v>
      </c>
    </row>
    <row r="1805" spans="1:9" ht="52" x14ac:dyDescent="0.3">
      <c r="A1805" s="1" t="str">
        <f>HYPERLINK("https://ipmanager.doe.gov/IPManager//ExternalLink.aspx?6ibkph2k9yi6F%2B0Vz7YoTvPUg%2FVZPl3iT2Vd1%2FU9sJA%3D","Link")</f>
        <v>Link</v>
      </c>
      <c r="B1805" s="2" t="s">
        <v>5858</v>
      </c>
      <c r="C1805" s="2" t="s">
        <v>5842</v>
      </c>
      <c r="D1805" s="2" t="s">
        <v>5843</v>
      </c>
      <c r="E1805" s="2" t="s">
        <v>5859</v>
      </c>
      <c r="F1805" s="2"/>
      <c r="G1805" s="2" t="s">
        <v>9</v>
      </c>
      <c r="H1805" s="7"/>
      <c r="I1805" s="2" t="s">
        <v>9</v>
      </c>
    </row>
    <row r="1806" spans="1:9" ht="39" x14ac:dyDescent="0.3">
      <c r="A1806" s="1" t="str">
        <f>HYPERLINK("https://ipmanager.doe.gov/IPManager//ExternalLink.aspx?6ibkph2k9yi6F%2B0Vz7YoTkqAgjuWMa9QkAkoeF9Lu%2Fs%3D","Link")</f>
        <v>Link</v>
      </c>
      <c r="B1806" s="2" t="s">
        <v>5860</v>
      </c>
      <c r="C1806" s="2" t="s">
        <v>5842</v>
      </c>
      <c r="D1806" s="2" t="s">
        <v>5843</v>
      </c>
      <c r="E1806" s="2" t="s">
        <v>5861</v>
      </c>
      <c r="F1806" s="2"/>
      <c r="G1806" s="2" t="s">
        <v>9</v>
      </c>
      <c r="H1806" s="7"/>
      <c r="I1806" s="2" t="s">
        <v>9</v>
      </c>
    </row>
    <row r="1807" spans="1:9" ht="39" x14ac:dyDescent="0.3">
      <c r="A1807" s="1" t="str">
        <f>HYPERLINK("https://ipmanager.doe.gov/IPManager//ExternalLink.aspx?6ibkph2k9yi6F%2B0Vz7YoTvPUg%2FVZPl3i2rZS0cErj4c%3D","Link")</f>
        <v>Link</v>
      </c>
      <c r="B1807" s="2" t="s">
        <v>6460</v>
      </c>
      <c r="C1807" s="2" t="s">
        <v>6454</v>
      </c>
      <c r="D1807" s="2" t="s">
        <v>4404</v>
      </c>
      <c r="E1807" s="2" t="s">
        <v>6461</v>
      </c>
      <c r="F1807" s="2" t="s">
        <v>6462</v>
      </c>
      <c r="G1807" s="2" t="s">
        <v>6457</v>
      </c>
      <c r="H1807" s="7"/>
      <c r="I1807" s="2" t="s">
        <v>9</v>
      </c>
    </row>
    <row r="1808" spans="1:9" ht="39" x14ac:dyDescent="0.3">
      <c r="A1808" s="1" t="str">
        <f>HYPERLINK("https://ipmanager.doe.gov/IPManager//ExternalLink.aspx?6ibkph2k9yi6F%2B0Vz7YoTkqAgjuWMa9QWshofE0IDNE%3D","Link")</f>
        <v>Link</v>
      </c>
      <c r="B1808" s="2" t="s">
        <v>5865</v>
      </c>
      <c r="C1808" s="2" t="s">
        <v>5842</v>
      </c>
      <c r="D1808" s="2" t="s">
        <v>5866</v>
      </c>
      <c r="E1808" s="2" t="s">
        <v>5867</v>
      </c>
      <c r="F1808" s="2"/>
      <c r="G1808" s="2" t="s">
        <v>9</v>
      </c>
      <c r="H1808" s="7"/>
      <c r="I1808" s="2" t="s">
        <v>9</v>
      </c>
    </row>
    <row r="1809" spans="1:9" ht="39" x14ac:dyDescent="0.3">
      <c r="A1809" s="1" t="str">
        <f>HYPERLINK("https://ipmanager.doe.gov/IPManager//ExternalLink.aspx?6ibkph2k9yi6F%2B0Vz7YoTvPUg%2FVZPl3iN7OVi%2FA3j3c%3D","Link")</f>
        <v>Link</v>
      </c>
      <c r="B1809" s="2" t="s">
        <v>5868</v>
      </c>
      <c r="C1809" s="2" t="s">
        <v>5842</v>
      </c>
      <c r="D1809" s="2" t="s">
        <v>5843</v>
      </c>
      <c r="E1809" s="2" t="s">
        <v>5869</v>
      </c>
      <c r="F1809" s="2"/>
      <c r="G1809" s="2" t="s">
        <v>9</v>
      </c>
      <c r="H1809" s="7"/>
      <c r="I1809" s="2" t="s">
        <v>9</v>
      </c>
    </row>
    <row r="1810" spans="1:9" ht="65" x14ac:dyDescent="0.3">
      <c r="A1810" s="1" t="str">
        <f>HYPERLINK("https://ipmanager.doe.gov/IPManager//ExternalLink.aspx?6ibkph2k9yi6F%2B0Vz7YoTq6RR9BlGHHiapB9wA%2BcRCg%3D","Link")</f>
        <v>Link</v>
      </c>
      <c r="B1810" s="2" t="s">
        <v>5870</v>
      </c>
      <c r="C1810" s="2" t="s">
        <v>5842</v>
      </c>
      <c r="D1810" s="2" t="s">
        <v>5843</v>
      </c>
      <c r="E1810" s="2" t="s">
        <v>5871</v>
      </c>
      <c r="F1810" s="2"/>
      <c r="G1810" s="2" t="s">
        <v>9</v>
      </c>
      <c r="H1810" s="7"/>
      <c r="I1810" s="2" t="s">
        <v>9</v>
      </c>
    </row>
    <row r="1811" spans="1:9" ht="52" x14ac:dyDescent="0.3">
      <c r="A1811" s="1" t="str">
        <f>HYPERLINK("https://ipmanager.doe.gov/IPManager//ExternalLink.aspx?6ibkph2k9yi6F%2B0Vz7YoTu0g4zH%2BOsvykBB%2FsBZcPRU%3D","Link")</f>
        <v>Link</v>
      </c>
      <c r="B1811" s="2" t="s">
        <v>5872</v>
      </c>
      <c r="C1811" s="2" t="s">
        <v>5842</v>
      </c>
      <c r="D1811" s="2" t="s">
        <v>5843</v>
      </c>
      <c r="E1811" s="2" t="s">
        <v>5859</v>
      </c>
      <c r="F1811" s="2"/>
      <c r="G1811" s="2" t="s">
        <v>9</v>
      </c>
      <c r="H1811" s="7"/>
      <c r="I1811" s="2" t="s">
        <v>9</v>
      </c>
    </row>
    <row r="1812" spans="1:9" ht="39" x14ac:dyDescent="0.3">
      <c r="A1812" s="1" t="str">
        <f>HYPERLINK("https://ipmanager.doe.gov/IPManager//ExternalLink.aspx?6ibkph2k9yi6F%2B0Vz7YoTu0g4zH%2BOsvya5%2B5Kw5h18s%3D","Link")</f>
        <v>Link</v>
      </c>
      <c r="B1812" s="2" t="s">
        <v>5873</v>
      </c>
      <c r="C1812" s="2" t="s">
        <v>5842</v>
      </c>
      <c r="D1812" s="2" t="s">
        <v>5843</v>
      </c>
      <c r="E1812" s="2" t="s">
        <v>5874</v>
      </c>
      <c r="F1812" s="2"/>
      <c r="G1812" s="2" t="s">
        <v>9</v>
      </c>
      <c r="H1812" s="7"/>
      <c r="I1812" s="2" t="s">
        <v>9</v>
      </c>
    </row>
    <row r="1813" spans="1:9" ht="39" x14ac:dyDescent="0.3">
      <c r="A1813" s="1" t="str">
        <f>HYPERLINK("https://ipmanager.doe.gov/IPManager//ExternalLink.aspx?6ibkph2k9yi6F%2B0Vz7YoTq6RR9BlGHHi3115UGY%2FqZc%3D","Link")</f>
        <v>Link</v>
      </c>
      <c r="B1813" s="2" t="s">
        <v>5875</v>
      </c>
      <c r="C1813" s="2" t="s">
        <v>5842</v>
      </c>
      <c r="D1813" s="2" t="s">
        <v>5843</v>
      </c>
      <c r="E1813" s="2" t="s">
        <v>5876</v>
      </c>
      <c r="F1813" s="2"/>
      <c r="G1813" s="2" t="s">
        <v>9</v>
      </c>
      <c r="H1813" s="7"/>
      <c r="I1813" s="2" t="s">
        <v>9</v>
      </c>
    </row>
    <row r="1814" spans="1:9" ht="52" x14ac:dyDescent="0.3">
      <c r="A1814" s="1" t="str">
        <f>HYPERLINK("https://ipmanager.doe.gov/IPManager//ExternalLink.aspx?6ibkph2k9yi6F%2B0Vz7YoTq6RR9BlGHHivaT6F%2F9WAGI%3D","Link")</f>
        <v>Link</v>
      </c>
      <c r="B1814" s="2" t="s">
        <v>5877</v>
      </c>
      <c r="C1814" s="2" t="s">
        <v>5842</v>
      </c>
      <c r="D1814" s="2" t="s">
        <v>5843</v>
      </c>
      <c r="E1814" s="2" t="s">
        <v>5878</v>
      </c>
      <c r="F1814" s="2"/>
      <c r="G1814" s="2" t="s">
        <v>9</v>
      </c>
      <c r="H1814" s="7"/>
      <c r="I1814" s="2" t="s">
        <v>9</v>
      </c>
    </row>
    <row r="1815" spans="1:9" ht="39" x14ac:dyDescent="0.3">
      <c r="A1815" s="1" t="str">
        <f>HYPERLINK("https://ipmanager.doe.gov/IPManager//ExternalLink.aspx?6ibkph2k9yi6F%2B0Vz7YoTq6RR9BlGHHi0kRJf1%2F7%2B50%3D","Link")</f>
        <v>Link</v>
      </c>
      <c r="B1815" s="2" t="s">
        <v>5879</v>
      </c>
      <c r="C1815" s="2" t="s">
        <v>5842</v>
      </c>
      <c r="D1815" s="2" t="s">
        <v>5843</v>
      </c>
      <c r="E1815" s="2" t="s">
        <v>5867</v>
      </c>
      <c r="F1815" s="2"/>
      <c r="G1815" s="2" t="s">
        <v>9</v>
      </c>
      <c r="H1815" s="7"/>
      <c r="I1815" s="2" t="s">
        <v>9</v>
      </c>
    </row>
    <row r="1816" spans="1:9" ht="52" x14ac:dyDescent="0.3">
      <c r="A1816" s="1" t="str">
        <f>HYPERLINK("https://ipmanager.doe.gov/IPManager//ExternalLink.aspx?6ibkph2k9yi6F%2B0Vz7YoTq6RR9BlGHHiGCLRk6XQFN8%3D","Link")</f>
        <v>Link</v>
      </c>
      <c r="B1816" s="2" t="s">
        <v>5880</v>
      </c>
      <c r="C1816" s="2" t="s">
        <v>5842</v>
      </c>
      <c r="D1816" s="2" t="s">
        <v>5843</v>
      </c>
      <c r="E1816" s="2" t="s">
        <v>5881</v>
      </c>
      <c r="F1816" s="2"/>
      <c r="G1816" s="2" t="s">
        <v>9</v>
      </c>
      <c r="H1816" s="7"/>
      <c r="I1816" s="2" t="s">
        <v>9</v>
      </c>
    </row>
    <row r="1817" spans="1:9" ht="52" x14ac:dyDescent="0.3">
      <c r="A1817" s="1" t="str">
        <f>HYPERLINK("https://ipmanager.doe.gov/IPManager//ExternalLink.aspx?6ibkph2k9yi6F%2B0Vz7YoTq6RR9BlGHHiSehuYV4MsYU%3D","Link")</f>
        <v>Link</v>
      </c>
      <c r="B1817" s="2" t="s">
        <v>5882</v>
      </c>
      <c r="C1817" s="2" t="s">
        <v>5842</v>
      </c>
      <c r="D1817" s="2" t="s">
        <v>5843</v>
      </c>
      <c r="E1817" s="2" t="s">
        <v>5883</v>
      </c>
      <c r="F1817" s="2"/>
      <c r="G1817" s="2" t="s">
        <v>9</v>
      </c>
      <c r="H1817" s="7"/>
      <c r="I1817" s="2" t="s">
        <v>9</v>
      </c>
    </row>
    <row r="1818" spans="1:9" ht="65" x14ac:dyDescent="0.3">
      <c r="A1818" s="1" t="str">
        <f>HYPERLINK("https://ipmanager.doe.gov/IPManager//ExternalLink.aspx?6ibkph2k9yi6F%2B0Vz7YoThEBhkR3uHVr5KZ3lsjm%2F8w%3D","Link")</f>
        <v>Link</v>
      </c>
      <c r="B1818" s="2" t="s">
        <v>5884</v>
      </c>
      <c r="C1818" s="2" t="s">
        <v>5842</v>
      </c>
      <c r="D1818" s="2" t="s">
        <v>5843</v>
      </c>
      <c r="E1818" s="2" t="s">
        <v>5885</v>
      </c>
      <c r="F1818" s="2"/>
      <c r="G1818" s="2" t="s">
        <v>9</v>
      </c>
      <c r="H1818" s="7"/>
      <c r="I1818" s="2" t="s">
        <v>9</v>
      </c>
    </row>
    <row r="1819" spans="1:9" ht="39" x14ac:dyDescent="0.3">
      <c r="A1819" s="1" t="str">
        <f>HYPERLINK("https://ipmanager.doe.gov/IPManager//ExternalLink.aspx?6ibkph2k9yi6F%2B0Vz7YoTo7DPLa3%2F%2FGg9N3q35vEy8A%3D","Link")</f>
        <v>Link</v>
      </c>
      <c r="B1819" s="2" t="s">
        <v>5886</v>
      </c>
      <c r="C1819" s="2" t="s">
        <v>5842</v>
      </c>
      <c r="D1819" s="2" t="s">
        <v>5843</v>
      </c>
      <c r="E1819" s="2" t="s">
        <v>5887</v>
      </c>
      <c r="F1819" s="2"/>
      <c r="G1819" s="2" t="s">
        <v>9</v>
      </c>
      <c r="H1819" s="7"/>
      <c r="I1819" s="2" t="s">
        <v>9</v>
      </c>
    </row>
    <row r="1820" spans="1:9" ht="78" x14ac:dyDescent="0.3">
      <c r="A1820" s="1" t="str">
        <f>HYPERLINK("https://ipmanager.doe.gov/IPManager//ExternalLink.aspx?6ibkph2k9yi6F%2B0Vz7YoTo7DPLa3%2F%2FGgabMh%2F%2FkStLg%3D","Link")</f>
        <v>Link</v>
      </c>
      <c r="B1820" s="2" t="s">
        <v>5888</v>
      </c>
      <c r="C1820" s="2" t="s">
        <v>5842</v>
      </c>
      <c r="D1820" s="2" t="s">
        <v>5843</v>
      </c>
      <c r="E1820" s="2" t="s">
        <v>5889</v>
      </c>
      <c r="F1820" s="2"/>
      <c r="G1820" s="2" t="s">
        <v>9</v>
      </c>
      <c r="H1820" s="7"/>
      <c r="I1820" s="2" t="s">
        <v>9</v>
      </c>
    </row>
    <row r="1821" spans="1:9" ht="52" x14ac:dyDescent="0.3">
      <c r="A1821" s="1" t="str">
        <f>HYPERLINK("https://ipmanager.doe.gov/IPManager//ExternalLink.aspx?6ibkph2k9yi6F%2B0Vz7YoTo7DPLa3%2F%2FGgm%2FdYVCjBasI%3D","Link")</f>
        <v>Link</v>
      </c>
      <c r="B1821" s="2" t="s">
        <v>5890</v>
      </c>
      <c r="C1821" s="2" t="s">
        <v>5842</v>
      </c>
      <c r="D1821" s="2" t="s">
        <v>5843</v>
      </c>
      <c r="E1821" s="2" t="s">
        <v>5891</v>
      </c>
      <c r="F1821" s="2"/>
      <c r="G1821" s="2" t="s">
        <v>9</v>
      </c>
      <c r="H1821" s="7"/>
      <c r="I1821" s="2" t="s">
        <v>9</v>
      </c>
    </row>
    <row r="1822" spans="1:9" ht="39" x14ac:dyDescent="0.3">
      <c r="A1822" s="1" t="str">
        <f>HYPERLINK("https://ipmanager.doe.gov/IPManager//ExternalLink.aspx?6ibkph2k9yi6F%2B0Vz7YoTvPUg%2FVZPl3iTQdNPafOl0s%3D","Link")</f>
        <v>Link</v>
      </c>
      <c r="B1822" s="2" t="s">
        <v>5892</v>
      </c>
      <c r="C1822" s="2" t="s">
        <v>5842</v>
      </c>
      <c r="D1822" s="2" t="s">
        <v>5866</v>
      </c>
      <c r="E1822" s="2" t="s">
        <v>5893</v>
      </c>
      <c r="F1822" s="2"/>
      <c r="G1822" s="2" t="s">
        <v>9</v>
      </c>
      <c r="H1822" s="7"/>
      <c r="I1822" s="2" t="s">
        <v>9</v>
      </c>
    </row>
    <row r="1823" spans="1:9" ht="39" x14ac:dyDescent="0.3">
      <c r="A1823" s="1" t="str">
        <f>HYPERLINK("https://ipmanager.doe.gov/IPManager//ExternalLink.aspx?6ibkph2k9yi6F%2B0Vz7YoTo7DPLa3%2F%2FGgXin1xbKgmTk%3D","Link")</f>
        <v>Link</v>
      </c>
      <c r="B1823" s="2" t="s">
        <v>5894</v>
      </c>
      <c r="C1823" s="2" t="s">
        <v>5842</v>
      </c>
      <c r="D1823" s="2" t="s">
        <v>5843</v>
      </c>
      <c r="E1823" s="2" t="s">
        <v>5861</v>
      </c>
      <c r="F1823" s="2"/>
      <c r="G1823" s="2" t="s">
        <v>9</v>
      </c>
      <c r="H1823" s="7"/>
      <c r="I1823" s="2" t="s">
        <v>9</v>
      </c>
    </row>
    <row r="1824" spans="1:9" ht="39" x14ac:dyDescent="0.3">
      <c r="A1824" s="1" t="str">
        <f>HYPERLINK("https://ipmanager.doe.gov/IPManager//ExternalLink.aspx?6ibkph2k9yi6F%2B0Vz7YoTvE8yjoHgvp6zvZvGZfoVRM%3D","Link")</f>
        <v>Link</v>
      </c>
      <c r="B1824" s="2" t="s">
        <v>6464</v>
      </c>
      <c r="C1824" s="2" t="s">
        <v>6454</v>
      </c>
      <c r="D1824" s="2" t="s">
        <v>4404</v>
      </c>
      <c r="E1824" s="2" t="s">
        <v>6461</v>
      </c>
      <c r="F1824" s="2" t="s">
        <v>6463</v>
      </c>
      <c r="G1824" s="2" t="s">
        <v>6459</v>
      </c>
      <c r="H1824" s="7"/>
      <c r="I1824" s="2" t="s">
        <v>9</v>
      </c>
    </row>
    <row r="1825" spans="1:9" ht="26" x14ac:dyDescent="0.3">
      <c r="A1825" s="1" t="str">
        <f>HYPERLINK("https://ipmanager.doe.gov/IPManager//ExternalLink.aspx?6ibkph2k9yi6F%2B0Vz7YoTq6RR9BlGHHiGFJbNtPugSk%3D","Link")</f>
        <v>Link</v>
      </c>
      <c r="B1825" s="2" t="s">
        <v>5900</v>
      </c>
      <c r="C1825" s="2" t="s">
        <v>5896</v>
      </c>
      <c r="D1825" s="2" t="s">
        <v>5897</v>
      </c>
      <c r="E1825" s="2" t="s">
        <v>5898</v>
      </c>
      <c r="F1825" s="2"/>
      <c r="G1825" s="2" t="s">
        <v>9</v>
      </c>
      <c r="H1825" s="7"/>
      <c r="I1825" s="2" t="s">
        <v>9</v>
      </c>
    </row>
    <row r="1826" spans="1:9" ht="39" x14ac:dyDescent="0.3">
      <c r="A1826" s="1" t="str">
        <f>HYPERLINK("https://ipmanager.doe.gov/IPManager//ExternalLink.aspx?6ibkph2k9yi6F%2B0Vz7YoTvE8yjoHgvp6h3Vxy2%2BRfxM%3D","Link")</f>
        <v>Link</v>
      </c>
      <c r="B1826" s="2" t="s">
        <v>6465</v>
      </c>
      <c r="C1826" s="2" t="s">
        <v>6454</v>
      </c>
      <c r="D1826" s="2" t="s">
        <v>4404</v>
      </c>
      <c r="E1826" s="2" t="s">
        <v>6455</v>
      </c>
      <c r="F1826" s="2" t="s">
        <v>6458</v>
      </c>
      <c r="G1826" s="2" t="s">
        <v>6459</v>
      </c>
      <c r="H1826" s="7"/>
      <c r="I1826" s="2" t="s">
        <v>9</v>
      </c>
    </row>
    <row r="1827" spans="1:9" ht="26" x14ac:dyDescent="0.3">
      <c r="A1827" s="1" t="str">
        <f>HYPERLINK("https://ipmanager.doe.gov/IPManager//ExternalLink.aspx?6ibkph2k9yi6F%2B0Vz7YoTq6RR9BlGHHiO9mYVgn8XCA%3D","Link")</f>
        <v>Link</v>
      </c>
      <c r="B1827" s="2" t="s">
        <v>5066</v>
      </c>
      <c r="C1827" s="2" t="s">
        <v>5063</v>
      </c>
      <c r="D1827" s="2" t="s">
        <v>5064</v>
      </c>
      <c r="E1827" s="2" t="s">
        <v>5067</v>
      </c>
      <c r="F1827" s="2" t="s">
        <v>5068</v>
      </c>
      <c r="G1827" s="2" t="s">
        <v>5069</v>
      </c>
      <c r="H1827" s="7"/>
      <c r="I1827" s="2" t="s">
        <v>9</v>
      </c>
    </row>
    <row r="1828" spans="1:9" ht="26" x14ac:dyDescent="0.3">
      <c r="A1828" s="1" t="str">
        <f>HYPERLINK("https://ipmanager.doe.gov/IPManager//ExternalLink.aspx?6ibkph2k9yi6F%2B0Vz7YoTjnDGhmGHGI78MSHVB3fnqI%3D","Link")</f>
        <v>Link</v>
      </c>
      <c r="B1828" s="2" t="s">
        <v>5072</v>
      </c>
      <c r="C1828" s="2" t="s">
        <v>5063</v>
      </c>
      <c r="D1828" s="2" t="s">
        <v>5064</v>
      </c>
      <c r="E1828" s="2" t="s">
        <v>5067</v>
      </c>
      <c r="F1828" s="2" t="s">
        <v>5070</v>
      </c>
      <c r="G1828" s="2" t="s">
        <v>5071</v>
      </c>
      <c r="H1828" s="7"/>
      <c r="I1828" s="2" t="s">
        <v>9</v>
      </c>
    </row>
    <row r="1829" spans="1:9" ht="65" x14ac:dyDescent="0.3">
      <c r="A1829" s="1" t="str">
        <f>HYPERLINK("https://ipmanager.doe.gov/IPManager//ExternalLink.aspx?6ibkph2k9yi6F%2B0Vz7YoTnXVN2REjGcWouoBIcda054%3D","Link")</f>
        <v>Link</v>
      </c>
      <c r="B1829" s="2" t="s">
        <v>5911</v>
      </c>
      <c r="C1829" s="2" t="s">
        <v>5907</v>
      </c>
      <c r="D1829" s="2" t="s">
        <v>3527</v>
      </c>
      <c r="E1829" s="2" t="s">
        <v>5912</v>
      </c>
      <c r="F1829" s="2" t="s">
        <v>5913</v>
      </c>
      <c r="G1829" s="2" t="s">
        <v>1724</v>
      </c>
      <c r="H1829" s="8">
        <v>10031040</v>
      </c>
      <c r="I1829" s="2" t="s">
        <v>3113</v>
      </c>
    </row>
    <row r="1830" spans="1:9" ht="52" x14ac:dyDescent="0.3">
      <c r="A1830" s="1" t="str">
        <f>HYPERLINK("https://ipmanager.doe.gov/IPManager//ExternalLink.aspx?6ibkph2k9yi6F%2B0Vz7YoTjnDGhmGHGI7TpcZ6axY2qg%3D","Link")</f>
        <v>Link</v>
      </c>
      <c r="B1830" s="2" t="s">
        <v>5288</v>
      </c>
      <c r="C1830" s="2" t="s">
        <v>5286</v>
      </c>
      <c r="D1830" s="2" t="s">
        <v>5064</v>
      </c>
      <c r="E1830" s="2" t="s">
        <v>5289</v>
      </c>
      <c r="F1830" s="2" t="s">
        <v>5290</v>
      </c>
      <c r="G1830" s="2" t="s">
        <v>3409</v>
      </c>
      <c r="H1830" s="7"/>
      <c r="I1830" s="2" t="s">
        <v>9</v>
      </c>
    </row>
    <row r="1831" spans="1:9" ht="26" x14ac:dyDescent="0.3">
      <c r="A1831" s="1" t="str">
        <f>HYPERLINK("https://ipmanager.doe.gov/IPManager//ExternalLink.aspx?6ibkph2k9yi6F%2B0Vz7YoTo7DPLa3%2F%2FGgH56MdAEH4Rw%3D","Link")</f>
        <v>Link</v>
      </c>
      <c r="B1831" s="2" t="s">
        <v>1330</v>
      </c>
      <c r="C1831" s="2" t="s">
        <v>1317</v>
      </c>
      <c r="D1831" s="2" t="s">
        <v>1331</v>
      </c>
      <c r="E1831" s="2" t="s">
        <v>1332</v>
      </c>
      <c r="F1831" s="2" t="s">
        <v>1333</v>
      </c>
      <c r="G1831" s="2" t="s">
        <v>1334</v>
      </c>
      <c r="H1831" s="7"/>
      <c r="I1831" s="2" t="s">
        <v>9</v>
      </c>
    </row>
    <row r="1832" spans="1:9" ht="52" x14ac:dyDescent="0.3">
      <c r="A1832" s="1" t="str">
        <f>HYPERLINK("https://ipmanager.doe.gov/IPManager//ExternalLink.aspx?6ibkph2k9yi6F%2B0Vz7YoTo7DPLa3%2F%2FGgqudUaV0wi3g%3D","Link")</f>
        <v>Link</v>
      </c>
      <c r="B1832" s="2" t="s">
        <v>5921</v>
      </c>
      <c r="C1832" s="2" t="s">
        <v>5907</v>
      </c>
      <c r="D1832" s="2" t="s">
        <v>3527</v>
      </c>
      <c r="E1832" s="2" t="s">
        <v>5922</v>
      </c>
      <c r="F1832" s="2"/>
      <c r="G1832" s="2" t="s">
        <v>9</v>
      </c>
      <c r="H1832" s="7"/>
      <c r="I1832" s="2" t="s">
        <v>9</v>
      </c>
    </row>
    <row r="1833" spans="1:9" ht="52" x14ac:dyDescent="0.3">
      <c r="A1833" s="1" t="str">
        <f>HYPERLINK("https://ipmanager.doe.gov/IPManager//ExternalLink.aspx?6ibkph2k9yi6F%2B0Vz7YoTo7DPLa3%2F%2FGggQeAe7%2FMyZA%3D","Link")</f>
        <v>Link</v>
      </c>
      <c r="B1833" s="2" t="s">
        <v>5923</v>
      </c>
      <c r="C1833" s="2" t="s">
        <v>5924</v>
      </c>
      <c r="D1833" s="2" t="s">
        <v>1793</v>
      </c>
      <c r="E1833" s="2" t="s">
        <v>5925</v>
      </c>
      <c r="F1833" s="2"/>
      <c r="G1833" s="2" t="s">
        <v>9</v>
      </c>
      <c r="H1833" s="7"/>
      <c r="I1833" s="2" t="s">
        <v>9</v>
      </c>
    </row>
    <row r="1834" spans="1:9" ht="39" x14ac:dyDescent="0.3">
      <c r="A1834" s="1" t="str">
        <f>HYPERLINK("https://ipmanager.doe.gov/IPManager//ExternalLink.aspx?6ibkph2k9yi6F%2B0Vz7YoTo7DPLa3%2F%2FGg%2F4ggYrw736k%3D","Link")</f>
        <v>Link</v>
      </c>
      <c r="B1834" s="2" t="s">
        <v>5926</v>
      </c>
      <c r="C1834" s="2" t="s">
        <v>5924</v>
      </c>
      <c r="D1834" s="2" t="s">
        <v>1793</v>
      </c>
      <c r="E1834" s="2" t="s">
        <v>5927</v>
      </c>
      <c r="F1834" s="2"/>
      <c r="G1834" s="2" t="s">
        <v>9</v>
      </c>
      <c r="H1834" s="7"/>
      <c r="I1834" s="2" t="s">
        <v>9</v>
      </c>
    </row>
    <row r="1835" spans="1:9" ht="26" x14ac:dyDescent="0.3">
      <c r="A1835" s="1" t="str">
        <f>HYPERLINK("https://ipmanager.doe.gov/IPManager//ExternalLink.aspx?6ibkph2k9yi6F%2B0Vz7YoTjnDGhmGHGI7nuAR%2FzjjSJw%3D","Link")</f>
        <v>Link</v>
      </c>
      <c r="B1835" s="2" t="s">
        <v>5928</v>
      </c>
      <c r="C1835" s="2" t="s">
        <v>5924</v>
      </c>
      <c r="D1835" s="2" t="s">
        <v>1793</v>
      </c>
      <c r="E1835" s="2" t="s">
        <v>5929</v>
      </c>
      <c r="F1835" s="2"/>
      <c r="G1835" s="2" t="s">
        <v>9</v>
      </c>
      <c r="H1835" s="7"/>
      <c r="I1835" s="2" t="s">
        <v>9</v>
      </c>
    </row>
    <row r="1836" spans="1:9" ht="26" x14ac:dyDescent="0.3">
      <c r="A1836" s="1" t="str">
        <f>HYPERLINK("https://ipmanager.doe.gov/IPManager//ExternalLink.aspx?6ibkph2k9yi6F%2B0Vz7YoTipZ798QK%2BbP5aWKw5gexPg%3D","Link")</f>
        <v>Link</v>
      </c>
      <c r="B1836" s="2" t="s">
        <v>1326</v>
      </c>
      <c r="C1836" s="2" t="s">
        <v>1317</v>
      </c>
      <c r="D1836" s="2" t="s">
        <v>1318</v>
      </c>
      <c r="E1836" s="2" t="s">
        <v>1327</v>
      </c>
      <c r="F1836" s="2" t="s">
        <v>1328</v>
      </c>
      <c r="G1836" s="2" t="s">
        <v>693</v>
      </c>
      <c r="H1836" s="7"/>
      <c r="I1836" s="2" t="s">
        <v>9</v>
      </c>
    </row>
    <row r="1837" spans="1:9" ht="26" x14ac:dyDescent="0.3">
      <c r="A1837" s="1" t="str">
        <f>HYPERLINK("https://ipmanager.doe.gov/IPManager//ExternalLink.aspx?6ibkph2k9yi6F%2B0Vz7YoTvPUg%2FVZPl3iRUszJi7vahQ%3D","Link")</f>
        <v>Link</v>
      </c>
      <c r="B1837" s="2" t="s">
        <v>5934</v>
      </c>
      <c r="C1837" s="2" t="s">
        <v>5924</v>
      </c>
      <c r="D1837" s="2" t="s">
        <v>1793</v>
      </c>
      <c r="E1837" s="2" t="s">
        <v>5935</v>
      </c>
      <c r="F1837" s="2"/>
      <c r="G1837" s="2" t="s">
        <v>9</v>
      </c>
      <c r="H1837" s="7"/>
      <c r="I1837" s="2" t="s">
        <v>9</v>
      </c>
    </row>
    <row r="1838" spans="1:9" ht="26" x14ac:dyDescent="0.3">
      <c r="A1838" s="1" t="str">
        <f>HYPERLINK("https://ipmanager.doe.gov/IPManager//ExternalLink.aspx?6ibkph2k9yi6F%2B0Vz7YoTo7DPLa3%2F%2FGgcz6eQcVHlhI%3D","Link")</f>
        <v>Link</v>
      </c>
      <c r="B1838" s="2" t="s">
        <v>5936</v>
      </c>
      <c r="C1838" s="2" t="s">
        <v>5924</v>
      </c>
      <c r="D1838" s="2" t="s">
        <v>1793</v>
      </c>
      <c r="E1838" s="2" t="s">
        <v>5937</v>
      </c>
      <c r="F1838" s="2"/>
      <c r="G1838" s="2" t="s">
        <v>9</v>
      </c>
      <c r="H1838" s="7"/>
      <c r="I1838" s="2" t="s">
        <v>9</v>
      </c>
    </row>
    <row r="1839" spans="1:9" ht="39" x14ac:dyDescent="0.3">
      <c r="A1839" s="1" t="str">
        <f>HYPERLINK("https://ipmanager.doe.gov/IPManager//ExternalLink.aspx?6ibkph2k9yi6F%2B0Vz7YoTvPUg%2FVZPl3ilkKrWE2izHY%3D","Link")</f>
        <v>Link</v>
      </c>
      <c r="B1839" s="2" t="s">
        <v>5938</v>
      </c>
      <c r="C1839" s="2" t="s">
        <v>5924</v>
      </c>
      <c r="D1839" s="2" t="s">
        <v>1793</v>
      </c>
      <c r="E1839" s="2" t="s">
        <v>5939</v>
      </c>
      <c r="F1839" s="2" t="s">
        <v>5940</v>
      </c>
      <c r="G1839" s="2" t="s">
        <v>4660</v>
      </c>
      <c r="H1839" s="8">
        <v>9823184</v>
      </c>
      <c r="I1839" s="2" t="s">
        <v>5789</v>
      </c>
    </row>
    <row r="1840" spans="1:9" ht="52" x14ac:dyDescent="0.3">
      <c r="A1840" s="1" t="str">
        <f>HYPERLINK("https://ipmanager.doe.gov/IPManager//ExternalLink.aspx?6ibkph2k9yi6F%2B0Vz7YoTvPUg%2FVZPl3iMNPNhu2AWEg%3D","Link")</f>
        <v>Link</v>
      </c>
      <c r="B1840" s="2" t="s">
        <v>5941</v>
      </c>
      <c r="C1840" s="2" t="s">
        <v>5924</v>
      </c>
      <c r="D1840" s="2" t="s">
        <v>1793</v>
      </c>
      <c r="E1840" s="2" t="s">
        <v>5942</v>
      </c>
      <c r="F1840" s="2"/>
      <c r="G1840" s="2" t="s">
        <v>9</v>
      </c>
      <c r="H1840" s="7"/>
      <c r="I1840" s="2" t="s">
        <v>9</v>
      </c>
    </row>
    <row r="1841" spans="1:9" ht="65" x14ac:dyDescent="0.3">
      <c r="A1841" s="1" t="str">
        <f>HYPERLINK("https://ipmanager.doe.gov/IPManager//ExternalLink.aspx?6ibkph2k9yi6F%2B0Vz7YoTipZ798QK%2BbPFcqNuATyZsA%3D","Link")</f>
        <v>Link</v>
      </c>
      <c r="B1841" s="2" t="s">
        <v>1472</v>
      </c>
      <c r="C1841" s="2" t="s">
        <v>1473</v>
      </c>
      <c r="D1841" s="2" t="s">
        <v>1474</v>
      </c>
      <c r="E1841" s="2" t="s">
        <v>1475</v>
      </c>
      <c r="F1841" s="2" t="s">
        <v>1476</v>
      </c>
      <c r="G1841" s="2" t="s">
        <v>1477</v>
      </c>
      <c r="H1841" s="7"/>
      <c r="I1841" s="2" t="s">
        <v>9</v>
      </c>
    </row>
    <row r="1842" spans="1:9" ht="78" x14ac:dyDescent="0.3">
      <c r="A1842" s="1" t="str">
        <f>HYPERLINK("https://ipmanager.doe.gov/IPManager//ExternalLink.aspx?6ibkph2k9yi6F%2B0Vz7YoTgZwfmYxrNyKzWwhu6uFidw%3D","Link")</f>
        <v>Link</v>
      </c>
      <c r="B1842" s="2" t="s">
        <v>5946</v>
      </c>
      <c r="C1842" s="2" t="s">
        <v>5924</v>
      </c>
      <c r="D1842" s="2" t="s">
        <v>1793</v>
      </c>
      <c r="E1842" s="2" t="s">
        <v>5947</v>
      </c>
      <c r="F1842" s="2" t="s">
        <v>5948</v>
      </c>
      <c r="G1842" s="2" t="s">
        <v>249</v>
      </c>
      <c r="H1842" s="8">
        <v>9910014</v>
      </c>
      <c r="I1842" s="2" t="s">
        <v>1825</v>
      </c>
    </row>
    <row r="1843" spans="1:9" ht="39" x14ac:dyDescent="0.3">
      <c r="A1843" s="1" t="str">
        <f>HYPERLINK("https://ipmanager.doe.gov/IPManager//ExternalLink.aspx?6ibkph2k9yi6F%2B0Vz7YoTipZ798QK%2BbP%2F4OcWRvHsiI%3D","Link")</f>
        <v>Link</v>
      </c>
      <c r="B1843" s="2" t="s">
        <v>1479</v>
      </c>
      <c r="C1843" s="2" t="s">
        <v>1473</v>
      </c>
      <c r="D1843" s="2" t="s">
        <v>1474</v>
      </c>
      <c r="E1843" s="2" t="s">
        <v>1480</v>
      </c>
      <c r="F1843" s="2" t="s">
        <v>1481</v>
      </c>
      <c r="G1843" s="2" t="s">
        <v>1482</v>
      </c>
      <c r="H1843" s="7"/>
      <c r="I1843" s="2" t="s">
        <v>9</v>
      </c>
    </row>
    <row r="1844" spans="1:9" ht="39" x14ac:dyDescent="0.3">
      <c r="A1844" s="1" t="str">
        <f>HYPERLINK("https://ipmanager.doe.gov/IPManager//ExternalLink.aspx?6ibkph2k9yi6F%2B0Vz7YoTipZ798QK%2BbP%2FfiiBRGwaM0%3D","Link")</f>
        <v>Link</v>
      </c>
      <c r="B1844" s="2" t="s">
        <v>1484</v>
      </c>
      <c r="C1844" s="2" t="s">
        <v>1473</v>
      </c>
      <c r="D1844" s="2" t="s">
        <v>1474</v>
      </c>
      <c r="E1844" s="2" t="s">
        <v>1480</v>
      </c>
      <c r="F1844" s="2" t="s">
        <v>1485</v>
      </c>
      <c r="G1844" s="2" t="s">
        <v>1483</v>
      </c>
      <c r="H1844" s="7"/>
      <c r="I1844" s="2" t="s">
        <v>9</v>
      </c>
    </row>
    <row r="1845" spans="1:9" ht="65" x14ac:dyDescent="0.3">
      <c r="A1845" s="1" t="str">
        <f>HYPERLINK("https://ipmanager.doe.gov/IPManager//ExternalLink.aspx?6ibkph2k9yi6F%2B0Vz7YoTq6RR9BlGHHiDv3PPp6a6GY%3D","Link")</f>
        <v>Link</v>
      </c>
      <c r="B1845" s="2" t="s">
        <v>5956</v>
      </c>
      <c r="C1845" s="2" t="s">
        <v>5950</v>
      </c>
      <c r="D1845" s="2" t="s">
        <v>5951</v>
      </c>
      <c r="E1845" s="2" t="s">
        <v>5957</v>
      </c>
      <c r="F1845" s="2"/>
      <c r="G1845" s="2" t="s">
        <v>9</v>
      </c>
      <c r="H1845" s="7"/>
      <c r="I1845" s="2" t="s">
        <v>9</v>
      </c>
    </row>
    <row r="1846" spans="1:9" ht="39" x14ac:dyDescent="0.3">
      <c r="A1846" s="1" t="str">
        <f>HYPERLINK("https://ipmanager.doe.gov/IPManager//ExternalLink.aspx?6ibkph2k9yi6F%2B0Vz7YoTq6RR9BlGHHi71%2BttrH8vFc%3D","Link")</f>
        <v>Link</v>
      </c>
      <c r="B1846" s="2" t="s">
        <v>5959</v>
      </c>
      <c r="C1846" s="2" t="s">
        <v>5950</v>
      </c>
      <c r="D1846" s="2" t="s">
        <v>5951</v>
      </c>
      <c r="E1846" s="2" t="s">
        <v>5960</v>
      </c>
      <c r="F1846" s="2"/>
      <c r="G1846" s="2" t="s">
        <v>9</v>
      </c>
      <c r="H1846" s="7"/>
      <c r="I1846" s="2" t="s">
        <v>9</v>
      </c>
    </row>
    <row r="1847" spans="1:9" ht="26" x14ac:dyDescent="0.3">
      <c r="A1847" s="1" t="str">
        <f>HYPERLINK("https://ipmanager.doe.gov/IPManager//ExternalLink.aspx?6ibkph2k9yi6F%2B0Vz7YoTvE8yjoHgvp64Q8%2FwM%2F%2FPLg%3D","Link")</f>
        <v>Link</v>
      </c>
      <c r="B1847" s="2" t="s">
        <v>5961</v>
      </c>
      <c r="C1847" s="2" t="s">
        <v>5962</v>
      </c>
      <c r="D1847" s="2" t="s">
        <v>5963</v>
      </c>
      <c r="E1847" s="2" t="s">
        <v>5964</v>
      </c>
      <c r="F1847" s="2"/>
      <c r="G1847" s="2" t="s">
        <v>9</v>
      </c>
      <c r="H1847" s="7"/>
      <c r="I1847" s="2" t="s">
        <v>9</v>
      </c>
    </row>
    <row r="1848" spans="1:9" ht="65" x14ac:dyDescent="0.3">
      <c r="A1848" s="1" t="str">
        <f>HYPERLINK("https://ipmanager.doe.gov/IPManager//ExternalLink.aspx?6ibkph2k9yi6F%2B0Vz7YoTvE8yjoHgvp6gJlGia87SAc%3D","Link")</f>
        <v>Link</v>
      </c>
      <c r="B1848" s="2" t="s">
        <v>5965</v>
      </c>
      <c r="C1848" s="2" t="s">
        <v>5962</v>
      </c>
      <c r="D1848" s="2" t="s">
        <v>5963</v>
      </c>
      <c r="E1848" s="2" t="s">
        <v>5966</v>
      </c>
      <c r="F1848" s="2"/>
      <c r="G1848" s="2" t="s">
        <v>9</v>
      </c>
      <c r="H1848" s="7"/>
      <c r="I1848" s="2" t="s">
        <v>9</v>
      </c>
    </row>
    <row r="1849" spans="1:9" ht="39" x14ac:dyDescent="0.3">
      <c r="A1849" s="1" t="str">
        <f>HYPERLINK("https://ipmanager.doe.gov/IPManager//ExternalLink.aspx?6ibkph2k9yi6F%2B0Vz7YoTnXVN2REjGcWdFdDooKFfws%3D","Link")</f>
        <v>Link</v>
      </c>
      <c r="B1849" s="2" t="s">
        <v>5967</v>
      </c>
      <c r="C1849" s="2" t="s">
        <v>5962</v>
      </c>
      <c r="D1849" s="2" t="s">
        <v>293</v>
      </c>
      <c r="E1849" s="2" t="s">
        <v>5968</v>
      </c>
      <c r="F1849" s="2"/>
      <c r="G1849" s="2" t="s">
        <v>9</v>
      </c>
      <c r="H1849" s="7"/>
      <c r="I1849" s="2" t="s">
        <v>9</v>
      </c>
    </row>
    <row r="1850" spans="1:9" ht="39" x14ac:dyDescent="0.3">
      <c r="A1850" s="1" t="str">
        <f>HYPERLINK("https://ipmanager.doe.gov/IPManager//ExternalLink.aspx?6ibkph2k9yi6F%2B0Vz7YoTnXVN2REjGcWk5t7dWNT02E%3D","Link")</f>
        <v>Link</v>
      </c>
      <c r="B1850" s="2" t="s">
        <v>5969</v>
      </c>
      <c r="C1850" s="2" t="s">
        <v>5962</v>
      </c>
      <c r="D1850" s="2" t="s">
        <v>5963</v>
      </c>
      <c r="E1850" s="2" t="s">
        <v>5970</v>
      </c>
      <c r="F1850" s="2"/>
      <c r="G1850" s="2" t="s">
        <v>9</v>
      </c>
      <c r="H1850" s="7"/>
      <c r="I1850" s="2" t="s">
        <v>9</v>
      </c>
    </row>
    <row r="1851" spans="1:9" ht="65" x14ac:dyDescent="0.3">
      <c r="A1851" s="1" t="str">
        <f>HYPERLINK("https://ipmanager.doe.gov/IPManager//ExternalLink.aspx?6ibkph2k9yi6F%2B0Vz7YoTnXVN2REjGcWirQgcTD5VXs%3D","Link")</f>
        <v>Link</v>
      </c>
      <c r="B1851" s="2" t="s">
        <v>5971</v>
      </c>
      <c r="C1851" s="2" t="s">
        <v>5962</v>
      </c>
      <c r="D1851" s="2" t="s">
        <v>5963</v>
      </c>
      <c r="E1851" s="2" t="s">
        <v>5972</v>
      </c>
      <c r="F1851" s="2"/>
      <c r="G1851" s="2" t="s">
        <v>9</v>
      </c>
      <c r="H1851" s="7"/>
      <c r="I1851" s="2" t="s">
        <v>9</v>
      </c>
    </row>
    <row r="1852" spans="1:9" ht="52" x14ac:dyDescent="0.3">
      <c r="A1852" s="1" t="str">
        <f>HYPERLINK("https://ipmanager.doe.gov/IPManager//ExternalLink.aspx?6ibkph2k9yi6F%2B0Vz7YoTo7DPLa3%2F%2FGgbfU6CL7wewg%3D","Link")</f>
        <v>Link</v>
      </c>
      <c r="B1852" s="2" t="s">
        <v>1492</v>
      </c>
      <c r="C1852" s="2" t="s">
        <v>1473</v>
      </c>
      <c r="D1852" s="2" t="s">
        <v>1474</v>
      </c>
      <c r="E1852" s="2" t="s">
        <v>1493</v>
      </c>
      <c r="F1852" s="2" t="s">
        <v>1476</v>
      </c>
      <c r="G1852" s="2" t="s">
        <v>1477</v>
      </c>
      <c r="H1852" s="7"/>
      <c r="I1852" s="2" t="s">
        <v>9</v>
      </c>
    </row>
    <row r="1853" spans="1:9" ht="39" x14ac:dyDescent="0.3">
      <c r="A1853" s="1" t="str">
        <f>HYPERLINK("https://ipmanager.doe.gov/IPManager//ExternalLink.aspx?6ibkph2k9yi6F%2B0Vz7YoTipZ798QK%2BbPTe72Pq4Uy5Q%3D","Link")</f>
        <v>Link</v>
      </c>
      <c r="B1853" s="2" t="s">
        <v>1495</v>
      </c>
      <c r="C1853" s="2" t="s">
        <v>1473</v>
      </c>
      <c r="D1853" s="2" t="s">
        <v>1474</v>
      </c>
      <c r="E1853" s="2" t="s">
        <v>1496</v>
      </c>
      <c r="F1853" s="2" t="s">
        <v>1497</v>
      </c>
      <c r="G1853" s="2" t="s">
        <v>1498</v>
      </c>
      <c r="H1853" s="7"/>
      <c r="I1853" s="2" t="s">
        <v>9</v>
      </c>
    </row>
    <row r="1854" spans="1:9" ht="39" x14ac:dyDescent="0.3">
      <c r="A1854" s="1" t="str">
        <f>HYPERLINK("https://ipmanager.doe.gov/IPManager//ExternalLink.aspx?6ibkph2k9yi6F%2B0Vz7YoTr7J5I%2BY4foYfcCU6d%2FJK7E%3D","Link")</f>
        <v>Link</v>
      </c>
      <c r="B1854" s="2" t="s">
        <v>2887</v>
      </c>
      <c r="C1854" s="2" t="s">
        <v>2886</v>
      </c>
      <c r="D1854" s="2" t="s">
        <v>1474</v>
      </c>
      <c r="E1854" s="2" t="s">
        <v>2888</v>
      </c>
      <c r="F1854" s="2" t="s">
        <v>2889</v>
      </c>
      <c r="G1854" s="2" t="s">
        <v>35</v>
      </c>
      <c r="H1854" s="7"/>
      <c r="I1854" s="2" t="s">
        <v>9</v>
      </c>
    </row>
    <row r="1855" spans="1:9" ht="39" x14ac:dyDescent="0.3">
      <c r="A1855" s="1" t="str">
        <f>HYPERLINK("https://ipmanager.doe.gov/IPManager//ExternalLink.aspx?6ibkph2k9yi6F%2B0Vz7YoTipZ798QK%2BbPqiiu%2FhQbpKg%3D","Link")</f>
        <v>Link</v>
      </c>
      <c r="B1855" s="2" t="s">
        <v>3698</v>
      </c>
      <c r="C1855" s="2" t="s">
        <v>3694</v>
      </c>
      <c r="D1855" s="2" t="s">
        <v>1474</v>
      </c>
      <c r="E1855" s="2" t="s">
        <v>3699</v>
      </c>
      <c r="F1855" s="2" t="s">
        <v>3700</v>
      </c>
      <c r="G1855" s="2" t="s">
        <v>3701</v>
      </c>
      <c r="H1855" s="7"/>
      <c r="I1855" s="2" t="s">
        <v>9</v>
      </c>
    </row>
    <row r="1856" spans="1:9" ht="39" x14ac:dyDescent="0.3">
      <c r="A1856" s="1" t="str">
        <f>HYPERLINK("https://ipmanager.doe.gov/IPManager//ExternalLink.aspx?6ibkph2k9yi6F%2B0Vz7YoTipZ798QK%2BbPiHkXVrRGvK8%3D","Link")</f>
        <v>Link</v>
      </c>
      <c r="B1856" s="2" t="s">
        <v>3702</v>
      </c>
      <c r="C1856" s="2" t="s">
        <v>3694</v>
      </c>
      <c r="D1856" s="2" t="s">
        <v>1474</v>
      </c>
      <c r="E1856" s="2" t="s">
        <v>3699</v>
      </c>
      <c r="F1856" s="2" t="s">
        <v>3703</v>
      </c>
      <c r="G1856" s="2" t="s">
        <v>3704</v>
      </c>
      <c r="H1856" s="7"/>
      <c r="I1856" s="2" t="s">
        <v>9</v>
      </c>
    </row>
    <row r="1857" spans="1:9" ht="65" x14ac:dyDescent="0.3">
      <c r="A1857" s="1" t="str">
        <f>HYPERLINK("https://ipmanager.doe.gov/IPManager//ExternalLink.aspx?6ibkph2k9yi6F%2B0Vz7YoTkqAgjuWMa9Q9k76jfgUmHc%3D","Link")</f>
        <v>Link</v>
      </c>
      <c r="B1857" s="2" t="s">
        <v>5991</v>
      </c>
      <c r="C1857" s="2" t="s">
        <v>5986</v>
      </c>
      <c r="D1857" s="2" t="s">
        <v>3066</v>
      </c>
      <c r="E1857" s="2" t="s">
        <v>5992</v>
      </c>
      <c r="F1857" s="2" t="s">
        <v>5993</v>
      </c>
      <c r="G1857" s="2" t="s">
        <v>3282</v>
      </c>
      <c r="H1857" s="7" t="s">
        <v>5994</v>
      </c>
      <c r="I1857" s="2" t="s">
        <v>968</v>
      </c>
    </row>
    <row r="1858" spans="1:9" ht="26" x14ac:dyDescent="0.3">
      <c r="A1858" s="1" t="str">
        <f>HYPERLINK("https://ipmanager.doe.gov/IPManager//ExternalLink.aspx?6ibkph2k9yi6F%2B0Vz7YoTq6RR9BlGHHiXCyiT6z1tVs%3D","Link")</f>
        <v>Link</v>
      </c>
      <c r="B1858" s="2" t="s">
        <v>5995</v>
      </c>
      <c r="C1858" s="2" t="s">
        <v>5986</v>
      </c>
      <c r="D1858" s="2" t="s">
        <v>1952</v>
      </c>
      <c r="E1858" s="2" t="s">
        <v>5996</v>
      </c>
      <c r="F1858" s="2"/>
      <c r="G1858" s="2" t="s">
        <v>9</v>
      </c>
      <c r="H1858" s="7"/>
      <c r="I1858" s="2" t="s">
        <v>9</v>
      </c>
    </row>
    <row r="1859" spans="1:9" ht="39" x14ac:dyDescent="0.3">
      <c r="A1859" s="1" t="str">
        <f>HYPERLINK("https://ipmanager.doe.gov/IPManager//ExternalLink.aspx?6ibkph2k9yi6F%2B0Vz7YoTq6RR9BlGHHiXvWY1cnNwf0%3D","Link")</f>
        <v>Link</v>
      </c>
      <c r="B1859" s="2" t="s">
        <v>5998</v>
      </c>
      <c r="C1859" s="2" t="s">
        <v>5986</v>
      </c>
      <c r="D1859" s="2" t="s">
        <v>1952</v>
      </c>
      <c r="E1859" s="2" t="s">
        <v>5999</v>
      </c>
      <c r="F1859" s="2"/>
      <c r="G1859" s="2" t="s">
        <v>9</v>
      </c>
      <c r="H1859" s="7"/>
      <c r="I1859" s="2" t="s">
        <v>9</v>
      </c>
    </row>
    <row r="1860" spans="1:9" ht="39" x14ac:dyDescent="0.3">
      <c r="A1860" s="1" t="str">
        <f>HYPERLINK("https://ipmanager.doe.gov/IPManager//ExternalLink.aspx?6ibkph2k9yi6F%2B0Vz7YoTvE8yjoHgvp6B815yPn0MMA%3D","Link")</f>
        <v>Link</v>
      </c>
      <c r="B1860" s="2" t="s">
        <v>6000</v>
      </c>
      <c r="C1860" s="2" t="s">
        <v>5986</v>
      </c>
      <c r="D1860" s="2" t="s">
        <v>1952</v>
      </c>
      <c r="E1860" s="2" t="s">
        <v>6001</v>
      </c>
      <c r="F1860" s="2"/>
      <c r="G1860" s="2" t="s">
        <v>9</v>
      </c>
      <c r="H1860" s="7"/>
      <c r="I1860" s="2" t="s">
        <v>9</v>
      </c>
    </row>
    <row r="1861" spans="1:9" ht="52" x14ac:dyDescent="0.3">
      <c r="A1861" s="1" t="str">
        <f>HYPERLINK("https://ipmanager.doe.gov/IPManager//ExternalLink.aspx?6ibkph2k9yi6F%2B0Vz7YoTvE8yjoHgvp6%2BG9yM%2Bu7GmM%3D","Link")</f>
        <v>Link</v>
      </c>
      <c r="B1861" s="2" t="s">
        <v>6002</v>
      </c>
      <c r="C1861" s="2" t="s">
        <v>5986</v>
      </c>
      <c r="D1861" s="2" t="s">
        <v>1952</v>
      </c>
      <c r="E1861" s="2" t="s">
        <v>6003</v>
      </c>
      <c r="F1861" s="2"/>
      <c r="G1861" s="2" t="s">
        <v>9</v>
      </c>
      <c r="H1861" s="7"/>
      <c r="I1861" s="2" t="s">
        <v>9</v>
      </c>
    </row>
    <row r="1862" spans="1:9" ht="39" x14ac:dyDescent="0.3">
      <c r="A1862" s="1" t="str">
        <f>HYPERLINK("https://ipmanager.doe.gov/IPManager//ExternalLink.aspx?6ibkph2k9yi6F%2B0Vz7YoTvE8yjoHgvp6Xh6trJY10a0%3D","Link")</f>
        <v>Link</v>
      </c>
      <c r="B1862" s="2" t="s">
        <v>6004</v>
      </c>
      <c r="C1862" s="2" t="s">
        <v>5986</v>
      </c>
      <c r="D1862" s="2" t="s">
        <v>3066</v>
      </c>
      <c r="E1862" s="2" t="s">
        <v>6005</v>
      </c>
      <c r="F1862" s="2"/>
      <c r="G1862" s="2" t="s">
        <v>9</v>
      </c>
      <c r="H1862" s="7"/>
      <c r="I1862" s="2" t="s">
        <v>9</v>
      </c>
    </row>
    <row r="1863" spans="1:9" ht="39" x14ac:dyDescent="0.3">
      <c r="A1863" s="1" t="str">
        <f>HYPERLINK("https://ipmanager.doe.gov/IPManager//ExternalLink.aspx?6ibkph2k9yi6F%2B0Vz7YoTjnDGhmGHGI7Jmp1ibjv%2Fe8%3D","Link")</f>
        <v>Link</v>
      </c>
      <c r="B1863" s="2" t="s">
        <v>6006</v>
      </c>
      <c r="C1863" s="2" t="s">
        <v>6007</v>
      </c>
      <c r="D1863" s="2" t="s">
        <v>5538</v>
      </c>
      <c r="E1863" s="2" t="s">
        <v>6008</v>
      </c>
      <c r="F1863" s="2"/>
      <c r="G1863" s="2" t="s">
        <v>9</v>
      </c>
      <c r="H1863" s="7"/>
      <c r="I1863" s="2" t="s">
        <v>9</v>
      </c>
    </row>
    <row r="1864" spans="1:9" ht="26" x14ac:dyDescent="0.3">
      <c r="A1864" s="1" t="str">
        <f>HYPERLINK("https://ipmanager.doe.gov/IPManager//ExternalLink.aspx?6ibkph2k9yi6F%2B0Vz7YoTgZwfmYxrNyK5RbMJT8f1uw%3D","Link")</f>
        <v>Link</v>
      </c>
      <c r="B1864" s="2" t="s">
        <v>4923</v>
      </c>
      <c r="C1864" s="2" t="s">
        <v>4924</v>
      </c>
      <c r="D1864" s="2" t="s">
        <v>1474</v>
      </c>
      <c r="E1864" s="2" t="s">
        <v>4925</v>
      </c>
      <c r="F1864" s="2" t="s">
        <v>4926</v>
      </c>
      <c r="G1864" s="2" t="s">
        <v>4927</v>
      </c>
      <c r="H1864" s="7"/>
      <c r="I1864" s="2" t="s">
        <v>9</v>
      </c>
    </row>
    <row r="1865" spans="1:9" ht="26" x14ac:dyDescent="0.3">
      <c r="A1865" s="1" t="str">
        <f>HYPERLINK("https://ipmanager.doe.gov/IPManager//ExternalLink.aspx?6ibkph2k9yi6F%2B0Vz7YoTvE8yjoHgvp6%2B0enNtYP0oM%3D","Link")</f>
        <v>Link</v>
      </c>
      <c r="B1865" s="2" t="s">
        <v>6013</v>
      </c>
      <c r="C1865" s="2" t="s">
        <v>6010</v>
      </c>
      <c r="D1865" s="2" t="s">
        <v>4548</v>
      </c>
      <c r="E1865" s="2" t="s">
        <v>6014</v>
      </c>
      <c r="F1865" s="2"/>
      <c r="G1865" s="2" t="s">
        <v>9</v>
      </c>
      <c r="H1865" s="7"/>
      <c r="I1865" s="2" t="s">
        <v>9</v>
      </c>
    </row>
    <row r="1866" spans="1:9" ht="26" x14ac:dyDescent="0.3">
      <c r="A1866" s="1" t="str">
        <f>HYPERLINK("https://ipmanager.doe.gov/IPManager//ExternalLink.aspx?6ibkph2k9yi6F%2B0Vz7YoTr7J5I%2BY4foY%2BmzUWr%2B1yCk%3D","Link")</f>
        <v>Link</v>
      </c>
      <c r="B1866" s="2" t="s">
        <v>4928</v>
      </c>
      <c r="C1866" s="2" t="s">
        <v>4924</v>
      </c>
      <c r="D1866" s="2" t="s">
        <v>1474</v>
      </c>
      <c r="E1866" s="2" t="s">
        <v>4929</v>
      </c>
      <c r="F1866" s="2" t="s">
        <v>4930</v>
      </c>
      <c r="G1866" s="2" t="s">
        <v>4931</v>
      </c>
      <c r="H1866" s="7"/>
      <c r="I1866" s="2" t="s">
        <v>9</v>
      </c>
    </row>
    <row r="1867" spans="1:9" ht="39" x14ac:dyDescent="0.3">
      <c r="A1867" s="1" t="str">
        <f>HYPERLINK("https://ipmanager.doe.gov/IPManager//ExternalLink.aspx?6ibkph2k9yi6F%2B0Vz7YoTo7DPLa3%2F%2FGgFx6JSd9lA1w%3D","Link")</f>
        <v>Link</v>
      </c>
      <c r="B1867" s="2" t="s">
        <v>6017</v>
      </c>
      <c r="C1867" s="2" t="s">
        <v>6018</v>
      </c>
      <c r="D1867" s="2" t="s">
        <v>4275</v>
      </c>
      <c r="E1867" s="2" t="s">
        <v>6019</v>
      </c>
      <c r="F1867" s="2"/>
      <c r="G1867" s="2" t="s">
        <v>9</v>
      </c>
      <c r="H1867" s="7"/>
      <c r="I1867" s="2" t="s">
        <v>9</v>
      </c>
    </row>
    <row r="1868" spans="1:9" ht="52" x14ac:dyDescent="0.3">
      <c r="A1868" s="1" t="str">
        <f>HYPERLINK("https://ipmanager.doe.gov/IPManager//ExternalLink.aspx?6ibkph2k9yi6F%2B0Vz7YoThEBhkR3uHVraLGOXIQRzuc%3D","Link")</f>
        <v>Link</v>
      </c>
      <c r="B1868" s="2" t="s">
        <v>6020</v>
      </c>
      <c r="C1868" s="2" t="s">
        <v>6018</v>
      </c>
      <c r="D1868" s="2" t="s">
        <v>4275</v>
      </c>
      <c r="E1868" s="2" t="s">
        <v>6021</v>
      </c>
      <c r="F1868" s="2"/>
      <c r="G1868" s="2" t="s">
        <v>9</v>
      </c>
      <c r="H1868" s="7"/>
      <c r="I1868" s="2" t="s">
        <v>9</v>
      </c>
    </row>
    <row r="1869" spans="1:9" ht="26" x14ac:dyDescent="0.3">
      <c r="A1869" s="1" t="str">
        <f>HYPERLINK("https://ipmanager.doe.gov/IPManager//ExternalLink.aspx?6ibkph2k9yi6F%2B0Vz7YoTjnDGhmGHGI7WUTTu2smvbM%3D","Link")</f>
        <v>Link</v>
      </c>
      <c r="B1869" s="2" t="s">
        <v>4932</v>
      </c>
      <c r="C1869" s="2" t="s">
        <v>4924</v>
      </c>
      <c r="D1869" s="2" t="s">
        <v>1474</v>
      </c>
      <c r="E1869" s="2" t="s">
        <v>4925</v>
      </c>
      <c r="F1869" s="2" t="s">
        <v>4933</v>
      </c>
      <c r="G1869" s="2" t="s">
        <v>4934</v>
      </c>
      <c r="H1869" s="7"/>
      <c r="I1869" s="2" t="s">
        <v>9</v>
      </c>
    </row>
    <row r="1870" spans="1:9" ht="39" x14ac:dyDescent="0.3">
      <c r="A1870" s="1" t="str">
        <f>HYPERLINK("https://ipmanager.doe.gov/IPManager//ExternalLink.aspx?6ibkph2k9yi6F%2B0Vz7YoTnXVN2REjGcWm48fWLtcw08%3D","Link")</f>
        <v>Link</v>
      </c>
      <c r="B1870" s="2" t="s">
        <v>6025</v>
      </c>
      <c r="C1870" s="2" t="s">
        <v>6018</v>
      </c>
      <c r="D1870" s="2" t="s">
        <v>4275</v>
      </c>
      <c r="E1870" s="2" t="s">
        <v>6026</v>
      </c>
      <c r="F1870" s="2"/>
      <c r="G1870" s="2" t="s">
        <v>9</v>
      </c>
      <c r="H1870" s="7"/>
      <c r="I1870" s="2" t="s">
        <v>9</v>
      </c>
    </row>
    <row r="1871" spans="1:9" ht="39" x14ac:dyDescent="0.3">
      <c r="A1871" s="1" t="str">
        <f>HYPERLINK("https://ipmanager.doe.gov/IPManager//ExternalLink.aspx?6ibkph2k9yi6F%2B0Vz7YoTvPUg%2FVZPl3ilW6umwvX78I%3D","Link")</f>
        <v>Link</v>
      </c>
      <c r="B1871" s="2" t="s">
        <v>5826</v>
      </c>
      <c r="C1871" s="2" t="s">
        <v>5827</v>
      </c>
      <c r="D1871" s="2" t="s">
        <v>1474</v>
      </c>
      <c r="E1871" s="2" t="s">
        <v>5828</v>
      </c>
      <c r="F1871" s="2" t="s">
        <v>5829</v>
      </c>
      <c r="G1871" s="2" t="s">
        <v>5830</v>
      </c>
      <c r="H1871" s="7"/>
      <c r="I1871" s="2" t="s">
        <v>9</v>
      </c>
    </row>
    <row r="1872" spans="1:9" ht="26" x14ac:dyDescent="0.3">
      <c r="A1872" s="1" t="str">
        <f>HYPERLINK("https://ipmanager.doe.gov/IPManager//ExternalLink.aspx?6ibkph2k9yi6F%2B0Vz7YoThEBhkR3uHVrGLgOTOFn82g%3D","Link")</f>
        <v>Link</v>
      </c>
      <c r="B1872" s="2" t="s">
        <v>6032</v>
      </c>
      <c r="C1872" s="2" t="s">
        <v>6033</v>
      </c>
      <c r="D1872" s="2" t="s">
        <v>3094</v>
      </c>
      <c r="E1872" s="2" t="s">
        <v>6034</v>
      </c>
      <c r="F1872" s="2"/>
      <c r="G1872" s="2" t="s">
        <v>9</v>
      </c>
      <c r="H1872" s="7"/>
      <c r="I1872" s="2" t="s">
        <v>9</v>
      </c>
    </row>
    <row r="1873" spans="1:9" ht="39" x14ac:dyDescent="0.3">
      <c r="A1873" s="1" t="str">
        <f>HYPERLINK("https://ipmanager.doe.gov/IPManager//ExternalLink.aspx?6ibkph2k9yi6F%2B0Vz7YoTvPUg%2FVZPl3i9Z1AOCl6gr8%3D","Link")</f>
        <v>Link</v>
      </c>
      <c r="B1873" s="2" t="s">
        <v>5831</v>
      </c>
      <c r="C1873" s="2" t="s">
        <v>5827</v>
      </c>
      <c r="D1873" s="2" t="s">
        <v>1474</v>
      </c>
      <c r="E1873" s="2" t="s">
        <v>5832</v>
      </c>
      <c r="F1873" s="2" t="s">
        <v>5833</v>
      </c>
      <c r="G1873" s="2" t="s">
        <v>2712</v>
      </c>
      <c r="H1873" s="7"/>
      <c r="I1873" s="2" t="s">
        <v>9</v>
      </c>
    </row>
    <row r="1874" spans="1:9" ht="39" x14ac:dyDescent="0.3">
      <c r="A1874" s="1" t="str">
        <f>HYPERLINK("https://ipmanager.doe.gov/IPManager//ExternalLink.aspx?6ibkph2k9yi6F%2B0Vz7YoTp68px7nSN2gfA7KB1V1Z84%3D","Link")</f>
        <v>Link</v>
      </c>
      <c r="B1874" s="2" t="s">
        <v>5834</v>
      </c>
      <c r="C1874" s="2" t="s">
        <v>5827</v>
      </c>
      <c r="D1874" s="2" t="s">
        <v>1474</v>
      </c>
      <c r="E1874" s="2" t="s">
        <v>5835</v>
      </c>
      <c r="F1874" s="2" t="s">
        <v>5836</v>
      </c>
      <c r="G1874" s="2" t="s">
        <v>5830</v>
      </c>
      <c r="H1874" s="7"/>
      <c r="I1874" s="2" t="s">
        <v>9</v>
      </c>
    </row>
    <row r="1875" spans="1:9" ht="65" x14ac:dyDescent="0.3">
      <c r="A1875" s="1" t="str">
        <f>HYPERLINK("https://ipmanager.doe.gov/IPManager//ExternalLink.aspx?6ibkph2k9yi6F%2B0Vz7YoThEBhkR3uHVro7nXaoZGCe0%3D","Link")</f>
        <v>Link</v>
      </c>
      <c r="B1875" s="2" t="s">
        <v>6044</v>
      </c>
      <c r="C1875" s="2" t="s">
        <v>6045</v>
      </c>
      <c r="D1875" s="2" t="s">
        <v>1793</v>
      </c>
      <c r="E1875" s="2" t="s">
        <v>6046</v>
      </c>
      <c r="F1875" s="2"/>
      <c r="G1875" s="2" t="s">
        <v>9</v>
      </c>
      <c r="H1875" s="7"/>
      <c r="I1875" s="2" t="s">
        <v>9</v>
      </c>
    </row>
    <row r="1876" spans="1:9" ht="39" x14ac:dyDescent="0.3">
      <c r="A1876" s="1" t="str">
        <f>HYPERLINK("https://ipmanager.doe.gov/IPManager//ExternalLink.aspx?6ibkph2k9yi6F%2B0Vz7YoTo7DPLa3%2F%2FGg0H%2BjxX6Chqc%3D","Link")</f>
        <v>Link</v>
      </c>
      <c r="B1876" s="2" t="s">
        <v>5838</v>
      </c>
      <c r="C1876" s="2" t="s">
        <v>5827</v>
      </c>
      <c r="D1876" s="2" t="s">
        <v>1474</v>
      </c>
      <c r="E1876" s="2" t="s">
        <v>5839</v>
      </c>
      <c r="F1876" s="2" t="s">
        <v>5840</v>
      </c>
      <c r="G1876" s="2" t="s">
        <v>5837</v>
      </c>
      <c r="H1876" s="7"/>
      <c r="I1876" s="2" t="s">
        <v>9</v>
      </c>
    </row>
    <row r="1877" spans="1:9" ht="26" x14ac:dyDescent="0.3">
      <c r="A1877" s="1" t="str">
        <f>HYPERLINK("https://ipmanager.doe.gov/IPManager//ExternalLink.aspx?6ibkph2k9yi6F%2B0Vz7YoTvPUg%2FVZPl3idtR6VMUQlNs%3D","Link")</f>
        <v>Link</v>
      </c>
      <c r="B1877" s="2" t="s">
        <v>6050</v>
      </c>
      <c r="C1877" s="2" t="s">
        <v>6051</v>
      </c>
      <c r="D1877" s="2" t="s">
        <v>1474</v>
      </c>
      <c r="E1877" s="2" t="s">
        <v>6052</v>
      </c>
      <c r="F1877" s="2" t="s">
        <v>6053</v>
      </c>
      <c r="G1877" s="2" t="s">
        <v>1984</v>
      </c>
      <c r="H1877" s="7"/>
      <c r="I1877" s="2" t="s">
        <v>9</v>
      </c>
    </row>
    <row r="1878" spans="1:9" ht="26" x14ac:dyDescent="0.3">
      <c r="A1878" s="1" t="str">
        <f>HYPERLINK("https://ipmanager.doe.gov/IPManager//ExternalLink.aspx?6ibkph2k9yi6F%2B0Vz7YoTq6RR9BlGHHiBLqbz4vGwag%3D","Link")</f>
        <v>Link</v>
      </c>
      <c r="B1878" s="2" t="s">
        <v>6054</v>
      </c>
      <c r="C1878" s="2" t="s">
        <v>6055</v>
      </c>
      <c r="D1878" s="2" t="s">
        <v>6056</v>
      </c>
      <c r="E1878" s="2" t="s">
        <v>6057</v>
      </c>
      <c r="F1878" s="2" t="s">
        <v>6058</v>
      </c>
      <c r="G1878" s="2" t="s">
        <v>6059</v>
      </c>
      <c r="H1878" s="7"/>
      <c r="I1878" s="2" t="s">
        <v>9</v>
      </c>
    </row>
    <row r="1879" spans="1:9" ht="39" x14ac:dyDescent="0.3">
      <c r="A1879" s="1" t="str">
        <f>HYPERLINK("https://ipmanager.doe.gov/IPManager//ExternalLink.aspx?6ibkph2k9yi6F%2B0Vz7YoTgZwfmYxrNyK83GdTrFTP3c%3D","Link")</f>
        <v>Link</v>
      </c>
      <c r="B1879" s="2" t="s">
        <v>6209</v>
      </c>
      <c r="C1879" s="2" t="s">
        <v>6204</v>
      </c>
      <c r="D1879" s="2" t="s">
        <v>1474</v>
      </c>
      <c r="E1879" s="2" t="s">
        <v>6210</v>
      </c>
      <c r="F1879" s="2" t="s">
        <v>6211</v>
      </c>
      <c r="G1879" s="2" t="s">
        <v>5162</v>
      </c>
      <c r="H1879" s="7"/>
      <c r="I1879" s="2" t="s">
        <v>9</v>
      </c>
    </row>
    <row r="1880" spans="1:9" ht="52" x14ac:dyDescent="0.3">
      <c r="A1880" s="1" t="str">
        <f>HYPERLINK("https://ipmanager.doe.gov/IPManager//ExternalLink.aspx?6ibkph2k9yi6F%2B0Vz7YoTsTAnuFk5EoAr1iOEIQTblk%3D","Link")</f>
        <v>Link</v>
      </c>
      <c r="B1880" s="2" t="s">
        <v>6213</v>
      </c>
      <c r="C1880" s="2" t="s">
        <v>6204</v>
      </c>
      <c r="D1880" s="2" t="s">
        <v>1474</v>
      </c>
      <c r="E1880" s="2" t="s">
        <v>6214</v>
      </c>
      <c r="F1880" s="2" t="s">
        <v>6215</v>
      </c>
      <c r="G1880" s="2" t="s">
        <v>6216</v>
      </c>
      <c r="H1880" s="7"/>
      <c r="I1880" s="2" t="s">
        <v>9</v>
      </c>
    </row>
    <row r="1881" spans="1:9" ht="39" x14ac:dyDescent="0.3">
      <c r="A1881" s="1" t="str">
        <f>HYPERLINK("https://ipmanager.doe.gov/IPManager//ExternalLink.aspx?6ibkph2k9yi6F%2B0Vz7YoTq6RR9BlGHHixsJXe6I6rlQ%3D","Link")</f>
        <v>Link</v>
      </c>
      <c r="B1881" s="2" t="s">
        <v>6068</v>
      </c>
      <c r="C1881" s="2" t="s">
        <v>6061</v>
      </c>
      <c r="D1881" s="2" t="s">
        <v>6062</v>
      </c>
      <c r="E1881" s="2" t="s">
        <v>6066</v>
      </c>
      <c r="F1881" s="2"/>
      <c r="G1881" s="2" t="s">
        <v>9</v>
      </c>
      <c r="H1881" s="7"/>
      <c r="I1881" s="2" t="s">
        <v>9</v>
      </c>
    </row>
    <row r="1882" spans="1:9" ht="39" x14ac:dyDescent="0.3">
      <c r="A1882" s="1" t="str">
        <f>HYPERLINK("https://ipmanager.doe.gov/IPManager//ExternalLink.aspx?6ibkph2k9yi6F%2B0Vz7YoTq6RR9BlGHHihmPN7g0nAFM%3D","Link")</f>
        <v>Link</v>
      </c>
      <c r="B1882" s="2" t="s">
        <v>6069</v>
      </c>
      <c r="C1882" s="2" t="s">
        <v>6061</v>
      </c>
      <c r="D1882" s="2" t="s">
        <v>6062</v>
      </c>
      <c r="E1882" s="2" t="s">
        <v>6063</v>
      </c>
      <c r="F1882" s="2"/>
      <c r="G1882" s="2" t="s">
        <v>9</v>
      </c>
      <c r="H1882" s="7"/>
      <c r="I1882" s="2" t="s">
        <v>9</v>
      </c>
    </row>
    <row r="1883" spans="1:9" ht="39" x14ac:dyDescent="0.3">
      <c r="A1883" s="1" t="str">
        <f>HYPERLINK("https://ipmanager.doe.gov/IPManager//ExternalLink.aspx?6ibkph2k9yi6F%2B0Vz7YoTsTAnuFk5EoAVTZfWxhPTR8%3D","Link")</f>
        <v>Link</v>
      </c>
      <c r="B1883" s="2" t="s">
        <v>6070</v>
      </c>
      <c r="C1883" s="2" t="s">
        <v>6071</v>
      </c>
      <c r="D1883" s="2" t="s">
        <v>3527</v>
      </c>
      <c r="E1883" s="2" t="s">
        <v>6072</v>
      </c>
      <c r="F1883" s="2" t="s">
        <v>6073</v>
      </c>
      <c r="G1883" s="2" t="s">
        <v>5984</v>
      </c>
      <c r="H1883" s="8">
        <v>10323151</v>
      </c>
      <c r="I1883" s="2" t="s">
        <v>6074</v>
      </c>
    </row>
    <row r="1884" spans="1:9" ht="26" x14ac:dyDescent="0.3">
      <c r="A1884" s="1" t="str">
        <f>HYPERLINK("https://ipmanager.doe.gov/IPManager//ExternalLink.aspx?6ibkph2k9yi6F%2B0Vz7YoTsTAnuFk5EoAj%2B3Hdrzlu2w%3D","Link")</f>
        <v>Link</v>
      </c>
      <c r="B1884" s="2" t="s">
        <v>6075</v>
      </c>
      <c r="C1884" s="2" t="s">
        <v>6076</v>
      </c>
      <c r="D1884" s="2" t="s">
        <v>5638</v>
      </c>
      <c r="E1884" s="2" t="s">
        <v>6077</v>
      </c>
      <c r="F1884" s="2"/>
      <c r="G1884" s="2" t="s">
        <v>9</v>
      </c>
      <c r="H1884" s="7"/>
      <c r="I1884" s="2" t="s">
        <v>9</v>
      </c>
    </row>
    <row r="1885" spans="1:9" ht="39" x14ac:dyDescent="0.3">
      <c r="A1885" s="1" t="str">
        <f>HYPERLINK("https://ipmanager.doe.gov/IPManager//ExternalLink.aspx?6ibkph2k9yi6F%2B0Vz7YoTq6RR9BlGHHipIcmbhljo28%3D","Link")</f>
        <v>Link</v>
      </c>
      <c r="B1885" s="2" t="s">
        <v>6078</v>
      </c>
      <c r="C1885" s="2" t="s">
        <v>6079</v>
      </c>
      <c r="D1885" s="2" t="s">
        <v>5638</v>
      </c>
      <c r="E1885" s="2" t="s">
        <v>6080</v>
      </c>
      <c r="F1885" s="2"/>
      <c r="G1885" s="2" t="s">
        <v>9</v>
      </c>
      <c r="H1885" s="7"/>
      <c r="I1885" s="2" t="s">
        <v>9</v>
      </c>
    </row>
    <row r="1886" spans="1:9" ht="52" x14ac:dyDescent="0.3">
      <c r="A1886" s="1" t="str">
        <f>HYPERLINK("https://ipmanager.doe.gov/IPManager//ExternalLink.aspx?6ibkph2k9yi6F%2B0Vz7YoTq6RR9BlGHHiARUdWPYIjyk%3D","Link")</f>
        <v>Link</v>
      </c>
      <c r="B1886" s="2" t="s">
        <v>6081</v>
      </c>
      <c r="C1886" s="2" t="s">
        <v>6082</v>
      </c>
      <c r="D1886" s="2" t="s">
        <v>4384</v>
      </c>
      <c r="E1886" s="2" t="s">
        <v>6083</v>
      </c>
      <c r="F1886" s="2"/>
      <c r="G1886" s="2" t="s">
        <v>9</v>
      </c>
      <c r="H1886" s="7"/>
      <c r="I1886" s="2" t="s">
        <v>9</v>
      </c>
    </row>
    <row r="1887" spans="1:9" ht="65" x14ac:dyDescent="0.3">
      <c r="A1887" s="1" t="str">
        <f>HYPERLINK("https://ipmanager.doe.gov/IPManager//ExternalLink.aspx?6ibkph2k9yi6F%2B0Vz7YoTvPUg%2FVZPl3idDv55%2BN1RNc%3D","Link")</f>
        <v>Link</v>
      </c>
      <c r="B1887" s="2" t="s">
        <v>6084</v>
      </c>
      <c r="C1887" s="2" t="s">
        <v>6082</v>
      </c>
      <c r="D1887" s="2" t="s">
        <v>4384</v>
      </c>
      <c r="E1887" s="2" t="s">
        <v>6085</v>
      </c>
      <c r="F1887" s="2"/>
      <c r="G1887" s="2" t="s">
        <v>9</v>
      </c>
      <c r="H1887" s="7"/>
      <c r="I1887" s="2" t="s">
        <v>9</v>
      </c>
    </row>
    <row r="1888" spans="1:9" ht="39" x14ac:dyDescent="0.3">
      <c r="A1888" s="1" t="str">
        <f>HYPERLINK("https://ipmanager.doe.gov/IPManager//ExternalLink.aspx?6ibkph2k9yi6F%2B0Vz7YoTvPUg%2FVZPl3i%2B4mB6THcgy4%3D","Link")</f>
        <v>Link</v>
      </c>
      <c r="B1888" s="2" t="s">
        <v>6086</v>
      </c>
      <c r="C1888" s="2" t="s">
        <v>6082</v>
      </c>
      <c r="D1888" s="2" t="s">
        <v>4384</v>
      </c>
      <c r="E1888" s="2" t="s">
        <v>6087</v>
      </c>
      <c r="F1888" s="2"/>
      <c r="G1888" s="2" t="s">
        <v>9</v>
      </c>
      <c r="H1888" s="7"/>
      <c r="I1888" s="2" t="s">
        <v>9</v>
      </c>
    </row>
    <row r="1889" spans="1:9" ht="39" x14ac:dyDescent="0.3">
      <c r="A1889" s="1" t="str">
        <f>HYPERLINK("https://ipmanager.doe.gov/IPManager//ExternalLink.aspx?6ibkph2k9yi6F%2B0Vz7YoTsTAnuFk5EoAbQuXYls%2BJ%2Bc%3D","Link")</f>
        <v>Link</v>
      </c>
      <c r="B1889" s="2" t="s">
        <v>6217</v>
      </c>
      <c r="C1889" s="2" t="s">
        <v>6204</v>
      </c>
      <c r="D1889" s="2" t="s">
        <v>1474</v>
      </c>
      <c r="E1889" s="2" t="s">
        <v>6218</v>
      </c>
      <c r="F1889" s="2" t="s">
        <v>6219</v>
      </c>
      <c r="G1889" s="2" t="s">
        <v>6220</v>
      </c>
      <c r="H1889" s="7"/>
      <c r="I1889" s="2" t="s">
        <v>9</v>
      </c>
    </row>
    <row r="1890" spans="1:9" ht="39" x14ac:dyDescent="0.3">
      <c r="A1890" s="1" t="str">
        <f>HYPERLINK("https://ipmanager.doe.gov/IPManager//ExternalLink.aspx?6ibkph2k9yi6F%2B0Vz7YoTvPUg%2FVZPl3iC8qgdOdmq4M%3D","Link")</f>
        <v>Link</v>
      </c>
      <c r="B1890" s="2" t="s">
        <v>6221</v>
      </c>
      <c r="C1890" s="2" t="s">
        <v>6204</v>
      </c>
      <c r="D1890" s="2" t="s">
        <v>1474</v>
      </c>
      <c r="E1890" s="2" t="s">
        <v>6218</v>
      </c>
      <c r="F1890" s="2" t="s">
        <v>6222</v>
      </c>
      <c r="G1890" s="2" t="s">
        <v>6223</v>
      </c>
      <c r="H1890" s="7"/>
      <c r="I1890" s="2" t="s">
        <v>9</v>
      </c>
    </row>
    <row r="1891" spans="1:9" ht="39" x14ac:dyDescent="0.3">
      <c r="A1891" s="1" t="str">
        <f>HYPERLINK("https://ipmanager.doe.gov/IPManager//ExternalLink.aspx?6ibkph2k9yi6F%2B0Vz7YoTvPUg%2FVZPl3isqNN%2F5t3vbQ%3D","Link")</f>
        <v>Link</v>
      </c>
      <c r="B1891" s="2" t="s">
        <v>6224</v>
      </c>
      <c r="C1891" s="2" t="s">
        <v>6204</v>
      </c>
      <c r="D1891" s="2" t="s">
        <v>1474</v>
      </c>
      <c r="E1891" s="2" t="s">
        <v>6206</v>
      </c>
      <c r="F1891" s="2" t="s">
        <v>6208</v>
      </c>
      <c r="G1891" s="2" t="s">
        <v>5162</v>
      </c>
      <c r="H1891" s="7"/>
      <c r="I1891" s="2" t="s">
        <v>9</v>
      </c>
    </row>
    <row r="1892" spans="1:9" ht="39" x14ac:dyDescent="0.3">
      <c r="A1892" s="1" t="str">
        <f>HYPERLINK("https://ipmanager.doe.gov/IPManager//ExternalLink.aspx?6ibkph2k9yi6F%2B0Vz7YoTvE8yjoHgvp6u5xQRwzaBkc%3D","Link")</f>
        <v>Link</v>
      </c>
      <c r="B1892" s="2" t="s">
        <v>6225</v>
      </c>
      <c r="C1892" s="2" t="s">
        <v>6204</v>
      </c>
      <c r="D1892" s="2" t="s">
        <v>1474</v>
      </c>
      <c r="E1892" s="2" t="s">
        <v>6210</v>
      </c>
      <c r="F1892" s="2" t="s">
        <v>6212</v>
      </c>
      <c r="G1892" s="2" t="s">
        <v>5162</v>
      </c>
      <c r="H1892" s="7"/>
      <c r="I1892" s="2" t="s">
        <v>9</v>
      </c>
    </row>
    <row r="1893" spans="1:9" ht="26" x14ac:dyDescent="0.3">
      <c r="A1893" s="1" t="str">
        <f>HYPERLINK("https://ipmanager.doe.gov/IPManager//ExternalLink.aspx?6ibkph2k9yi6F%2B0Vz7YoThEBhkR3uHVrkMBhrqbPQCs%3D","Link")</f>
        <v>Link</v>
      </c>
      <c r="B1893" s="2" t="s">
        <v>6104</v>
      </c>
      <c r="C1893" s="2" t="s">
        <v>6100</v>
      </c>
      <c r="D1893" s="2" t="s">
        <v>3583</v>
      </c>
      <c r="E1893" s="2" t="s">
        <v>6105</v>
      </c>
      <c r="F1893" s="2"/>
      <c r="G1893" s="2" t="s">
        <v>9</v>
      </c>
      <c r="H1893" s="7"/>
      <c r="I1893" s="2" t="s">
        <v>9</v>
      </c>
    </row>
    <row r="1894" spans="1:9" ht="65" x14ac:dyDescent="0.3">
      <c r="A1894" s="1" t="str">
        <f>HYPERLINK("https://ipmanager.doe.gov/IPManager//ExternalLink.aspx?6ibkph2k9yi6F%2B0Vz7YoTkqAgjuWMa9Q8H7WlXmyDGE%3D","Link")</f>
        <v>Link</v>
      </c>
      <c r="B1894" s="2" t="s">
        <v>6106</v>
      </c>
      <c r="C1894" s="2" t="s">
        <v>6100</v>
      </c>
      <c r="D1894" s="2" t="s">
        <v>2701</v>
      </c>
      <c r="E1894" s="2" t="s">
        <v>6107</v>
      </c>
      <c r="F1894" s="2"/>
      <c r="G1894" s="2" t="s">
        <v>9</v>
      </c>
      <c r="H1894" s="7"/>
      <c r="I1894" s="2" t="s">
        <v>9</v>
      </c>
    </row>
    <row r="1895" spans="1:9" ht="39" x14ac:dyDescent="0.3">
      <c r="A1895" s="1" t="str">
        <f>HYPERLINK("https://ipmanager.doe.gov/IPManager//ExternalLink.aspx?6ibkph2k9yi6F%2B0Vz7YoTq6RR9BlGHHij78c1qQ%2Fl%2FE%3D","Link")</f>
        <v>Link</v>
      </c>
      <c r="B1895" s="2" t="s">
        <v>6108</v>
      </c>
      <c r="C1895" s="2" t="s">
        <v>6109</v>
      </c>
      <c r="D1895" s="2" t="s">
        <v>2908</v>
      </c>
      <c r="E1895" s="2" t="s">
        <v>6110</v>
      </c>
      <c r="F1895" s="2"/>
      <c r="G1895" s="2" t="s">
        <v>9</v>
      </c>
      <c r="H1895" s="7"/>
      <c r="I1895" s="2" t="s">
        <v>9</v>
      </c>
    </row>
    <row r="1896" spans="1:9" ht="52" x14ac:dyDescent="0.3">
      <c r="A1896" s="1" t="str">
        <f>HYPERLINK("https://ipmanager.doe.gov/IPManager//ExternalLink.aspx?6ibkph2k9yi6F%2B0Vz7YoTo7DPLa3%2F%2FGg4QAv3VV4FYQ%3D","Link")</f>
        <v>Link</v>
      </c>
      <c r="B1896" s="2" t="s">
        <v>6111</v>
      </c>
      <c r="C1896" s="2" t="s">
        <v>6109</v>
      </c>
      <c r="D1896" s="2" t="s">
        <v>2908</v>
      </c>
      <c r="E1896" s="2" t="s">
        <v>6112</v>
      </c>
      <c r="F1896" s="2"/>
      <c r="G1896" s="2" t="s">
        <v>9</v>
      </c>
      <c r="H1896" s="7"/>
      <c r="I1896" s="2" t="s">
        <v>9</v>
      </c>
    </row>
    <row r="1897" spans="1:9" ht="52" x14ac:dyDescent="0.3">
      <c r="A1897" s="1" t="str">
        <f>HYPERLINK("https://ipmanager.doe.gov/IPManager//ExternalLink.aspx?6ibkph2k9yi6F%2B0Vz7YoTvPUg%2FVZPl3i1QfP4Th5Dwk%3D","Link")</f>
        <v>Link</v>
      </c>
      <c r="B1897" s="2" t="s">
        <v>6476</v>
      </c>
      <c r="C1897" s="2" t="s">
        <v>6477</v>
      </c>
      <c r="D1897" s="2" t="s">
        <v>1474</v>
      </c>
      <c r="E1897" s="2" t="s">
        <v>6478</v>
      </c>
      <c r="F1897" s="2" t="s">
        <v>6479</v>
      </c>
      <c r="G1897" s="2" t="s">
        <v>6480</v>
      </c>
      <c r="H1897" s="7"/>
      <c r="I1897" s="2" t="s">
        <v>9</v>
      </c>
    </row>
    <row r="1898" spans="1:9" ht="26" x14ac:dyDescent="0.3">
      <c r="A1898" s="1" t="str">
        <f>HYPERLINK("https://ipmanager.doe.gov/IPManager//ExternalLink.aspx?6ibkph2k9yi6F%2B0Vz7YoTvE8yjoHgvp6CQPQakKif%2Fo%3D","Link")</f>
        <v>Link</v>
      </c>
      <c r="B1898" s="2" t="s">
        <v>6117</v>
      </c>
      <c r="C1898" s="2" t="s">
        <v>6109</v>
      </c>
      <c r="D1898" s="2" t="s">
        <v>1375</v>
      </c>
      <c r="E1898" s="2" t="s">
        <v>6118</v>
      </c>
      <c r="F1898" s="2"/>
      <c r="G1898" s="2" t="s">
        <v>9</v>
      </c>
      <c r="H1898" s="7"/>
      <c r="I1898" s="2" t="s">
        <v>9</v>
      </c>
    </row>
    <row r="1899" spans="1:9" ht="26" x14ac:dyDescent="0.3">
      <c r="A1899" s="1" t="str">
        <f>HYPERLINK("https://ipmanager.doe.gov/IPManager//ExternalLink.aspx?6ibkph2k9yi6F%2B0Vz7YoTnXVN2REjGcWkRAXfnmZmA4%3D","Link")</f>
        <v>Link</v>
      </c>
      <c r="B1899" s="2" t="s">
        <v>6119</v>
      </c>
      <c r="C1899" s="2" t="s">
        <v>6109</v>
      </c>
      <c r="D1899" s="2" t="s">
        <v>1375</v>
      </c>
      <c r="E1899" s="2" t="s">
        <v>6120</v>
      </c>
      <c r="F1899" s="2"/>
      <c r="G1899" s="2" t="s">
        <v>9</v>
      </c>
      <c r="H1899" s="7"/>
      <c r="I1899" s="2" t="s">
        <v>9</v>
      </c>
    </row>
    <row r="1900" spans="1:9" ht="39" x14ac:dyDescent="0.3">
      <c r="A1900" s="1" t="str">
        <f>HYPERLINK("https://ipmanager.doe.gov/IPManager//ExternalLink.aspx?6ibkph2k9yi6F%2B0Vz7YoTnXVN2REjGcWLeEzPepmLKE%3D","Link")</f>
        <v>Link</v>
      </c>
      <c r="B1900" s="2" t="s">
        <v>6121</v>
      </c>
      <c r="C1900" s="2" t="s">
        <v>6109</v>
      </c>
      <c r="D1900" s="2" t="s">
        <v>1375</v>
      </c>
      <c r="E1900" s="2" t="s">
        <v>6122</v>
      </c>
      <c r="F1900" s="2"/>
      <c r="G1900" s="2" t="s">
        <v>9</v>
      </c>
      <c r="H1900" s="7"/>
      <c r="I1900" s="2" t="s">
        <v>9</v>
      </c>
    </row>
    <row r="1901" spans="1:9" ht="65" x14ac:dyDescent="0.3">
      <c r="A1901" s="1" t="str">
        <f>HYPERLINK("https://ipmanager.doe.gov/IPManager//ExternalLink.aspx?6ibkph2k9yi6F%2B0Vz7YoTnXVN2REjGcWFfamklqspv8%3D","Link")</f>
        <v>Link</v>
      </c>
      <c r="B1901" s="2" t="s">
        <v>6123</v>
      </c>
      <c r="C1901" s="2" t="s">
        <v>6124</v>
      </c>
      <c r="D1901" s="2" t="s">
        <v>562</v>
      </c>
      <c r="E1901" s="2" t="s">
        <v>6125</v>
      </c>
      <c r="F1901" s="2"/>
      <c r="G1901" s="2" t="s">
        <v>9</v>
      </c>
      <c r="H1901" s="7"/>
      <c r="I1901" s="2" t="s">
        <v>9</v>
      </c>
    </row>
    <row r="1902" spans="1:9" ht="39" x14ac:dyDescent="0.3">
      <c r="A1902" s="1" t="str">
        <f>HYPERLINK("https://ipmanager.doe.gov/IPManager//ExternalLink.aspx?6ibkph2k9yi6F%2B0Vz7YoTvE8yjoHgvp6CtALvxmqRtc%3D","Link")</f>
        <v>Link</v>
      </c>
      <c r="B1902" s="2" t="s">
        <v>6126</v>
      </c>
      <c r="C1902" s="2" t="s">
        <v>6124</v>
      </c>
      <c r="D1902" s="2" t="s">
        <v>562</v>
      </c>
      <c r="E1902" s="2" t="s">
        <v>6127</v>
      </c>
      <c r="F1902" s="2"/>
      <c r="G1902" s="2" t="s">
        <v>9</v>
      </c>
      <c r="H1902" s="7"/>
      <c r="I1902" s="2" t="s">
        <v>9</v>
      </c>
    </row>
    <row r="1903" spans="1:9" ht="39" x14ac:dyDescent="0.3">
      <c r="A1903" s="1" t="str">
        <f>HYPERLINK("https://ipmanager.doe.gov/IPManager//ExternalLink.aspx?6ibkph2k9yi6F%2B0Vz7YoTvPUg%2FVZPl3ic6XQXmqAndc%3D","Link")</f>
        <v>Link</v>
      </c>
      <c r="B1903" s="2" t="s">
        <v>6128</v>
      </c>
      <c r="C1903" s="2" t="s">
        <v>6124</v>
      </c>
      <c r="D1903" s="2" t="s">
        <v>562</v>
      </c>
      <c r="E1903" s="2" t="s">
        <v>6129</v>
      </c>
      <c r="F1903" s="2"/>
      <c r="G1903" s="2" t="s">
        <v>9</v>
      </c>
      <c r="H1903" s="7"/>
      <c r="I1903" s="2" t="s">
        <v>9</v>
      </c>
    </row>
    <row r="1904" spans="1:9" ht="39" x14ac:dyDescent="0.3">
      <c r="A1904" s="1" t="str">
        <f>HYPERLINK("https://ipmanager.doe.gov/IPManager//ExternalLink.aspx?6ibkph2k9yi6F%2B0Vz7YoTp68px7nSN2gOF6NIeh%2F7Uc%3D","Link")</f>
        <v>Link</v>
      </c>
      <c r="B1904" s="2" t="s">
        <v>6511</v>
      </c>
      <c r="C1904" s="2" t="s">
        <v>6512</v>
      </c>
      <c r="D1904" s="2" t="s">
        <v>1474</v>
      </c>
      <c r="E1904" s="2" t="s">
        <v>6513</v>
      </c>
      <c r="F1904" s="2" t="s">
        <v>6514</v>
      </c>
      <c r="G1904" s="2" t="s">
        <v>2673</v>
      </c>
      <c r="H1904" s="7"/>
      <c r="I1904" s="2" t="s">
        <v>9</v>
      </c>
    </row>
    <row r="1905" spans="1:9" ht="39" x14ac:dyDescent="0.3">
      <c r="A1905" s="1" t="str">
        <f>HYPERLINK("https://ipmanager.doe.gov/IPManager//ExternalLink.aspx?6ibkph2k9yi6F%2B0Vz7YoTo7DPLa3%2F%2FGgNQS0wGmGaII%3D","Link")</f>
        <v>Link</v>
      </c>
      <c r="B1905" s="2" t="s">
        <v>6517</v>
      </c>
      <c r="C1905" s="2" t="s">
        <v>6512</v>
      </c>
      <c r="D1905" s="2" t="s">
        <v>1474</v>
      </c>
      <c r="E1905" s="2" t="s">
        <v>6518</v>
      </c>
      <c r="F1905" s="2" t="s">
        <v>6519</v>
      </c>
      <c r="G1905" s="2" t="s">
        <v>6520</v>
      </c>
      <c r="H1905" s="7"/>
      <c r="I1905" s="2" t="s">
        <v>9</v>
      </c>
    </row>
    <row r="1906" spans="1:9" ht="39" x14ac:dyDescent="0.3">
      <c r="A1906" s="1" t="str">
        <f>HYPERLINK("https://ipmanager.doe.gov/IPManager//ExternalLink.aspx?6ibkph2k9yi6F%2B0Vz7YoTnXVN2REjGcWdKnNkMr3uLI%3D","Link")</f>
        <v>Link</v>
      </c>
      <c r="B1906" s="2" t="s">
        <v>6521</v>
      </c>
      <c r="C1906" s="2" t="s">
        <v>6512</v>
      </c>
      <c r="D1906" s="2" t="s">
        <v>1474</v>
      </c>
      <c r="E1906" s="2" t="s">
        <v>6518</v>
      </c>
      <c r="F1906" s="2" t="s">
        <v>6514</v>
      </c>
      <c r="G1906" s="2" t="s">
        <v>2673</v>
      </c>
      <c r="H1906" s="7"/>
      <c r="I1906" s="2" t="s">
        <v>9</v>
      </c>
    </row>
    <row r="1907" spans="1:9" ht="65" x14ac:dyDescent="0.3">
      <c r="A1907" s="1" t="str">
        <f>HYPERLINK("https://ipmanager.doe.gov/IPManager//ExternalLink.aspx?6ibkph2k9yi6F%2B0Vz7YoTo7DPLa3%2F%2FGg%2FvhdMmoMdAU%3D","Link")</f>
        <v>Link</v>
      </c>
      <c r="B1907" s="2" t="s">
        <v>6138</v>
      </c>
      <c r="C1907" s="2" t="s">
        <v>6124</v>
      </c>
      <c r="D1907" s="2" t="s">
        <v>562</v>
      </c>
      <c r="E1907" s="2" t="s">
        <v>6139</v>
      </c>
      <c r="F1907" s="2"/>
      <c r="G1907" s="2" t="s">
        <v>9</v>
      </c>
      <c r="H1907" s="7"/>
      <c r="I1907" s="2" t="s">
        <v>9</v>
      </c>
    </row>
    <row r="1908" spans="1:9" ht="39" x14ac:dyDescent="0.3">
      <c r="A1908" s="1" t="str">
        <f>HYPERLINK("https://ipmanager.doe.gov/IPManager//ExternalLink.aspx?6ibkph2k9yi6F%2B0Vz7YoTo7DPLa3%2F%2FGgSSzKCp5o3nA%3D","Link")</f>
        <v>Link</v>
      </c>
      <c r="B1908" s="2" t="s">
        <v>6140</v>
      </c>
      <c r="C1908" s="2" t="s">
        <v>6124</v>
      </c>
      <c r="D1908" s="2" t="s">
        <v>562</v>
      </c>
      <c r="E1908" s="2" t="s">
        <v>6141</v>
      </c>
      <c r="F1908" s="2"/>
      <c r="G1908" s="2" t="s">
        <v>9</v>
      </c>
      <c r="H1908" s="7"/>
      <c r="I1908" s="2" t="s">
        <v>9</v>
      </c>
    </row>
    <row r="1909" spans="1:9" ht="39" x14ac:dyDescent="0.3">
      <c r="A1909" s="1" t="str">
        <f>HYPERLINK("https://ipmanager.doe.gov/IPManager//ExternalLink.aspx?6ibkph2k9yi6F%2B0Vz7YoTvPUg%2FVZPl3iEOK12mWlUnA%3D","Link")</f>
        <v>Link</v>
      </c>
      <c r="B1909" s="2" t="s">
        <v>6142</v>
      </c>
      <c r="C1909" s="2" t="s">
        <v>6124</v>
      </c>
      <c r="D1909" s="2" t="s">
        <v>562</v>
      </c>
      <c r="E1909" s="2" t="s">
        <v>6143</v>
      </c>
      <c r="F1909" s="2"/>
      <c r="G1909" s="2" t="s">
        <v>9</v>
      </c>
      <c r="H1909" s="7"/>
      <c r="I1909" s="2" t="s">
        <v>9</v>
      </c>
    </row>
    <row r="1910" spans="1:9" ht="39" x14ac:dyDescent="0.3">
      <c r="A1910" s="1" t="str">
        <f>HYPERLINK("https://ipmanager.doe.gov/IPManager//ExternalLink.aspx?6ibkph2k9yi6F%2B0Vz7YoTq6RR9BlGHHiORD7OalB7iw%3D","Link")</f>
        <v>Link</v>
      </c>
      <c r="B1910" s="2" t="s">
        <v>6522</v>
      </c>
      <c r="C1910" s="2" t="s">
        <v>6512</v>
      </c>
      <c r="D1910" s="2" t="s">
        <v>1474</v>
      </c>
      <c r="E1910" s="2" t="s">
        <v>6523</v>
      </c>
      <c r="F1910" s="2" t="s">
        <v>6524</v>
      </c>
      <c r="G1910" s="2" t="s">
        <v>6525</v>
      </c>
      <c r="H1910" s="7"/>
      <c r="I1910" s="2" t="s">
        <v>9</v>
      </c>
    </row>
    <row r="1911" spans="1:9" ht="52" x14ac:dyDescent="0.3">
      <c r="A1911" s="1" t="str">
        <f>HYPERLINK("https://ipmanager.doe.gov/IPManager//ExternalLink.aspx?6ibkph2k9yi6F%2B0Vz7YoTo7DPLa3%2F%2FGgY02HTzEF3nw%3D","Link")</f>
        <v>Link</v>
      </c>
      <c r="B1911" s="2" t="s">
        <v>6148</v>
      </c>
      <c r="C1911" s="2" t="s">
        <v>6124</v>
      </c>
      <c r="D1911" s="2" t="s">
        <v>562</v>
      </c>
      <c r="E1911" s="2" t="s">
        <v>6149</v>
      </c>
      <c r="F1911" s="2"/>
      <c r="G1911" s="2" t="s">
        <v>9</v>
      </c>
      <c r="H1911" s="7"/>
      <c r="I1911" s="2" t="s">
        <v>9</v>
      </c>
    </row>
    <row r="1912" spans="1:9" ht="39" x14ac:dyDescent="0.3">
      <c r="A1912" s="1" t="str">
        <f>HYPERLINK("https://ipmanager.doe.gov/IPManager//ExternalLink.aspx?6ibkph2k9yi6F%2B0Vz7YoTnXVN2REjGcW2Uhfnl4nv0w%3D","Link")</f>
        <v>Link</v>
      </c>
      <c r="B1912" s="2" t="s">
        <v>6511</v>
      </c>
      <c r="C1912" s="2" t="s">
        <v>6512</v>
      </c>
      <c r="D1912" s="2" t="s">
        <v>1474</v>
      </c>
      <c r="E1912" s="2" t="s">
        <v>6518</v>
      </c>
      <c r="F1912" s="2" t="s">
        <v>6514</v>
      </c>
      <c r="G1912" s="2" t="s">
        <v>2673</v>
      </c>
      <c r="H1912" s="7"/>
      <c r="I1912" s="2" t="s">
        <v>9</v>
      </c>
    </row>
    <row r="1913" spans="1:9" ht="26" x14ac:dyDescent="0.3">
      <c r="A1913" s="1" t="str">
        <f>HYPERLINK("https://ipmanager.doe.gov/IPManager//ExternalLink.aspx?6ibkph2k9yi6F%2B0Vz7YoTp68px7nSN2gKDjkG3%2BKV7w%3D","Link")</f>
        <v>Link</v>
      </c>
      <c r="B1913" s="2" t="s">
        <v>6155</v>
      </c>
      <c r="C1913" s="2" t="s">
        <v>6151</v>
      </c>
      <c r="D1913" s="2" t="s">
        <v>4275</v>
      </c>
      <c r="E1913" s="2" t="s">
        <v>6156</v>
      </c>
      <c r="F1913" s="2"/>
      <c r="G1913" s="2" t="s">
        <v>9</v>
      </c>
      <c r="H1913" s="7"/>
      <c r="I1913" s="2" t="s">
        <v>9</v>
      </c>
    </row>
    <row r="1914" spans="1:9" ht="26" x14ac:dyDescent="0.3">
      <c r="A1914" s="1" t="str">
        <f>HYPERLINK("https://ipmanager.doe.gov/IPManager//ExternalLink.aspx?6ibkph2k9yi6F%2B0Vz7YoTnXVN2REjGcWQpP9ZWBiwBw%3D","Link")</f>
        <v>Link</v>
      </c>
      <c r="B1914" s="2" t="s">
        <v>6157</v>
      </c>
      <c r="C1914" s="2" t="s">
        <v>6151</v>
      </c>
      <c r="D1914" s="2" t="s">
        <v>4275</v>
      </c>
      <c r="E1914" s="2" t="s">
        <v>6158</v>
      </c>
      <c r="F1914" s="2"/>
      <c r="G1914" s="2" t="s">
        <v>9</v>
      </c>
      <c r="H1914" s="7"/>
      <c r="I1914" s="2" t="s">
        <v>9</v>
      </c>
    </row>
    <row r="1915" spans="1:9" ht="39" x14ac:dyDescent="0.3">
      <c r="A1915" s="1" t="str">
        <f>HYPERLINK("https://ipmanager.doe.gov/IPManager//ExternalLink.aspx?6ibkph2k9yi6F%2B0Vz7YoTp68px7nSN2g%2FioabGh%2BDjs%3D","Link")</f>
        <v>Link</v>
      </c>
      <c r="B1915" s="2" t="s">
        <v>6159</v>
      </c>
      <c r="C1915" s="2" t="s">
        <v>6160</v>
      </c>
      <c r="D1915" s="2" t="s">
        <v>4248</v>
      </c>
      <c r="E1915" s="2" t="s">
        <v>6161</v>
      </c>
      <c r="F1915" s="2"/>
      <c r="G1915" s="2" t="s">
        <v>9</v>
      </c>
      <c r="H1915" s="7"/>
      <c r="I1915" s="2" t="s">
        <v>9</v>
      </c>
    </row>
    <row r="1916" spans="1:9" x14ac:dyDescent="0.3">
      <c r="A1916" s="1" t="str">
        <f>HYPERLINK("https://ipmanager.doe.gov/IPManager//ExternalLink.aspx?6ibkph2k9yi6F%2B0Vz7YoTp68px7nSN2gvxPEnYJOnZk%3D","Link")</f>
        <v>Link</v>
      </c>
      <c r="B1916" s="2" t="s">
        <v>6162</v>
      </c>
      <c r="C1916" s="2" t="s">
        <v>6160</v>
      </c>
      <c r="D1916" s="2" t="s">
        <v>4248</v>
      </c>
      <c r="E1916" s="2" t="s">
        <v>6163</v>
      </c>
      <c r="F1916" s="2"/>
      <c r="G1916" s="2" t="s">
        <v>9</v>
      </c>
      <c r="H1916" s="7"/>
      <c r="I1916" s="2" t="s">
        <v>9</v>
      </c>
    </row>
    <row r="1917" spans="1:9" ht="39" x14ac:dyDescent="0.3">
      <c r="A1917" s="1" t="str">
        <f>HYPERLINK("https://ipmanager.doe.gov/IPManager//ExternalLink.aspx?6ibkph2k9yi6F%2B0Vz7YoTp68px7nSN2ga7ZnqeYwSfo%3D","Link")</f>
        <v>Link</v>
      </c>
      <c r="B1917" s="2" t="s">
        <v>6706</v>
      </c>
      <c r="C1917" s="2" t="s">
        <v>6700</v>
      </c>
      <c r="D1917" s="2" t="s">
        <v>1474</v>
      </c>
      <c r="E1917" s="2" t="s">
        <v>6707</v>
      </c>
      <c r="F1917" s="2" t="s">
        <v>6708</v>
      </c>
      <c r="G1917" s="2" t="s">
        <v>6709</v>
      </c>
      <c r="H1917" s="7"/>
      <c r="I1917" s="2" t="s">
        <v>9</v>
      </c>
    </row>
    <row r="1918" spans="1:9" ht="39" x14ac:dyDescent="0.3">
      <c r="A1918" s="1" t="str">
        <f>HYPERLINK("https://ipmanager.doe.gov/IPManager//ExternalLink.aspx?6ibkph2k9yi6F%2B0Vz7YoTvE8yjoHgvp6Xc2si7Uon04%3D","Link")</f>
        <v>Link</v>
      </c>
      <c r="B1918" s="2" t="s">
        <v>6170</v>
      </c>
      <c r="C1918" s="2" t="s">
        <v>6165</v>
      </c>
      <c r="D1918" s="2" t="s">
        <v>6171</v>
      </c>
      <c r="E1918" s="2" t="s">
        <v>6172</v>
      </c>
      <c r="F1918" s="2"/>
      <c r="G1918" s="2" t="s">
        <v>9</v>
      </c>
      <c r="H1918" s="7"/>
      <c r="I1918" s="2" t="s">
        <v>9</v>
      </c>
    </row>
    <row r="1919" spans="1:9" ht="26" x14ac:dyDescent="0.3">
      <c r="A1919" s="1" t="str">
        <f>HYPERLINK("https://ipmanager.doe.gov/IPManager//ExternalLink.aspx?6ibkph2k9yi6F%2B0Vz7YoTvE8yjoHgvp6kIdgFJcf1gY%3D","Link")</f>
        <v>Link</v>
      </c>
      <c r="B1919" s="2" t="s">
        <v>6173</v>
      </c>
      <c r="C1919" s="2" t="s">
        <v>6174</v>
      </c>
      <c r="D1919" s="2" t="s">
        <v>6175</v>
      </c>
      <c r="E1919" s="2" t="s">
        <v>6176</v>
      </c>
      <c r="F1919" s="2"/>
      <c r="G1919" s="2" t="s">
        <v>9</v>
      </c>
      <c r="H1919" s="7"/>
      <c r="I1919" s="2" t="s">
        <v>9</v>
      </c>
    </row>
    <row r="1920" spans="1:9" ht="26" x14ac:dyDescent="0.3">
      <c r="A1920" s="1" t="str">
        <f>HYPERLINK("https://ipmanager.doe.gov/IPManager//ExternalLink.aspx?6ibkph2k9yi6F%2B0Vz7YoTq6RR9BlGHHijOQtRae33pE%3D","Link")</f>
        <v>Link</v>
      </c>
      <c r="B1920" s="2" t="s">
        <v>6177</v>
      </c>
      <c r="C1920" s="2" t="s">
        <v>6174</v>
      </c>
      <c r="D1920" s="2" t="s">
        <v>6175</v>
      </c>
      <c r="E1920" s="2" t="s">
        <v>6178</v>
      </c>
      <c r="F1920" s="2"/>
      <c r="G1920" s="2" t="s">
        <v>9</v>
      </c>
      <c r="H1920" s="7"/>
      <c r="I1920" s="2" t="s">
        <v>9</v>
      </c>
    </row>
    <row r="1921" spans="1:9" ht="65" x14ac:dyDescent="0.3">
      <c r="A1921" s="1" t="str">
        <f>HYPERLINK("https://ipmanager.doe.gov/IPManager//ExternalLink.aspx?6ibkph2k9yi6F%2B0Vz7YoTp68px7nSN2g6x68WvXV6ZE%3D","Link")</f>
        <v>Link</v>
      </c>
      <c r="B1921" s="2" t="s">
        <v>6180</v>
      </c>
      <c r="C1921" s="2" t="s">
        <v>6181</v>
      </c>
      <c r="D1921" s="2" t="s">
        <v>770</v>
      </c>
      <c r="E1921" s="2" t="s">
        <v>6182</v>
      </c>
      <c r="F1921" s="2"/>
      <c r="G1921" s="2" t="s">
        <v>9</v>
      </c>
      <c r="H1921" s="7"/>
      <c r="I1921" s="2" t="s">
        <v>9</v>
      </c>
    </row>
    <row r="1922" spans="1:9" ht="52" x14ac:dyDescent="0.3">
      <c r="A1922" s="1" t="str">
        <f>HYPERLINK("https://ipmanager.doe.gov/IPManager//ExternalLink.aspx?6ibkph2k9yi6F%2B0Vz7YoTvE8yjoHgvp6ublugInadwQ%3D","Link")</f>
        <v>Link</v>
      </c>
      <c r="B1922" s="2" t="s">
        <v>6183</v>
      </c>
      <c r="C1922" s="2" t="s">
        <v>6184</v>
      </c>
      <c r="D1922" s="2" t="s">
        <v>3527</v>
      </c>
      <c r="E1922" s="2" t="s">
        <v>6185</v>
      </c>
      <c r="F1922" s="2"/>
      <c r="G1922" s="2" t="s">
        <v>9</v>
      </c>
      <c r="H1922" s="7"/>
      <c r="I1922" s="2" t="s">
        <v>9</v>
      </c>
    </row>
    <row r="1923" spans="1:9" ht="26" x14ac:dyDescent="0.3">
      <c r="A1923" s="1" t="str">
        <f>HYPERLINK("https://ipmanager.doe.gov/IPManager//ExternalLink.aspx?6ibkph2k9yi6F%2B0Vz7YoTp68px7nSN2g5RK7iFUw8EQ%3D","Link")</f>
        <v>Link</v>
      </c>
      <c r="B1923" s="2" t="s">
        <v>6186</v>
      </c>
      <c r="C1923" s="2" t="s">
        <v>6184</v>
      </c>
      <c r="D1923" s="2" t="s">
        <v>3527</v>
      </c>
      <c r="E1923" s="2" t="s">
        <v>6187</v>
      </c>
      <c r="F1923" s="2"/>
      <c r="G1923" s="2" t="s">
        <v>9</v>
      </c>
      <c r="H1923" s="7"/>
      <c r="I1923" s="2" t="s">
        <v>9</v>
      </c>
    </row>
    <row r="1924" spans="1:9" ht="26" x14ac:dyDescent="0.3">
      <c r="A1924" s="1" t="str">
        <f>HYPERLINK("https://ipmanager.doe.gov/IPManager//ExternalLink.aspx?6ibkph2k9yi6F%2B0Vz7YoTvPUg%2FVZPl3igOzhma%2Byld4%3D","Link")</f>
        <v>Link</v>
      </c>
      <c r="B1924" s="2" t="s">
        <v>6188</v>
      </c>
      <c r="C1924" s="2" t="s">
        <v>6184</v>
      </c>
      <c r="D1924" s="2" t="s">
        <v>3527</v>
      </c>
      <c r="E1924" s="2" t="s">
        <v>6189</v>
      </c>
      <c r="F1924" s="2"/>
      <c r="G1924" s="2" t="s">
        <v>9</v>
      </c>
      <c r="H1924" s="7"/>
      <c r="I1924" s="2" t="s">
        <v>9</v>
      </c>
    </row>
    <row r="1925" spans="1:9" ht="26" x14ac:dyDescent="0.3">
      <c r="A1925" s="1" t="str">
        <f>HYPERLINK("https://ipmanager.doe.gov/IPManager//ExternalLink.aspx?6ibkph2k9yi6F%2B0Vz7YoTvPUg%2FVZPl3iKHn2O0LCHv8%3D","Link")</f>
        <v>Link</v>
      </c>
      <c r="B1925" s="2" t="s">
        <v>6190</v>
      </c>
      <c r="C1925" s="2" t="s">
        <v>6184</v>
      </c>
      <c r="D1925" s="2" t="s">
        <v>3527</v>
      </c>
      <c r="E1925" s="2" t="s">
        <v>6191</v>
      </c>
      <c r="F1925" s="2"/>
      <c r="G1925" s="2" t="s">
        <v>9</v>
      </c>
      <c r="H1925" s="7"/>
      <c r="I1925" s="2" t="s">
        <v>9</v>
      </c>
    </row>
    <row r="1926" spans="1:9" ht="26" x14ac:dyDescent="0.3">
      <c r="A1926" s="1" t="str">
        <f>HYPERLINK("https://ipmanager.doe.gov/IPManager//ExternalLink.aspx?6ibkph2k9yi6F%2B0Vz7YoTvPUg%2FVZPl3iiEww%2Fx2oZyY%3D","Link")</f>
        <v>Link</v>
      </c>
      <c r="B1926" s="2" t="s">
        <v>6192</v>
      </c>
      <c r="C1926" s="2" t="s">
        <v>6184</v>
      </c>
      <c r="D1926" s="2" t="s">
        <v>3527</v>
      </c>
      <c r="E1926" s="2" t="s">
        <v>6193</v>
      </c>
      <c r="F1926" s="2"/>
      <c r="G1926" s="2" t="s">
        <v>9</v>
      </c>
      <c r="H1926" s="7"/>
      <c r="I1926" s="2" t="s">
        <v>9</v>
      </c>
    </row>
    <row r="1927" spans="1:9" ht="26" x14ac:dyDescent="0.3">
      <c r="A1927" s="1" t="str">
        <f>HYPERLINK("https://ipmanager.doe.gov/IPManager//ExternalLink.aspx?6ibkph2k9yi6F%2B0Vz7YoTvPUg%2FVZPl3ieXCwJPCvuiM%3D","Link")</f>
        <v>Link</v>
      </c>
      <c r="B1927" s="2" t="s">
        <v>6194</v>
      </c>
      <c r="C1927" s="2" t="s">
        <v>6195</v>
      </c>
      <c r="D1927" s="2" t="s">
        <v>1901</v>
      </c>
      <c r="E1927" s="2" t="s">
        <v>6196</v>
      </c>
      <c r="F1927" s="2"/>
      <c r="G1927" s="2" t="s">
        <v>9</v>
      </c>
      <c r="H1927" s="7"/>
      <c r="I1927" s="2" t="s">
        <v>9</v>
      </c>
    </row>
    <row r="1928" spans="1:9" ht="65" x14ac:dyDescent="0.3">
      <c r="A1928" s="1" t="str">
        <f>HYPERLINK("https://ipmanager.doe.gov/IPManager//ExternalLink.aspx?6ibkph2k9yi6F%2B0Vz7YoTvPUg%2FVZPl3iHGA2Wqdp1j8%3D","Link")</f>
        <v>Link</v>
      </c>
      <c r="B1928" s="2" t="s">
        <v>6198</v>
      </c>
      <c r="C1928" s="2" t="s">
        <v>6199</v>
      </c>
      <c r="D1928" s="2" t="s">
        <v>6200</v>
      </c>
      <c r="E1928" s="2" t="s">
        <v>6201</v>
      </c>
      <c r="F1928" s="2" t="s">
        <v>7659</v>
      </c>
      <c r="G1928" s="2" t="s">
        <v>4052</v>
      </c>
      <c r="H1928" s="7" t="s">
        <v>6202</v>
      </c>
      <c r="I1928" s="2" t="s">
        <v>2419</v>
      </c>
    </row>
    <row r="1929" spans="1:9" ht="78" x14ac:dyDescent="0.3">
      <c r="A1929" s="1" t="str">
        <f>HYPERLINK("https://ipmanager.doe.gov/IPManager//ExternalLink.aspx?6ibkph2k9yi6F%2B0Vz7YoTkqAgjuWMa9QA2ou4%2B1YvJg%3D","Link")</f>
        <v>Link</v>
      </c>
      <c r="B1929" s="2" t="s">
        <v>6710</v>
      </c>
      <c r="C1929" s="2" t="s">
        <v>6700</v>
      </c>
      <c r="D1929" s="2" t="s">
        <v>1474</v>
      </c>
      <c r="E1929" s="2" t="s">
        <v>6711</v>
      </c>
      <c r="F1929" s="2" t="s">
        <v>6712</v>
      </c>
      <c r="G1929" s="2" t="s">
        <v>6709</v>
      </c>
      <c r="H1929" s="7"/>
      <c r="I1929" s="2" t="s">
        <v>9</v>
      </c>
    </row>
    <row r="1930" spans="1:9" ht="52" x14ac:dyDescent="0.3">
      <c r="A1930" s="1" t="str">
        <f>HYPERLINK("https://ipmanager.doe.gov/IPManager//ExternalLink.aspx?6ibkph2k9yi6F%2B0Vz7YoTp68px7nSN2gMLjusUPJcG8%3D","Link")</f>
        <v>Link</v>
      </c>
      <c r="B1930" s="2" t="s">
        <v>6713</v>
      </c>
      <c r="C1930" s="2" t="s">
        <v>6700</v>
      </c>
      <c r="D1930" s="2" t="s">
        <v>1474</v>
      </c>
      <c r="E1930" s="2" t="s">
        <v>6714</v>
      </c>
      <c r="F1930" s="2" t="s">
        <v>6715</v>
      </c>
      <c r="G1930" s="2" t="s">
        <v>6716</v>
      </c>
      <c r="H1930" s="7"/>
      <c r="I1930" s="2" t="s">
        <v>9</v>
      </c>
    </row>
    <row r="1931" spans="1:9" ht="52" x14ac:dyDescent="0.3">
      <c r="A1931" s="1" t="str">
        <f>HYPERLINK("https://ipmanager.doe.gov/IPManager//ExternalLink.aspx?6ibkph2k9yi6F%2B0Vz7YoTp68px7nSN2gEGlLTDOm7ZI%3D","Link")</f>
        <v>Link</v>
      </c>
      <c r="B1931" s="2" t="s">
        <v>6934</v>
      </c>
      <c r="C1931" s="2" t="s">
        <v>6935</v>
      </c>
      <c r="D1931" s="2" t="s">
        <v>1474</v>
      </c>
      <c r="E1931" s="2" t="s">
        <v>6936</v>
      </c>
      <c r="F1931" s="2" t="s">
        <v>6937</v>
      </c>
      <c r="G1931" s="2" t="s">
        <v>6716</v>
      </c>
      <c r="H1931" s="7"/>
      <c r="I1931" s="2" t="s">
        <v>9</v>
      </c>
    </row>
    <row r="1932" spans="1:9" ht="39" x14ac:dyDescent="0.3">
      <c r="A1932" s="1" t="str">
        <f>HYPERLINK("https://ipmanager.doe.gov/IPManager//ExternalLink.aspx?6ibkph2k9yi6F%2B0Vz7YoTvPUg%2FVZPl3iW0yl4vS8fS0%3D","Link")</f>
        <v>Link</v>
      </c>
      <c r="B1932" s="2" t="s">
        <v>6940</v>
      </c>
      <c r="C1932" s="2" t="s">
        <v>6935</v>
      </c>
      <c r="D1932" s="2" t="s">
        <v>1474</v>
      </c>
      <c r="E1932" s="2" t="s">
        <v>6941</v>
      </c>
      <c r="F1932" s="2" t="s">
        <v>6942</v>
      </c>
      <c r="G1932" s="2" t="s">
        <v>6716</v>
      </c>
      <c r="H1932" s="7"/>
      <c r="I1932" s="2" t="s">
        <v>9</v>
      </c>
    </row>
    <row r="1933" spans="1:9" ht="26" x14ac:dyDescent="0.3">
      <c r="A1933" s="1" t="str">
        <f>HYPERLINK("https://ipmanager.doe.gov/IPManager//ExternalLink.aspx?6ibkph2k9yi6F%2B0Vz7YoThEBhkR3uHVrG6tPy4KBHmc%3D","Link")</f>
        <v>Link</v>
      </c>
      <c r="B1933" s="2" t="s">
        <v>7097</v>
      </c>
      <c r="C1933" s="2" t="s">
        <v>7098</v>
      </c>
      <c r="D1933" s="2" t="s">
        <v>1474</v>
      </c>
      <c r="E1933" s="2" t="s">
        <v>7099</v>
      </c>
      <c r="F1933" s="2" t="s">
        <v>7100</v>
      </c>
      <c r="G1933" s="2" t="s">
        <v>7101</v>
      </c>
      <c r="H1933" s="7"/>
      <c r="I1933" s="2" t="s">
        <v>9</v>
      </c>
    </row>
    <row r="1934" spans="1:9" ht="26" x14ac:dyDescent="0.3">
      <c r="A1934" s="1" t="str">
        <f>HYPERLINK("https://ipmanager.doe.gov/IPManager//ExternalLink.aspx?6ibkph2k9yi6F%2B0Vz7YoTsTAnuFk5EoAYOz44GD%2BC7U%3D","Link")</f>
        <v>Link</v>
      </c>
      <c r="B1934" s="2" t="s">
        <v>7216</v>
      </c>
      <c r="C1934" s="2" t="s">
        <v>7217</v>
      </c>
      <c r="D1934" s="2" t="s">
        <v>1474</v>
      </c>
      <c r="E1934" s="2" t="s">
        <v>7218</v>
      </c>
      <c r="F1934" s="2" t="s">
        <v>7219</v>
      </c>
      <c r="G1934" s="2" t="s">
        <v>7220</v>
      </c>
      <c r="H1934" s="7"/>
      <c r="I1934" s="2" t="s">
        <v>9</v>
      </c>
    </row>
    <row r="1935" spans="1:9" ht="65" x14ac:dyDescent="0.3">
      <c r="A1935" s="1" t="str">
        <f>HYPERLINK("https://ipmanager.doe.gov/IPManager//ExternalLink.aspx?6ibkph2k9yi6F%2B0Vz7YoTjnDGhmGHGI72wfYmdsVliM%3D","Link")</f>
        <v>Link</v>
      </c>
      <c r="B1935" s="2" t="s">
        <v>93</v>
      </c>
      <c r="C1935" s="2" t="s">
        <v>94</v>
      </c>
      <c r="D1935" s="2" t="s">
        <v>95</v>
      </c>
      <c r="E1935" s="2" t="s">
        <v>96</v>
      </c>
      <c r="F1935" s="2" t="s">
        <v>97</v>
      </c>
      <c r="G1935" s="2" t="s">
        <v>98</v>
      </c>
      <c r="H1935" s="7"/>
      <c r="I1935" s="2" t="s">
        <v>9</v>
      </c>
    </row>
    <row r="1936" spans="1:9" ht="65" x14ac:dyDescent="0.3">
      <c r="A1936" s="1" t="str">
        <f>HYPERLINK("https://ipmanager.doe.gov/IPManager//ExternalLink.aspx?6ibkph2k9yi6F%2B0Vz7YoTipZ798QK%2BbPEi2iNwUAIYU%3D","Link")</f>
        <v>Link</v>
      </c>
      <c r="B1936" s="2" t="s">
        <v>110</v>
      </c>
      <c r="C1936" s="2" t="s">
        <v>94</v>
      </c>
      <c r="D1936" s="2" t="s">
        <v>95</v>
      </c>
      <c r="E1936" s="2" t="s">
        <v>111</v>
      </c>
      <c r="F1936" s="2" t="s">
        <v>112</v>
      </c>
      <c r="G1936" s="2" t="s">
        <v>113</v>
      </c>
      <c r="H1936" s="7"/>
      <c r="I1936" s="2" t="s">
        <v>9</v>
      </c>
    </row>
    <row r="1937" spans="1:9" ht="65" x14ac:dyDescent="0.3">
      <c r="A1937" s="1" t="str">
        <f>HYPERLINK("https://ipmanager.doe.gov/IPManager//ExternalLink.aspx?6ibkph2k9yi6F%2B0Vz7YoTo7DPLa3%2F%2FGgIvwmPFzwV%2Bc%3D","Link")</f>
        <v>Link</v>
      </c>
      <c r="B1937" s="2" t="s">
        <v>6230</v>
      </c>
      <c r="C1937" s="2" t="s">
        <v>6226</v>
      </c>
      <c r="D1937" s="2" t="s">
        <v>4169</v>
      </c>
      <c r="E1937" s="2" t="s">
        <v>6231</v>
      </c>
      <c r="F1937" s="2"/>
      <c r="G1937" s="2" t="s">
        <v>9</v>
      </c>
      <c r="H1937" s="7"/>
      <c r="I1937" s="2" t="s">
        <v>9</v>
      </c>
    </row>
    <row r="1938" spans="1:9" ht="39" x14ac:dyDescent="0.3">
      <c r="A1938" s="1" t="str">
        <f>HYPERLINK("https://ipmanager.doe.gov/IPManager//ExternalLink.aspx?6ibkph2k9yi6F%2B0Vz7YoTo7DPLa3%2F%2FGgFujokXT9gjc%3D","Link")</f>
        <v>Link</v>
      </c>
      <c r="B1938" s="2" t="s">
        <v>5119</v>
      </c>
      <c r="C1938" s="2" t="s">
        <v>5113</v>
      </c>
      <c r="D1938" s="2" t="s">
        <v>95</v>
      </c>
      <c r="E1938" s="2" t="s">
        <v>5120</v>
      </c>
      <c r="F1938" s="2" t="s">
        <v>5121</v>
      </c>
      <c r="G1938" s="2" t="s">
        <v>5122</v>
      </c>
      <c r="H1938" s="7"/>
      <c r="I1938" s="2" t="s">
        <v>9</v>
      </c>
    </row>
    <row r="1939" spans="1:9" ht="26" x14ac:dyDescent="0.3">
      <c r="A1939" s="1" t="str">
        <f>HYPERLINK("https://ipmanager.doe.gov/IPManager//ExternalLink.aspx?6ibkph2k9yi6F%2B0Vz7YoTgZwfmYxrNyKl0BgIR%2BBLdI%3D","Link")</f>
        <v>Link</v>
      </c>
      <c r="B1939" s="2" t="s">
        <v>5130</v>
      </c>
      <c r="C1939" s="2" t="s">
        <v>5113</v>
      </c>
      <c r="D1939" s="2" t="s">
        <v>95</v>
      </c>
      <c r="E1939" s="2" t="s">
        <v>5131</v>
      </c>
      <c r="F1939" s="2" t="s">
        <v>5132</v>
      </c>
      <c r="G1939" s="2" t="s">
        <v>5133</v>
      </c>
      <c r="H1939" s="7"/>
      <c r="I1939" s="2" t="s">
        <v>9</v>
      </c>
    </row>
    <row r="1940" spans="1:9" ht="39" x14ac:dyDescent="0.3">
      <c r="A1940" s="1" t="str">
        <f>HYPERLINK("https://ipmanager.doe.gov/IPManager//ExternalLink.aspx?6ibkph2k9yi6F%2B0Vz7YoTnXVN2REjGcWQ8l3WxFn5Bo%3D","Link")</f>
        <v>Link</v>
      </c>
      <c r="B1940" s="2" t="s">
        <v>6238</v>
      </c>
      <c r="C1940" s="2" t="s">
        <v>6239</v>
      </c>
      <c r="D1940" s="2" t="s">
        <v>1891</v>
      </c>
      <c r="E1940" s="2" t="s">
        <v>6240</v>
      </c>
      <c r="F1940" s="2"/>
      <c r="G1940" s="2" t="s">
        <v>9</v>
      </c>
      <c r="H1940" s="7"/>
      <c r="I1940" s="2" t="s">
        <v>9</v>
      </c>
    </row>
    <row r="1941" spans="1:9" ht="26" x14ac:dyDescent="0.3">
      <c r="A1941" s="1" t="str">
        <f>HYPERLINK("https://ipmanager.doe.gov/IPManager//ExternalLink.aspx?6ibkph2k9yi6F%2B0Vz7YoTq6RR9BlGHHiZdLEfJtEGu8%3D","Link")</f>
        <v>Link</v>
      </c>
      <c r="B1941" s="2" t="s">
        <v>6241</v>
      </c>
      <c r="C1941" s="2" t="s">
        <v>6239</v>
      </c>
      <c r="D1941" s="2" t="s">
        <v>1891</v>
      </c>
      <c r="E1941" s="2" t="s">
        <v>6242</v>
      </c>
      <c r="F1941" s="2"/>
      <c r="G1941" s="2" t="s">
        <v>9</v>
      </c>
      <c r="H1941" s="7"/>
      <c r="I1941" s="2" t="s">
        <v>9</v>
      </c>
    </row>
    <row r="1942" spans="1:9" ht="52" x14ac:dyDescent="0.3">
      <c r="A1942" s="1" t="str">
        <f>HYPERLINK("https://ipmanager.doe.gov/IPManager//ExternalLink.aspx?6ibkph2k9yi6F%2B0Vz7YoTvPUg%2FVZPl3iIKdlxzhUOjI%3D","Link")</f>
        <v>Link</v>
      </c>
      <c r="B1942" s="2" t="s">
        <v>6243</v>
      </c>
      <c r="C1942" s="2" t="s">
        <v>6244</v>
      </c>
      <c r="D1942" s="2" t="s">
        <v>348</v>
      </c>
      <c r="E1942" s="2" t="s">
        <v>6245</v>
      </c>
      <c r="F1942" s="2"/>
      <c r="G1942" s="2" t="s">
        <v>9</v>
      </c>
      <c r="H1942" s="7"/>
      <c r="I1942" s="2" t="s">
        <v>9</v>
      </c>
    </row>
    <row r="1943" spans="1:9" ht="26" x14ac:dyDescent="0.3">
      <c r="A1943" s="1" t="str">
        <f>HYPERLINK("https://ipmanager.doe.gov/IPManager//ExternalLink.aspx?6ibkph2k9yi6F%2B0Vz7YoTipZ798QK%2BbPNs4QHQm3Gx8%3D","Link")</f>
        <v>Link</v>
      </c>
      <c r="B1943" s="2" t="s">
        <v>5134</v>
      </c>
      <c r="C1943" s="2" t="s">
        <v>5113</v>
      </c>
      <c r="D1943" s="2" t="s">
        <v>95</v>
      </c>
      <c r="E1943" s="2" t="s">
        <v>5131</v>
      </c>
      <c r="F1943" s="2" t="s">
        <v>5135</v>
      </c>
      <c r="G1943" s="2" t="s">
        <v>3666</v>
      </c>
      <c r="H1943" s="7"/>
      <c r="I1943" s="2" t="s">
        <v>9</v>
      </c>
    </row>
    <row r="1944" spans="1:9" ht="26" x14ac:dyDescent="0.3">
      <c r="A1944" s="1" t="str">
        <f>HYPERLINK("https://ipmanager.doe.gov/IPManager//ExternalLink.aspx?6ibkph2k9yi6F%2B0Vz7YoTkqAgjuWMa9QpCa0vNUqyrs%3D","Link")</f>
        <v>Link</v>
      </c>
      <c r="B1944" s="2" t="s">
        <v>5136</v>
      </c>
      <c r="C1944" s="2" t="s">
        <v>5113</v>
      </c>
      <c r="D1944" s="2" t="s">
        <v>95</v>
      </c>
      <c r="E1944" s="2" t="s">
        <v>5131</v>
      </c>
      <c r="F1944" s="2" t="s">
        <v>5137</v>
      </c>
      <c r="G1944" s="2" t="s">
        <v>5105</v>
      </c>
      <c r="H1944" s="7"/>
      <c r="I1944" s="2" t="s">
        <v>9</v>
      </c>
    </row>
    <row r="1945" spans="1:9" ht="52" x14ac:dyDescent="0.3">
      <c r="A1945" s="1" t="str">
        <f>HYPERLINK("https://ipmanager.doe.gov/IPManager//ExternalLink.aspx?6ibkph2k9yi6F%2B0Vz7YoTo7DPLa3%2F%2FGgmTxlaHOrOAw%3D","Link")</f>
        <v>Link</v>
      </c>
      <c r="B1945" s="2" t="s">
        <v>6859</v>
      </c>
      <c r="C1945" s="2" t="s">
        <v>6860</v>
      </c>
      <c r="D1945" s="2" t="s">
        <v>95</v>
      </c>
      <c r="E1945" s="2" t="s">
        <v>6861</v>
      </c>
      <c r="F1945" s="2" t="s">
        <v>6862</v>
      </c>
      <c r="G1945" s="2" t="s">
        <v>6863</v>
      </c>
      <c r="H1945" s="7"/>
      <c r="I1945" s="2" t="s">
        <v>9</v>
      </c>
    </row>
    <row r="1946" spans="1:9" ht="26" x14ac:dyDescent="0.3">
      <c r="A1946" s="1" t="str">
        <f>HYPERLINK("https://ipmanager.doe.gov/IPManager//ExternalLink.aspx?6ibkph2k9yi6F%2B0Vz7YoTo7DPLa3%2F%2FGgJuazBBlAs%2FU%3D","Link")</f>
        <v>Link</v>
      </c>
      <c r="B1946" s="2" t="s">
        <v>6256</v>
      </c>
      <c r="C1946" s="2" t="s">
        <v>6250</v>
      </c>
      <c r="D1946" s="2" t="s">
        <v>3527</v>
      </c>
      <c r="E1946" s="2" t="s">
        <v>6257</v>
      </c>
      <c r="F1946" s="2"/>
      <c r="G1946" s="2" t="s">
        <v>9</v>
      </c>
      <c r="H1946" s="7"/>
      <c r="I1946" s="2" t="s">
        <v>9</v>
      </c>
    </row>
    <row r="1947" spans="1:9" ht="39" x14ac:dyDescent="0.3">
      <c r="A1947" s="1" t="str">
        <f>HYPERLINK("https://ipmanager.doe.gov/IPManager//ExternalLink.aspx?6ibkph2k9yi6F%2B0Vz7YoTo7DPLa3%2F%2FGg3IOxqLYUCAA%3D","Link")</f>
        <v>Link</v>
      </c>
      <c r="B1947" s="2" t="s">
        <v>6258</v>
      </c>
      <c r="C1947" s="2" t="s">
        <v>6250</v>
      </c>
      <c r="D1947" s="2" t="s">
        <v>3527</v>
      </c>
      <c r="E1947" s="2" t="s">
        <v>6259</v>
      </c>
      <c r="F1947" s="2"/>
      <c r="G1947" s="2" t="s">
        <v>9</v>
      </c>
      <c r="H1947" s="7"/>
      <c r="I1947" s="2" t="s">
        <v>9</v>
      </c>
    </row>
    <row r="1948" spans="1:9" ht="26" x14ac:dyDescent="0.3">
      <c r="A1948" s="1" t="str">
        <f>HYPERLINK("https://ipmanager.doe.gov/IPManager//ExternalLink.aspx?6ibkph2k9yi6F%2B0Vz7YoTkqAgjuWMa9Q5vzSAzuEEOA%3D","Link")</f>
        <v>Link</v>
      </c>
      <c r="B1948" s="2" t="s">
        <v>6864</v>
      </c>
      <c r="C1948" s="2" t="s">
        <v>6860</v>
      </c>
      <c r="D1948" s="2" t="s">
        <v>95</v>
      </c>
      <c r="E1948" s="2" t="s">
        <v>6865</v>
      </c>
      <c r="F1948" s="2" t="s">
        <v>6866</v>
      </c>
      <c r="G1948" s="2" t="s">
        <v>6867</v>
      </c>
      <c r="H1948" s="7"/>
      <c r="I1948" s="2" t="s">
        <v>9</v>
      </c>
    </row>
    <row r="1949" spans="1:9" ht="26" x14ac:dyDescent="0.3">
      <c r="A1949" s="1" t="str">
        <f>HYPERLINK("https://ipmanager.doe.gov/IPManager//ExternalLink.aspx?6ibkph2k9yi6F%2B0Vz7YoTk2BI6w%2FjZ2fJSuFRmXg6LM%3D","Link")</f>
        <v>Link</v>
      </c>
      <c r="B1949" s="2" t="s">
        <v>1921</v>
      </c>
      <c r="C1949" s="2" t="s">
        <v>1915</v>
      </c>
      <c r="D1949" s="2" t="s">
        <v>1663</v>
      </c>
      <c r="E1949" s="2" t="s">
        <v>1922</v>
      </c>
      <c r="F1949" s="2" t="s">
        <v>1923</v>
      </c>
      <c r="G1949" s="2" t="s">
        <v>1924</v>
      </c>
      <c r="H1949" s="7"/>
      <c r="I1949" s="2" t="s">
        <v>9</v>
      </c>
    </row>
    <row r="1950" spans="1:9" ht="39" x14ac:dyDescent="0.3">
      <c r="A1950" s="1" t="str">
        <f>HYPERLINK("https://ipmanager.doe.gov/IPManager//ExternalLink.aspx?6ibkph2k9yi6F%2B0Vz7YoTkqAgjuWMa9Q3pKAJDtbYpU%3D","Link")</f>
        <v>Link</v>
      </c>
      <c r="B1950" s="2" t="s">
        <v>6267</v>
      </c>
      <c r="C1950" s="2" t="s">
        <v>6268</v>
      </c>
      <c r="D1950" s="2" t="s">
        <v>5761</v>
      </c>
      <c r="E1950" s="2" t="s">
        <v>6269</v>
      </c>
      <c r="F1950" s="2"/>
      <c r="G1950" s="2" t="s">
        <v>9</v>
      </c>
      <c r="H1950" s="7"/>
      <c r="I1950" s="2" t="s">
        <v>9</v>
      </c>
    </row>
    <row r="1951" spans="1:9" ht="26" x14ac:dyDescent="0.3">
      <c r="A1951" s="1" t="str">
        <f>HYPERLINK("https://ipmanager.doe.gov/IPManager//ExternalLink.aspx?6ibkph2k9yi6F%2B0Vz7YoTo7DPLa3%2F%2FGgwjJ6JvghT9w%3D","Link")</f>
        <v>Link</v>
      </c>
      <c r="B1951" s="2" t="s">
        <v>6270</v>
      </c>
      <c r="C1951" s="2" t="s">
        <v>6268</v>
      </c>
      <c r="D1951" s="2" t="s">
        <v>5761</v>
      </c>
      <c r="E1951" s="2" t="s">
        <v>6271</v>
      </c>
      <c r="F1951" s="2"/>
      <c r="G1951" s="2" t="s">
        <v>9</v>
      </c>
      <c r="H1951" s="7"/>
      <c r="I1951" s="2" t="s">
        <v>9</v>
      </c>
    </row>
    <row r="1952" spans="1:9" ht="39" x14ac:dyDescent="0.3">
      <c r="A1952" s="1" t="str">
        <f>HYPERLINK("https://ipmanager.doe.gov/IPManager//ExternalLink.aspx?6ibkph2k9yi6F%2B0Vz7YoTo7DPLa3%2F%2FGget93gOyrLv4%3D","Link")</f>
        <v>Link</v>
      </c>
      <c r="B1952" s="2" t="s">
        <v>6272</v>
      </c>
      <c r="C1952" s="2" t="s">
        <v>6273</v>
      </c>
      <c r="D1952" s="2" t="s">
        <v>6274</v>
      </c>
      <c r="E1952" s="2" t="s">
        <v>6275</v>
      </c>
      <c r="F1952" s="2"/>
      <c r="G1952" s="2" t="s">
        <v>9</v>
      </c>
      <c r="H1952" s="7"/>
      <c r="I1952" s="2" t="s">
        <v>9</v>
      </c>
    </row>
    <row r="1953" spans="1:9" ht="52" x14ac:dyDescent="0.3">
      <c r="A1953" s="1" t="str">
        <f>HYPERLINK("https://ipmanager.doe.gov/IPManager//ExternalLink.aspx?6ibkph2k9yi6F%2B0Vz7YoTgZwfmYxrNyKoYfUl0J3MgY%3D","Link")</f>
        <v>Link</v>
      </c>
      <c r="B1953" s="2" t="s">
        <v>6277</v>
      </c>
      <c r="C1953" s="2" t="s">
        <v>6273</v>
      </c>
      <c r="D1953" s="2" t="s">
        <v>6274</v>
      </c>
      <c r="E1953" s="2" t="s">
        <v>6278</v>
      </c>
      <c r="F1953" s="2"/>
      <c r="G1953" s="2" t="s">
        <v>9</v>
      </c>
      <c r="H1953" s="7"/>
      <c r="I1953" s="2" t="s">
        <v>9</v>
      </c>
    </row>
    <row r="1954" spans="1:9" ht="39" x14ac:dyDescent="0.3">
      <c r="A1954" s="1" t="str">
        <f>HYPERLINK("https://ipmanager.doe.gov/IPManager//ExternalLink.aspx?6ibkph2k9yi6F%2B0Vz7YoTu0g4zH%2BOsvy9VqAbejl38o%3D","Link")</f>
        <v>Link</v>
      </c>
      <c r="B1954" s="2" t="s">
        <v>6279</v>
      </c>
      <c r="C1954" s="2" t="s">
        <v>6280</v>
      </c>
      <c r="D1954" s="2" t="s">
        <v>5538</v>
      </c>
      <c r="E1954" s="2" t="s">
        <v>6281</v>
      </c>
      <c r="F1954" s="2"/>
      <c r="G1954" s="2" t="s">
        <v>9</v>
      </c>
      <c r="H1954" s="7"/>
      <c r="I1954" s="2" t="s">
        <v>9</v>
      </c>
    </row>
    <row r="1955" spans="1:9" ht="52" x14ac:dyDescent="0.3">
      <c r="A1955" s="1" t="str">
        <f>HYPERLINK("https://ipmanager.doe.gov/IPManager//ExternalLink.aspx?6ibkph2k9yi6F%2B0Vz7YoTu0g4zH%2BOsvyfQDdJZkWJss%3D","Link")</f>
        <v>Link</v>
      </c>
      <c r="B1955" s="2" t="s">
        <v>6282</v>
      </c>
      <c r="C1955" s="2" t="s">
        <v>6280</v>
      </c>
      <c r="D1955" s="2" t="s">
        <v>5538</v>
      </c>
      <c r="E1955" s="2" t="s">
        <v>6283</v>
      </c>
      <c r="F1955" s="2"/>
      <c r="G1955" s="2" t="s">
        <v>9</v>
      </c>
      <c r="H1955" s="7"/>
      <c r="I1955" s="2" t="s">
        <v>9</v>
      </c>
    </row>
    <row r="1956" spans="1:9" ht="52" x14ac:dyDescent="0.3">
      <c r="A1956" s="1" t="str">
        <f>HYPERLINK("https://ipmanager.doe.gov/IPManager//ExternalLink.aspx?6ibkph2k9yi6F%2B0Vz7YoTlNm8snv%2FZpHV7d6BKZjJ0A%3D","Link")</f>
        <v>Link</v>
      </c>
      <c r="B1956" s="2" t="s">
        <v>2391</v>
      </c>
      <c r="C1956" s="2" t="s">
        <v>2392</v>
      </c>
      <c r="D1956" s="2" t="s">
        <v>1663</v>
      </c>
      <c r="E1956" s="2" t="s">
        <v>2393</v>
      </c>
      <c r="F1956" s="2" t="s">
        <v>2394</v>
      </c>
      <c r="G1956" s="2" t="s">
        <v>2395</v>
      </c>
      <c r="H1956" s="7"/>
      <c r="I1956" s="2" t="s">
        <v>9</v>
      </c>
    </row>
    <row r="1957" spans="1:9" ht="65" x14ac:dyDescent="0.3">
      <c r="A1957" s="1" t="str">
        <f>HYPERLINK("https://ipmanager.doe.gov/IPManager//ExternalLink.aspx?6ibkph2k9yi6F%2B0Vz7YoTipZ798QK%2BbPLQ1tR9dykBM%3D","Link")</f>
        <v>Link</v>
      </c>
      <c r="B1957" s="2" t="s">
        <v>2397</v>
      </c>
      <c r="C1957" s="2" t="s">
        <v>2392</v>
      </c>
      <c r="D1957" s="2" t="s">
        <v>1663</v>
      </c>
      <c r="E1957" s="2" t="s">
        <v>2398</v>
      </c>
      <c r="F1957" s="2" t="s">
        <v>2399</v>
      </c>
      <c r="G1957" s="2" t="s">
        <v>2400</v>
      </c>
      <c r="H1957" s="7"/>
      <c r="I1957" s="2" t="s">
        <v>9</v>
      </c>
    </row>
    <row r="1958" spans="1:9" ht="39" x14ac:dyDescent="0.3">
      <c r="A1958" s="1" t="str">
        <f>HYPERLINK("https://ipmanager.doe.gov/IPManager//ExternalLink.aspx?6ibkph2k9yi6F%2B0Vz7YoTvE8yjoHgvp6ptmrEvnHbIE%3D","Link")</f>
        <v>Link</v>
      </c>
      <c r="B1958" s="2" t="s">
        <v>6293</v>
      </c>
      <c r="C1958" s="2" t="s">
        <v>6294</v>
      </c>
      <c r="D1958" s="2" t="s">
        <v>6262</v>
      </c>
      <c r="E1958" s="2" t="s">
        <v>6295</v>
      </c>
      <c r="F1958" s="2"/>
      <c r="G1958" s="2" t="s">
        <v>9</v>
      </c>
      <c r="H1958" s="7"/>
      <c r="I1958" s="2" t="s">
        <v>9</v>
      </c>
    </row>
    <row r="1959" spans="1:9" ht="65" x14ac:dyDescent="0.3">
      <c r="A1959" s="1" t="str">
        <f>HYPERLINK("https://ipmanager.doe.gov/IPManager//ExternalLink.aspx?6ibkph2k9yi6F%2B0Vz7YoTipZ798QK%2BbPzIo1EuuI%2FFo%3D","Link")</f>
        <v>Link</v>
      </c>
      <c r="B1959" s="2" t="s">
        <v>2402</v>
      </c>
      <c r="C1959" s="2" t="s">
        <v>2392</v>
      </c>
      <c r="D1959" s="2" t="s">
        <v>1663</v>
      </c>
      <c r="E1959" s="2" t="s">
        <v>2403</v>
      </c>
      <c r="F1959" s="2" t="s">
        <v>2404</v>
      </c>
      <c r="G1959" s="2" t="s">
        <v>2405</v>
      </c>
      <c r="H1959" s="7"/>
      <c r="I1959" s="2" t="s">
        <v>9</v>
      </c>
    </row>
    <row r="1960" spans="1:9" ht="39" x14ac:dyDescent="0.3">
      <c r="A1960" s="1" t="str">
        <f>HYPERLINK("https://ipmanager.doe.gov/IPManager//ExternalLink.aspx?6ibkph2k9yi6F%2B0Vz7YoTnXVN2REjGcWUgmQo%2BisfAk%3D","Link")</f>
        <v>Link</v>
      </c>
      <c r="B1960" s="2" t="s">
        <v>6300</v>
      </c>
      <c r="C1960" s="2" t="s">
        <v>6301</v>
      </c>
      <c r="D1960" s="2" t="s">
        <v>1995</v>
      </c>
      <c r="E1960" s="2" t="s">
        <v>6302</v>
      </c>
      <c r="F1960" s="2"/>
      <c r="G1960" s="2" t="s">
        <v>9</v>
      </c>
      <c r="H1960" s="7"/>
      <c r="I1960" s="2" t="s">
        <v>9</v>
      </c>
    </row>
    <row r="1961" spans="1:9" ht="65" x14ac:dyDescent="0.3">
      <c r="A1961" s="1" t="str">
        <f>HYPERLINK("https://ipmanager.doe.gov/IPManager//ExternalLink.aspx?6ibkph2k9yi6F%2B0Vz7YoTo7DPLa3%2F%2FGgUI4xKgusdow%3D","Link")</f>
        <v>Link</v>
      </c>
      <c r="B1961" s="2" t="s">
        <v>2406</v>
      </c>
      <c r="C1961" s="2" t="s">
        <v>2392</v>
      </c>
      <c r="D1961" s="2" t="s">
        <v>1663</v>
      </c>
      <c r="E1961" s="2" t="s">
        <v>2407</v>
      </c>
      <c r="F1961" s="2" t="s">
        <v>2408</v>
      </c>
      <c r="G1961" s="2" t="s">
        <v>2405</v>
      </c>
      <c r="H1961" s="7"/>
      <c r="I1961" s="2" t="s">
        <v>9</v>
      </c>
    </row>
    <row r="1962" spans="1:9" ht="52" x14ac:dyDescent="0.3">
      <c r="A1962" s="1" t="str">
        <f>HYPERLINK("https://ipmanager.doe.gov/IPManager//ExternalLink.aspx?6ibkph2k9yi6F%2B0Vz7YoTp68px7nSN2g0YHqawxCEns%3D","Link")</f>
        <v>Link</v>
      </c>
      <c r="B1962" s="2" t="s">
        <v>6308</v>
      </c>
      <c r="C1962" s="2" t="s">
        <v>6304</v>
      </c>
      <c r="D1962" s="2" t="s">
        <v>6305</v>
      </c>
      <c r="E1962" s="2" t="s">
        <v>6309</v>
      </c>
      <c r="F1962" s="2"/>
      <c r="G1962" s="2" t="s">
        <v>9</v>
      </c>
      <c r="H1962" s="7"/>
      <c r="I1962" s="2" t="s">
        <v>9</v>
      </c>
    </row>
    <row r="1963" spans="1:9" ht="26" x14ac:dyDescent="0.3">
      <c r="A1963" s="1" t="str">
        <f>HYPERLINK("https://ipmanager.doe.gov/IPManager//ExternalLink.aspx?6ibkph2k9yi6F%2B0Vz7YoTnXVN2REjGcWwtKoTTBy3FI%3D","Link")</f>
        <v>Link</v>
      </c>
      <c r="B1963" s="2" t="s">
        <v>6310</v>
      </c>
      <c r="C1963" s="2" t="s">
        <v>6304</v>
      </c>
      <c r="D1963" s="2" t="s">
        <v>6305</v>
      </c>
      <c r="E1963" s="2" t="s">
        <v>6311</v>
      </c>
      <c r="F1963" s="2"/>
      <c r="G1963" s="2" t="s">
        <v>9</v>
      </c>
      <c r="H1963" s="7"/>
      <c r="I1963" s="2" t="s">
        <v>9</v>
      </c>
    </row>
    <row r="1964" spans="1:9" ht="39" x14ac:dyDescent="0.3">
      <c r="A1964" s="1" t="str">
        <f>HYPERLINK("https://ipmanager.doe.gov/IPManager//ExternalLink.aspx?6ibkph2k9yi6F%2B0Vz7YoTq6RR9BlGHHiCmjmhr0yXYA%3D","Link")</f>
        <v>Link</v>
      </c>
      <c r="B1964" s="2" t="s">
        <v>6312</v>
      </c>
      <c r="C1964" s="2" t="s">
        <v>6304</v>
      </c>
      <c r="D1964" s="2" t="s">
        <v>6305</v>
      </c>
      <c r="E1964" s="2" t="s">
        <v>6313</v>
      </c>
      <c r="F1964" s="2"/>
      <c r="G1964" s="2" t="s">
        <v>9</v>
      </c>
      <c r="H1964" s="7"/>
      <c r="I1964" s="2" t="s">
        <v>9</v>
      </c>
    </row>
    <row r="1965" spans="1:9" ht="52" x14ac:dyDescent="0.3">
      <c r="A1965" s="1" t="str">
        <f>HYPERLINK("https://ipmanager.doe.gov/IPManager//ExternalLink.aspx?6ibkph2k9yi6F%2B0Vz7YoTq6RR9BlGHHipBUENJbPml8%3D","Link")</f>
        <v>Link</v>
      </c>
      <c r="B1965" s="2" t="s">
        <v>6314</v>
      </c>
      <c r="C1965" s="2" t="s">
        <v>6304</v>
      </c>
      <c r="D1965" s="2" t="s">
        <v>6305</v>
      </c>
      <c r="E1965" s="2" t="s">
        <v>6315</v>
      </c>
      <c r="F1965" s="2"/>
      <c r="G1965" s="2" t="s">
        <v>9</v>
      </c>
      <c r="H1965" s="7"/>
      <c r="I1965" s="2" t="s">
        <v>9</v>
      </c>
    </row>
    <row r="1966" spans="1:9" ht="52" x14ac:dyDescent="0.3">
      <c r="A1966" s="1" t="str">
        <f>HYPERLINK("https://ipmanager.doe.gov/IPManager//ExternalLink.aspx?6ibkph2k9yi6F%2B0Vz7YoTq6RR9BlGHHi51kT9j2gI8U%3D","Link")</f>
        <v>Link</v>
      </c>
      <c r="B1966" s="2" t="s">
        <v>6314</v>
      </c>
      <c r="C1966" s="2" t="s">
        <v>6304</v>
      </c>
      <c r="D1966" s="2" t="s">
        <v>6305</v>
      </c>
      <c r="E1966" s="2" t="s">
        <v>6315</v>
      </c>
      <c r="F1966" s="2"/>
      <c r="G1966" s="2" t="s">
        <v>9</v>
      </c>
      <c r="H1966" s="7"/>
      <c r="I1966" s="2" t="s">
        <v>9</v>
      </c>
    </row>
    <row r="1967" spans="1:9" ht="52" x14ac:dyDescent="0.3">
      <c r="A1967" s="1" t="str">
        <f>HYPERLINK("https://ipmanager.doe.gov/IPManager//ExternalLink.aspx?6ibkph2k9yi6F%2B0Vz7YoTnXVN2REjGcWIGG2pb0vIYw%3D","Link")</f>
        <v>Link</v>
      </c>
      <c r="B1967" s="2" t="s">
        <v>6316</v>
      </c>
      <c r="C1967" s="2" t="s">
        <v>6317</v>
      </c>
      <c r="D1967" s="2" t="s">
        <v>6318</v>
      </c>
      <c r="E1967" s="2" t="s">
        <v>6319</v>
      </c>
      <c r="F1967" s="2"/>
      <c r="G1967" s="2" t="s">
        <v>9</v>
      </c>
      <c r="H1967" s="7"/>
      <c r="I1967" s="2" t="s">
        <v>9</v>
      </c>
    </row>
    <row r="1968" spans="1:9" ht="26" x14ac:dyDescent="0.3">
      <c r="A1968" s="1" t="str">
        <f>HYPERLINK("https://ipmanager.doe.gov/IPManager//ExternalLink.aspx?6ibkph2k9yi6F%2B0Vz7YoThEBhkR3uHVr%2BjVMOwjk2hk%3D","Link")</f>
        <v>Link</v>
      </c>
      <c r="B1968" s="2" t="s">
        <v>6321</v>
      </c>
      <c r="C1968" s="2" t="s">
        <v>6317</v>
      </c>
      <c r="D1968" s="2" t="s">
        <v>6318</v>
      </c>
      <c r="E1968" s="2" t="s">
        <v>6322</v>
      </c>
      <c r="F1968" s="2"/>
      <c r="G1968" s="2" t="s">
        <v>9</v>
      </c>
      <c r="H1968" s="7"/>
      <c r="I1968" s="2" t="s">
        <v>9</v>
      </c>
    </row>
    <row r="1969" spans="1:9" ht="26" x14ac:dyDescent="0.3">
      <c r="A1969" s="1" t="str">
        <f>HYPERLINK("https://ipmanager.doe.gov/IPManager//ExternalLink.aspx?6ibkph2k9yi6F%2B0Vz7YoTvE8yjoHgvp6wtz0Rrio7MU%3D","Link")</f>
        <v>Link</v>
      </c>
      <c r="B1969" s="2" t="s">
        <v>6324</v>
      </c>
      <c r="C1969" s="2" t="s">
        <v>6317</v>
      </c>
      <c r="D1969" s="2" t="s">
        <v>6318</v>
      </c>
      <c r="E1969" s="2" t="s">
        <v>6325</v>
      </c>
      <c r="F1969" s="2"/>
      <c r="G1969" s="2" t="s">
        <v>9</v>
      </c>
      <c r="H1969" s="7"/>
      <c r="I1969" s="2" t="s">
        <v>9</v>
      </c>
    </row>
    <row r="1970" spans="1:9" ht="39" x14ac:dyDescent="0.3">
      <c r="A1970" s="1" t="str">
        <f>HYPERLINK("https://ipmanager.doe.gov/IPManager//ExternalLink.aspx?6ibkph2k9yi6F%2B0Vz7YoTvE8yjoHgvp6K02Ra2DojSU%3D","Link")</f>
        <v>Link</v>
      </c>
      <c r="B1970" s="2" t="s">
        <v>6326</v>
      </c>
      <c r="C1970" s="2" t="s">
        <v>6317</v>
      </c>
      <c r="D1970" s="2" t="s">
        <v>6318</v>
      </c>
      <c r="E1970" s="2" t="s">
        <v>6327</v>
      </c>
      <c r="F1970" s="2"/>
      <c r="G1970" s="2" t="s">
        <v>9</v>
      </c>
      <c r="H1970" s="7"/>
      <c r="I1970" s="2" t="s">
        <v>9</v>
      </c>
    </row>
    <row r="1971" spans="1:9" ht="52" x14ac:dyDescent="0.3">
      <c r="A1971" s="1" t="str">
        <f>HYPERLINK("https://ipmanager.doe.gov/IPManager//ExternalLink.aspx?6ibkph2k9yi6F%2B0Vz7YoTvPUg%2FVZPl3inC2pmwTZri4%3D","Link")</f>
        <v>Link</v>
      </c>
      <c r="B1971" s="2" t="s">
        <v>6328</v>
      </c>
      <c r="C1971" s="2" t="s">
        <v>6317</v>
      </c>
      <c r="D1971" s="2" t="s">
        <v>6318</v>
      </c>
      <c r="E1971" s="2" t="s">
        <v>6329</v>
      </c>
      <c r="F1971" s="2"/>
      <c r="G1971" s="2" t="s">
        <v>9</v>
      </c>
      <c r="H1971" s="7"/>
      <c r="I1971" s="2" t="s">
        <v>9</v>
      </c>
    </row>
    <row r="1972" spans="1:9" ht="26" x14ac:dyDescent="0.3">
      <c r="A1972" s="1" t="str">
        <f>HYPERLINK("https://ipmanager.doe.gov/IPManager//ExternalLink.aspx?6ibkph2k9yi6F%2B0Vz7YoTvPUg%2FVZPl3ik%2BN4ghuq0AY%3D","Link")</f>
        <v>Link</v>
      </c>
      <c r="B1972" s="2" t="s">
        <v>6330</v>
      </c>
      <c r="C1972" s="2" t="s">
        <v>6317</v>
      </c>
      <c r="D1972" s="2" t="s">
        <v>6318</v>
      </c>
      <c r="E1972" s="2" t="s">
        <v>6331</v>
      </c>
      <c r="F1972" s="2"/>
      <c r="G1972" s="2" t="s">
        <v>9</v>
      </c>
      <c r="H1972" s="7"/>
      <c r="I1972" s="2" t="s">
        <v>9</v>
      </c>
    </row>
    <row r="1973" spans="1:9" ht="26" x14ac:dyDescent="0.3">
      <c r="A1973" s="1" t="str">
        <f>HYPERLINK("https://ipmanager.doe.gov/IPManager//ExternalLink.aspx?6ibkph2k9yi6F%2B0Vz7YoTq6RR9BlGHHivhUyzMG8%2BVQ%3D","Link")</f>
        <v>Link</v>
      </c>
      <c r="B1973" s="2" t="s">
        <v>6332</v>
      </c>
      <c r="C1973" s="2" t="s">
        <v>6317</v>
      </c>
      <c r="D1973" s="2" t="s">
        <v>6318</v>
      </c>
      <c r="E1973" s="2" t="s">
        <v>6333</v>
      </c>
      <c r="F1973" s="2"/>
      <c r="G1973" s="2" t="s">
        <v>9</v>
      </c>
      <c r="H1973" s="7"/>
      <c r="I1973" s="2" t="s">
        <v>9</v>
      </c>
    </row>
    <row r="1974" spans="1:9" ht="39" x14ac:dyDescent="0.3">
      <c r="A1974" s="1" t="str">
        <f>HYPERLINK("https://ipmanager.doe.gov/IPManager//ExternalLink.aspx?6ibkph2k9yi6F%2B0Vz7YoTq6RR9BlGHHi5ZYVmxeDfW4%3D","Link")</f>
        <v>Link</v>
      </c>
      <c r="B1974" s="2" t="s">
        <v>6334</v>
      </c>
      <c r="C1974" s="2" t="s">
        <v>6317</v>
      </c>
      <c r="D1974" s="2" t="s">
        <v>6318</v>
      </c>
      <c r="E1974" s="2" t="s">
        <v>6335</v>
      </c>
      <c r="F1974" s="2"/>
      <c r="G1974" s="2" t="s">
        <v>9</v>
      </c>
      <c r="H1974" s="7"/>
      <c r="I1974" s="2" t="s">
        <v>9</v>
      </c>
    </row>
    <row r="1975" spans="1:9" ht="39" x14ac:dyDescent="0.3">
      <c r="A1975" s="1" t="str">
        <f>HYPERLINK("https://ipmanager.doe.gov/IPManager//ExternalLink.aspx?6ibkph2k9yi6F%2B0Vz7YoTq6RR9BlGHHidm6NAuZt%2Fbw%3D","Link")</f>
        <v>Link</v>
      </c>
      <c r="B1975" s="2" t="s">
        <v>6336</v>
      </c>
      <c r="C1975" s="2" t="s">
        <v>6317</v>
      </c>
      <c r="D1975" s="2" t="s">
        <v>6318</v>
      </c>
      <c r="E1975" s="2" t="s">
        <v>6337</v>
      </c>
      <c r="F1975" s="2"/>
      <c r="G1975" s="2" t="s">
        <v>9</v>
      </c>
      <c r="H1975" s="7"/>
      <c r="I1975" s="2" t="s">
        <v>9</v>
      </c>
    </row>
    <row r="1976" spans="1:9" ht="26" x14ac:dyDescent="0.3">
      <c r="A1976" s="1" t="str">
        <f>HYPERLINK("https://ipmanager.doe.gov/IPManager//ExternalLink.aspx?6ibkph2k9yi6F%2B0Vz7YoTp68px7nSN2gUTdpE0JyemI%3D","Link")</f>
        <v>Link</v>
      </c>
      <c r="B1976" s="2" t="s">
        <v>6338</v>
      </c>
      <c r="C1976" s="2" t="s">
        <v>6317</v>
      </c>
      <c r="D1976" s="2" t="s">
        <v>6318</v>
      </c>
      <c r="E1976" s="2" t="s">
        <v>6339</v>
      </c>
      <c r="F1976" s="2"/>
      <c r="G1976" s="2" t="s">
        <v>9</v>
      </c>
      <c r="H1976" s="7"/>
      <c r="I1976" s="2" t="s">
        <v>9</v>
      </c>
    </row>
    <row r="1977" spans="1:9" ht="26" x14ac:dyDescent="0.3">
      <c r="A1977" s="1" t="str">
        <f>HYPERLINK("https://ipmanager.doe.gov/IPManager//ExternalLink.aspx?6ibkph2k9yi6F%2B0Vz7YoTp68px7nSN2gOe41i3wRoHY%3D","Link")</f>
        <v>Link</v>
      </c>
      <c r="B1977" s="2" t="s">
        <v>6340</v>
      </c>
      <c r="C1977" s="2" t="s">
        <v>6317</v>
      </c>
      <c r="D1977" s="2" t="s">
        <v>6318</v>
      </c>
      <c r="E1977" s="2" t="s">
        <v>6341</v>
      </c>
      <c r="F1977" s="2"/>
      <c r="G1977" s="2" t="s">
        <v>9</v>
      </c>
      <c r="H1977" s="7"/>
      <c r="I1977" s="2" t="s">
        <v>9</v>
      </c>
    </row>
    <row r="1978" spans="1:9" ht="52" x14ac:dyDescent="0.3">
      <c r="A1978" s="1" t="str">
        <f>HYPERLINK("https://ipmanager.doe.gov/IPManager//ExternalLink.aspx?6ibkph2k9yi6F%2B0Vz7YoTp68px7nSN2gxjrMX8jlV4A%3D","Link")</f>
        <v>Link</v>
      </c>
      <c r="B1978" s="2" t="s">
        <v>6342</v>
      </c>
      <c r="C1978" s="2" t="s">
        <v>6317</v>
      </c>
      <c r="D1978" s="2" t="s">
        <v>6318</v>
      </c>
      <c r="E1978" s="2" t="s">
        <v>6343</v>
      </c>
      <c r="F1978" s="2"/>
      <c r="G1978" s="2" t="s">
        <v>9</v>
      </c>
      <c r="H1978" s="7"/>
      <c r="I1978" s="2" t="s">
        <v>9</v>
      </c>
    </row>
    <row r="1979" spans="1:9" ht="26" x14ac:dyDescent="0.3">
      <c r="A1979" s="1" t="str">
        <f>HYPERLINK("https://ipmanager.doe.gov/IPManager//ExternalLink.aspx?6ibkph2k9yi6F%2B0Vz7YoTp68px7nSN2gKspahsGdtHI%3D","Link")</f>
        <v>Link</v>
      </c>
      <c r="B1979" s="2" t="s">
        <v>6344</v>
      </c>
      <c r="C1979" s="2" t="s">
        <v>6317</v>
      </c>
      <c r="D1979" s="2" t="s">
        <v>6318</v>
      </c>
      <c r="E1979" s="2" t="s">
        <v>6345</v>
      </c>
      <c r="F1979" s="2"/>
      <c r="G1979" s="2" t="s">
        <v>9</v>
      </c>
      <c r="H1979" s="7"/>
      <c r="I1979" s="2" t="s">
        <v>9</v>
      </c>
    </row>
    <row r="1980" spans="1:9" ht="39" x14ac:dyDescent="0.3">
      <c r="A1980" s="1" t="str">
        <f>HYPERLINK("https://ipmanager.doe.gov/IPManager//ExternalLink.aspx?6ibkph2k9yi6F%2B0Vz7YoTo7DPLa3%2F%2FGgID16geSX7BE%3D","Link")</f>
        <v>Link</v>
      </c>
      <c r="B1980" s="2" t="s">
        <v>6346</v>
      </c>
      <c r="C1980" s="2" t="s">
        <v>6317</v>
      </c>
      <c r="D1980" s="2" t="s">
        <v>6318</v>
      </c>
      <c r="E1980" s="2" t="s">
        <v>6347</v>
      </c>
      <c r="F1980" s="2"/>
      <c r="G1980" s="2" t="s">
        <v>9</v>
      </c>
      <c r="H1980" s="7"/>
      <c r="I1980" s="2" t="s">
        <v>9</v>
      </c>
    </row>
    <row r="1981" spans="1:9" ht="65" x14ac:dyDescent="0.3">
      <c r="A1981" s="1" t="str">
        <f>HYPERLINK("https://ipmanager.doe.gov/IPManager//ExternalLink.aspx?6ibkph2k9yi6F%2B0Vz7YoTipZ798QK%2BbPGaKsoZgq9nY%3D","Link")</f>
        <v>Link</v>
      </c>
      <c r="B1981" s="2" t="s">
        <v>1250</v>
      </c>
      <c r="C1981" s="2" t="s">
        <v>1245</v>
      </c>
      <c r="D1981" s="2" t="s">
        <v>1251</v>
      </c>
      <c r="E1981" s="2" t="s">
        <v>1252</v>
      </c>
      <c r="F1981" s="2" t="s">
        <v>7660</v>
      </c>
      <c r="G1981" s="2" t="s">
        <v>1253</v>
      </c>
      <c r="H1981" s="7"/>
      <c r="I1981" s="2" t="s">
        <v>9</v>
      </c>
    </row>
    <row r="1982" spans="1:9" ht="65" x14ac:dyDescent="0.3">
      <c r="A1982" s="1" t="str">
        <f>HYPERLINK("https://ipmanager.doe.gov/IPManager//ExternalLink.aspx?6ibkph2k9yi6F%2B0Vz7YoTlNm8snv%2FZpHszrZsIYZjJM%3D","Link")</f>
        <v>Link</v>
      </c>
      <c r="B1982" s="2" t="s">
        <v>1655</v>
      </c>
      <c r="C1982" s="2" t="s">
        <v>1656</v>
      </c>
      <c r="D1982" s="2" t="s">
        <v>1657</v>
      </c>
      <c r="E1982" s="2" t="s">
        <v>1658</v>
      </c>
      <c r="F1982" s="2" t="s">
        <v>1659</v>
      </c>
      <c r="G1982" s="2" t="s">
        <v>317</v>
      </c>
      <c r="H1982" s="7"/>
      <c r="I1982" s="2" t="s">
        <v>9</v>
      </c>
    </row>
    <row r="1983" spans="1:9" ht="52" x14ac:dyDescent="0.3">
      <c r="A1983" s="1" t="str">
        <f>HYPERLINK("https://ipmanager.doe.gov/IPManager//ExternalLink.aspx?6ibkph2k9yi6F%2B0Vz7YoTlNm8snv%2FZpHor%2BRCAhHJPk%3D","Link")</f>
        <v>Link</v>
      </c>
      <c r="B1983" s="2" t="s">
        <v>1994</v>
      </c>
      <c r="C1983" s="2" t="s">
        <v>1986</v>
      </c>
      <c r="D1983" s="2" t="s">
        <v>1995</v>
      </c>
      <c r="E1983" s="2" t="s">
        <v>1996</v>
      </c>
      <c r="F1983" s="2" t="s">
        <v>1997</v>
      </c>
      <c r="G1983" s="2" t="s">
        <v>1998</v>
      </c>
      <c r="H1983" s="7"/>
      <c r="I1983" s="2" t="s">
        <v>9</v>
      </c>
    </row>
    <row r="1984" spans="1:9" ht="39" x14ac:dyDescent="0.3">
      <c r="A1984" s="1" t="str">
        <f>HYPERLINK("https://ipmanager.doe.gov/IPManager//ExternalLink.aspx?6ibkph2k9yi6F%2B0Vz7YoTr7J5I%2BY4foYOGcjwXd%2FvDU%3D","Link")</f>
        <v>Link</v>
      </c>
      <c r="B1984" s="2" t="s">
        <v>4661</v>
      </c>
      <c r="C1984" s="2" t="s">
        <v>4662</v>
      </c>
      <c r="D1984" s="2" t="s">
        <v>1995</v>
      </c>
      <c r="E1984" s="2" t="s">
        <v>4663</v>
      </c>
      <c r="F1984" s="2" t="s">
        <v>4664</v>
      </c>
      <c r="G1984" s="2" t="s">
        <v>98</v>
      </c>
      <c r="H1984" s="7"/>
      <c r="I1984" s="2" t="s">
        <v>9</v>
      </c>
    </row>
    <row r="1985" spans="1:9" ht="39" x14ac:dyDescent="0.3">
      <c r="A1985" s="1" t="str">
        <f>HYPERLINK("https://ipmanager.doe.gov/IPManager//ExternalLink.aspx?6ibkph2k9yi6F%2B0Vz7YoTgZwfmYxrNyKVi3VykUGTHs%3D","Link")</f>
        <v>Link</v>
      </c>
      <c r="B1985" s="2" t="s">
        <v>2903</v>
      </c>
      <c r="C1985" s="2" t="s">
        <v>2891</v>
      </c>
      <c r="D1985" s="2" t="s">
        <v>562</v>
      </c>
      <c r="E1985" s="2" t="s">
        <v>2904</v>
      </c>
      <c r="F1985" s="2" t="s">
        <v>2905</v>
      </c>
      <c r="G1985" s="2" t="s">
        <v>2390</v>
      </c>
      <c r="H1985" s="7"/>
      <c r="I1985" s="2" t="s">
        <v>9</v>
      </c>
    </row>
    <row r="1986" spans="1:9" ht="52" x14ac:dyDescent="0.3">
      <c r="A1986" s="1" t="str">
        <f>HYPERLINK("https://ipmanager.doe.gov/IPManager//ExternalLink.aspx?6ibkph2k9yi6F%2B0Vz7YoTp68px7nSN2glZS26ks2We0%3D","Link")</f>
        <v>Link</v>
      </c>
      <c r="B1986" s="2" t="s">
        <v>6130</v>
      </c>
      <c r="C1986" s="2" t="s">
        <v>6124</v>
      </c>
      <c r="D1986" s="2" t="s">
        <v>562</v>
      </c>
      <c r="E1986" s="2" t="s">
        <v>6131</v>
      </c>
      <c r="F1986" s="2" t="s">
        <v>6132</v>
      </c>
      <c r="G1986" s="2" t="s">
        <v>6031</v>
      </c>
      <c r="H1986" s="7"/>
      <c r="I1986" s="2" t="s">
        <v>9</v>
      </c>
    </row>
    <row r="1987" spans="1:9" ht="26" x14ac:dyDescent="0.3">
      <c r="A1987" s="1" t="str">
        <f>HYPERLINK("https://ipmanager.doe.gov/IPManager//ExternalLink.aspx?6ibkph2k9yi6F%2B0Vz7YoTq6RR9BlGHHihEWz3Ws7OrQ%3D","Link")</f>
        <v>Link</v>
      </c>
      <c r="B1987" s="2" t="s">
        <v>6368</v>
      </c>
      <c r="C1987" s="2" t="s">
        <v>6369</v>
      </c>
      <c r="D1987" s="2" t="s">
        <v>6370</v>
      </c>
      <c r="E1987" s="2" t="s">
        <v>6371</v>
      </c>
      <c r="F1987" s="2"/>
      <c r="G1987" s="2" t="s">
        <v>9</v>
      </c>
      <c r="H1987" s="7"/>
      <c r="I1987" s="2" t="s">
        <v>9</v>
      </c>
    </row>
    <row r="1988" spans="1:9" ht="39" x14ac:dyDescent="0.3">
      <c r="A1988" s="1" t="str">
        <f>HYPERLINK("https://ipmanager.doe.gov/IPManager//ExternalLink.aspx?6ibkph2k9yi6F%2B0Vz7YoTp68px7nSN2g95G0LUUXNm4%3D","Link")</f>
        <v>Link</v>
      </c>
      <c r="B1988" s="2" t="s">
        <v>6133</v>
      </c>
      <c r="C1988" s="2" t="s">
        <v>6124</v>
      </c>
      <c r="D1988" s="2" t="s">
        <v>562</v>
      </c>
      <c r="E1988" s="2" t="s">
        <v>6134</v>
      </c>
      <c r="F1988" s="2" t="s">
        <v>6135</v>
      </c>
      <c r="G1988" s="2" t="s">
        <v>6031</v>
      </c>
      <c r="H1988" s="7"/>
      <c r="I1988" s="2" t="s">
        <v>9</v>
      </c>
    </row>
    <row r="1989" spans="1:9" ht="52" x14ac:dyDescent="0.3">
      <c r="A1989" s="1" t="str">
        <f>HYPERLINK("https://ipmanager.doe.gov/IPManager//ExternalLink.aspx?6ibkph2k9yi6F%2B0Vz7YoTnXVN2REjGcWXxFK64oafS8%3D","Link")</f>
        <v>Link</v>
      </c>
      <c r="B1989" s="2" t="s">
        <v>6376</v>
      </c>
      <c r="C1989" s="2" t="s">
        <v>6369</v>
      </c>
      <c r="D1989" s="2" t="s">
        <v>1891</v>
      </c>
      <c r="E1989" s="2" t="s">
        <v>6377</v>
      </c>
      <c r="F1989" s="2"/>
      <c r="G1989" s="2" t="s">
        <v>9</v>
      </c>
      <c r="H1989" s="7"/>
      <c r="I1989" s="2" t="s">
        <v>9</v>
      </c>
    </row>
    <row r="1990" spans="1:9" ht="52" x14ac:dyDescent="0.3">
      <c r="A1990" s="1" t="str">
        <f>HYPERLINK("https://ipmanager.doe.gov/IPManager//ExternalLink.aspx?6ibkph2k9yi6F%2B0Vz7YoTnXVN2REjGcWrVTCmusRPeo%3D","Link")</f>
        <v>Link</v>
      </c>
      <c r="B1990" s="2" t="s">
        <v>6378</v>
      </c>
      <c r="C1990" s="2" t="s">
        <v>6379</v>
      </c>
      <c r="D1990" s="2" t="s">
        <v>6380</v>
      </c>
      <c r="E1990" s="2" t="s">
        <v>6381</v>
      </c>
      <c r="F1990" s="2"/>
      <c r="G1990" s="2" t="s">
        <v>9</v>
      </c>
      <c r="H1990" s="7"/>
      <c r="I1990" s="2" t="s">
        <v>9</v>
      </c>
    </row>
    <row r="1991" spans="1:9" ht="26" x14ac:dyDescent="0.3">
      <c r="A1991" s="1" t="str">
        <f>HYPERLINK("https://ipmanager.doe.gov/IPManager//ExternalLink.aspx?6ibkph2k9yi6F%2B0Vz7YoTvE8yjoHgvp6YYVZ87w5zlg%3D","Link")</f>
        <v>Link</v>
      </c>
      <c r="B1991" s="2" t="s">
        <v>6382</v>
      </c>
      <c r="C1991" s="2" t="s">
        <v>6383</v>
      </c>
      <c r="D1991" s="2" t="s">
        <v>4148</v>
      </c>
      <c r="E1991" s="2" t="s">
        <v>6384</v>
      </c>
      <c r="F1991" s="2"/>
      <c r="G1991" s="2" t="s">
        <v>9</v>
      </c>
      <c r="H1991" s="7"/>
      <c r="I1991" s="2" t="s">
        <v>9</v>
      </c>
    </row>
    <row r="1992" spans="1:9" ht="39" x14ac:dyDescent="0.3">
      <c r="A1992" s="1" t="str">
        <f>HYPERLINK("https://ipmanager.doe.gov/IPManager//ExternalLink.aspx?6ibkph2k9yi6F%2B0Vz7YoThEBhkR3uHVrPUldl2HH1xU%3D","Link")</f>
        <v>Link</v>
      </c>
      <c r="B1992" s="2" t="s">
        <v>6385</v>
      </c>
      <c r="C1992" s="2" t="s">
        <v>6383</v>
      </c>
      <c r="D1992" s="2" t="s">
        <v>4148</v>
      </c>
      <c r="E1992" s="2" t="s">
        <v>6386</v>
      </c>
      <c r="F1992" s="2"/>
      <c r="G1992" s="2" t="s">
        <v>9</v>
      </c>
      <c r="H1992" s="7"/>
      <c r="I1992" s="2" t="s">
        <v>9</v>
      </c>
    </row>
    <row r="1993" spans="1:9" ht="26" x14ac:dyDescent="0.3">
      <c r="A1993" s="1" t="str">
        <f>HYPERLINK("https://ipmanager.doe.gov/IPManager//ExternalLink.aspx?6ibkph2k9yi6F%2B0Vz7YoTvPUg%2FVZPl3iMdC9IHH5ve4%3D","Link")</f>
        <v>Link</v>
      </c>
      <c r="B1993" s="2" t="s">
        <v>6387</v>
      </c>
      <c r="C1993" s="2" t="s">
        <v>6383</v>
      </c>
      <c r="D1993" s="2" t="s">
        <v>4148</v>
      </c>
      <c r="E1993" s="2" t="s">
        <v>6388</v>
      </c>
      <c r="F1993" s="2"/>
      <c r="G1993" s="2" t="s">
        <v>9</v>
      </c>
      <c r="H1993" s="7"/>
      <c r="I1993" s="2" t="s">
        <v>9</v>
      </c>
    </row>
    <row r="1994" spans="1:9" ht="39" x14ac:dyDescent="0.3">
      <c r="A1994" s="1" t="str">
        <f>HYPERLINK("https://ipmanager.doe.gov/IPManager//ExternalLink.aspx?6ibkph2k9yi6F%2B0Vz7YoTvPUg%2FVZPl3iiomco6ggwwQ%3D","Link")</f>
        <v>Link</v>
      </c>
      <c r="B1994" s="2" t="s">
        <v>6389</v>
      </c>
      <c r="C1994" s="2" t="s">
        <v>6383</v>
      </c>
      <c r="D1994" s="2" t="s">
        <v>4148</v>
      </c>
      <c r="E1994" s="2" t="s">
        <v>6390</v>
      </c>
      <c r="F1994" s="2"/>
      <c r="G1994" s="2" t="s">
        <v>9</v>
      </c>
      <c r="H1994" s="7"/>
      <c r="I1994" s="2" t="s">
        <v>9</v>
      </c>
    </row>
    <row r="1995" spans="1:9" ht="39" x14ac:dyDescent="0.3">
      <c r="A1995" s="1" t="str">
        <f>HYPERLINK("https://ipmanager.doe.gov/IPManager//ExternalLink.aspx?6ibkph2k9yi6F%2B0Vz7YoTo7DPLa3%2F%2FGgUvvqHxURdnE%3D","Link")</f>
        <v>Link</v>
      </c>
      <c r="B1995" s="2" t="s">
        <v>6136</v>
      </c>
      <c r="C1995" s="2" t="s">
        <v>6124</v>
      </c>
      <c r="D1995" s="2" t="s">
        <v>562</v>
      </c>
      <c r="E1995" s="2" t="s">
        <v>6134</v>
      </c>
      <c r="F1995" s="2" t="s">
        <v>6137</v>
      </c>
      <c r="G1995" s="2" t="s">
        <v>5107</v>
      </c>
      <c r="H1995" s="7"/>
      <c r="I1995" s="2" t="s">
        <v>9</v>
      </c>
    </row>
    <row r="1996" spans="1:9" ht="52" x14ac:dyDescent="0.3">
      <c r="A1996" s="1" t="str">
        <f>HYPERLINK("https://ipmanager.doe.gov/IPManager//ExternalLink.aspx?6ibkph2k9yi6F%2B0Vz7YoTvE8yjoHgvp6r0qe5B2RMgA%3D","Link")</f>
        <v>Link</v>
      </c>
      <c r="B1996" s="2" t="s">
        <v>6395</v>
      </c>
      <c r="C1996" s="2" t="s">
        <v>6383</v>
      </c>
      <c r="D1996" s="2" t="s">
        <v>6396</v>
      </c>
      <c r="E1996" s="2" t="s">
        <v>6397</v>
      </c>
      <c r="F1996" s="2"/>
      <c r="G1996" s="2" t="s">
        <v>9</v>
      </c>
      <c r="H1996" s="7"/>
      <c r="I1996" s="2" t="s">
        <v>9</v>
      </c>
    </row>
    <row r="1997" spans="1:9" ht="39" x14ac:dyDescent="0.3">
      <c r="A1997" s="1" t="str">
        <f>HYPERLINK("https://ipmanager.doe.gov/IPManager//ExternalLink.aspx?6ibkph2k9yi6F%2B0Vz7YoTo7DPLa3%2F%2FGgZIow%2FHWxuMw%3D","Link")</f>
        <v>Link</v>
      </c>
      <c r="B1997" s="2" t="s">
        <v>6144</v>
      </c>
      <c r="C1997" s="2" t="s">
        <v>6124</v>
      </c>
      <c r="D1997" s="2" t="s">
        <v>562</v>
      </c>
      <c r="E1997" s="2" t="s">
        <v>6145</v>
      </c>
      <c r="F1997" s="2" t="s">
        <v>6146</v>
      </c>
      <c r="G1997" s="2" t="s">
        <v>6147</v>
      </c>
      <c r="H1997" s="7"/>
      <c r="I1997" s="2" t="s">
        <v>9</v>
      </c>
    </row>
    <row r="1998" spans="1:9" ht="52" x14ac:dyDescent="0.3">
      <c r="A1998" s="1" t="str">
        <f>HYPERLINK("https://ipmanager.doe.gov/IPManager//ExternalLink.aspx?6ibkph2k9yi6F%2B0Vz7YoTgZwfmYxrNyKUfbH2ehXf5w%3D","Link")</f>
        <v>Link</v>
      </c>
      <c r="B1998" s="2" t="s">
        <v>2766</v>
      </c>
      <c r="C1998" s="2" t="s">
        <v>2750</v>
      </c>
      <c r="D1998" s="2" t="s">
        <v>2758</v>
      </c>
      <c r="E1998" s="2" t="s">
        <v>2767</v>
      </c>
      <c r="F1998" s="2" t="s">
        <v>2768</v>
      </c>
      <c r="G1998" s="2" t="s">
        <v>2769</v>
      </c>
      <c r="H1998" s="7"/>
      <c r="I1998" s="2" t="s">
        <v>9</v>
      </c>
    </row>
    <row r="1999" spans="1:9" ht="78" x14ac:dyDescent="0.3">
      <c r="A1999" s="1" t="str">
        <f>HYPERLINK("https://ipmanager.doe.gov/IPManager//ExternalLink.aspx?6ibkph2k9yi6F%2B0Vz7YoTjnDGhmGHGI7JTJTqPiyzvo%3D","Link")</f>
        <v>Link</v>
      </c>
      <c r="B1999" s="2" t="s">
        <v>2777</v>
      </c>
      <c r="C1999" s="2" t="s">
        <v>2750</v>
      </c>
      <c r="D1999" s="2" t="s">
        <v>2758</v>
      </c>
      <c r="E1999" s="2" t="s">
        <v>2778</v>
      </c>
      <c r="F1999" s="2" t="s">
        <v>2779</v>
      </c>
      <c r="G1999" s="2" t="s">
        <v>2780</v>
      </c>
      <c r="H1999" s="7"/>
      <c r="I1999" s="2" t="s">
        <v>9</v>
      </c>
    </row>
    <row r="2000" spans="1:9" ht="52" x14ac:dyDescent="0.3">
      <c r="A2000" s="1" t="str">
        <f>HYPERLINK("https://ipmanager.doe.gov/IPManager//ExternalLink.aspx?6ibkph2k9yi6F%2B0Vz7YoThEBhkR3uHVr%2Fe4Zz0e6xJY%3D","Link")</f>
        <v>Link</v>
      </c>
      <c r="B2000" s="2" t="s">
        <v>6405</v>
      </c>
      <c r="C2000" s="2" t="s">
        <v>6383</v>
      </c>
      <c r="D2000" s="2" t="s">
        <v>6396</v>
      </c>
      <c r="E2000" s="2" t="s">
        <v>6397</v>
      </c>
      <c r="F2000" s="2"/>
      <c r="G2000" s="2" t="s">
        <v>9</v>
      </c>
      <c r="H2000" s="7"/>
      <c r="I2000" s="2" t="s">
        <v>9</v>
      </c>
    </row>
    <row r="2001" spans="1:9" ht="52" x14ac:dyDescent="0.3">
      <c r="A2001" s="1" t="str">
        <f>HYPERLINK("https://ipmanager.doe.gov/IPManager//ExternalLink.aspx?6ibkph2k9yi6F%2B0Vz7YoThEBhkR3uHVrxnahw5X%2F6wI%3D","Link")</f>
        <v>Link</v>
      </c>
      <c r="B2001" s="2" t="s">
        <v>6406</v>
      </c>
      <c r="C2001" s="2" t="s">
        <v>6407</v>
      </c>
      <c r="D2001" s="2" t="s">
        <v>4136</v>
      </c>
      <c r="E2001" s="2" t="s">
        <v>6408</v>
      </c>
      <c r="F2001" s="2"/>
      <c r="G2001" s="2" t="s">
        <v>9</v>
      </c>
      <c r="H2001" s="7"/>
      <c r="I2001" s="2" t="s">
        <v>9</v>
      </c>
    </row>
    <row r="2002" spans="1:9" ht="52" x14ac:dyDescent="0.3">
      <c r="A2002" s="1" t="str">
        <f>HYPERLINK("https://ipmanager.doe.gov/IPManager//ExternalLink.aspx?6ibkph2k9yi6F%2B0Vz7YoTnXVN2REjGcWmgKcGJjZXvk%3D","Link")</f>
        <v>Link</v>
      </c>
      <c r="B2002" s="2" t="s">
        <v>6409</v>
      </c>
      <c r="C2002" s="2" t="s">
        <v>6407</v>
      </c>
      <c r="D2002" s="2" t="s">
        <v>4136</v>
      </c>
      <c r="E2002" s="2" t="s">
        <v>6410</v>
      </c>
      <c r="F2002" s="2"/>
      <c r="G2002" s="2" t="s">
        <v>9</v>
      </c>
      <c r="H2002" s="7"/>
      <c r="I2002" s="2" t="s">
        <v>9</v>
      </c>
    </row>
    <row r="2003" spans="1:9" ht="52" x14ac:dyDescent="0.3">
      <c r="A2003" s="1" t="str">
        <f>HYPERLINK("https://ipmanager.doe.gov/IPManager//ExternalLink.aspx?6ibkph2k9yi6F%2B0Vz7YoTnXVN2REjGcWq2vwCS3M%2Fwk%3D","Link")</f>
        <v>Link</v>
      </c>
      <c r="B2003" s="2" t="s">
        <v>6411</v>
      </c>
      <c r="C2003" s="2" t="s">
        <v>6407</v>
      </c>
      <c r="D2003" s="2" t="s">
        <v>6380</v>
      </c>
      <c r="E2003" s="2" t="s">
        <v>6412</v>
      </c>
      <c r="F2003" s="2"/>
      <c r="G2003" s="2" t="s">
        <v>9</v>
      </c>
      <c r="H2003" s="7"/>
      <c r="I2003" s="2" t="s">
        <v>9</v>
      </c>
    </row>
    <row r="2004" spans="1:9" ht="52" x14ac:dyDescent="0.3">
      <c r="A2004" s="1" t="str">
        <f>HYPERLINK("https://ipmanager.doe.gov/IPManager//ExternalLink.aspx?6ibkph2k9yi6F%2B0Vz7YoTvPUg%2FVZPl3iYEhuRU6oJDc%3D","Link")</f>
        <v>Link</v>
      </c>
      <c r="B2004" s="2" t="s">
        <v>6409</v>
      </c>
      <c r="C2004" s="2" t="s">
        <v>6407</v>
      </c>
      <c r="D2004" s="2" t="s">
        <v>4136</v>
      </c>
      <c r="E2004" s="2" t="s">
        <v>6410</v>
      </c>
      <c r="F2004" s="2"/>
      <c r="G2004" s="2" t="s">
        <v>9</v>
      </c>
      <c r="H2004" s="7"/>
      <c r="I2004" s="2" t="s">
        <v>9</v>
      </c>
    </row>
    <row r="2005" spans="1:9" ht="39" x14ac:dyDescent="0.3">
      <c r="A2005" s="1" t="str">
        <f>HYPERLINK("https://ipmanager.doe.gov/IPManager//ExternalLink.aspx?6ibkph2k9yi6F%2B0Vz7YoTvE8yjoHgvp6azuLuKEnwr8%3D","Link")</f>
        <v>Link</v>
      </c>
      <c r="B2005" s="2" t="s">
        <v>6413</v>
      </c>
      <c r="C2005" s="2" t="s">
        <v>6407</v>
      </c>
      <c r="D2005" s="2" t="s">
        <v>4136</v>
      </c>
      <c r="E2005" s="2" t="s">
        <v>6414</v>
      </c>
      <c r="F2005" s="2"/>
      <c r="G2005" s="2" t="s">
        <v>9</v>
      </c>
      <c r="H2005" s="7"/>
      <c r="I2005" s="2" t="s">
        <v>9</v>
      </c>
    </row>
    <row r="2006" spans="1:9" ht="39" x14ac:dyDescent="0.3">
      <c r="A2006" s="1" t="str">
        <f>HYPERLINK("https://ipmanager.doe.gov/IPManager//ExternalLink.aspx?6ibkph2k9yi6F%2B0Vz7YoTvE8yjoHgvp6yz%2Fcm8LzgGg%3D","Link")</f>
        <v>Link</v>
      </c>
      <c r="B2006" s="2" t="s">
        <v>6415</v>
      </c>
      <c r="C2006" s="2" t="s">
        <v>6416</v>
      </c>
      <c r="D2006" s="2" t="s">
        <v>6417</v>
      </c>
      <c r="E2006" s="2" t="s">
        <v>6418</v>
      </c>
      <c r="F2006" s="2"/>
      <c r="G2006" s="2" t="s">
        <v>9</v>
      </c>
      <c r="H2006" s="7"/>
      <c r="I2006" s="2" t="s">
        <v>9</v>
      </c>
    </row>
    <row r="2007" spans="1:9" ht="26" x14ac:dyDescent="0.3">
      <c r="A2007" s="1" t="str">
        <f>HYPERLINK("https://ipmanager.doe.gov/IPManager//ExternalLink.aspx?6ibkph2k9yi6F%2B0Vz7YoTgZwfmYxrNyKO6r5kFBQkXM%3D","Link")</f>
        <v>Link</v>
      </c>
      <c r="B2007" s="2" t="s">
        <v>2890</v>
      </c>
      <c r="C2007" s="2" t="s">
        <v>2891</v>
      </c>
      <c r="D2007" s="2" t="s">
        <v>2758</v>
      </c>
      <c r="E2007" s="2" t="s">
        <v>2892</v>
      </c>
      <c r="F2007" s="2" t="s">
        <v>2893</v>
      </c>
      <c r="G2007" s="2" t="s">
        <v>2894</v>
      </c>
      <c r="H2007" s="7"/>
      <c r="I2007" s="2" t="s">
        <v>9</v>
      </c>
    </row>
    <row r="2008" spans="1:9" ht="39" x14ac:dyDescent="0.3">
      <c r="A2008" s="1" t="str">
        <f>HYPERLINK("https://ipmanager.doe.gov/IPManager//ExternalLink.aspx?6ibkph2k9yi6F%2B0Vz7YoTkqAgjuWMa9QrPY18ClwMl8%3D","Link")</f>
        <v>Link</v>
      </c>
      <c r="B2008" s="2" t="s">
        <v>6424</v>
      </c>
      <c r="C2008" s="2" t="s">
        <v>6425</v>
      </c>
      <c r="D2008" s="2" t="s">
        <v>4404</v>
      </c>
      <c r="E2008" s="2" t="s">
        <v>6426</v>
      </c>
      <c r="F2008" s="2"/>
      <c r="G2008" s="2" t="s">
        <v>9</v>
      </c>
      <c r="H2008" s="7"/>
      <c r="I2008" s="2" t="s">
        <v>9</v>
      </c>
    </row>
    <row r="2009" spans="1:9" ht="39" x14ac:dyDescent="0.3">
      <c r="A2009" s="1" t="str">
        <f>HYPERLINK("https://ipmanager.doe.gov/IPManager//ExternalLink.aspx?6ibkph2k9yi6F%2B0Vz7YoTo7DPLa3%2F%2FGgDU%2FTFhgU9%2Fc%3D","Link")</f>
        <v>Link</v>
      </c>
      <c r="B2009" s="2" t="s">
        <v>6428</v>
      </c>
      <c r="C2009" s="2" t="s">
        <v>6425</v>
      </c>
      <c r="D2009" s="2" t="s">
        <v>4404</v>
      </c>
      <c r="E2009" s="2" t="s">
        <v>6429</v>
      </c>
      <c r="F2009" s="2"/>
      <c r="G2009" s="2" t="s">
        <v>9</v>
      </c>
      <c r="H2009" s="7"/>
      <c r="I2009" s="2" t="s">
        <v>9</v>
      </c>
    </row>
    <row r="2010" spans="1:9" ht="26" x14ac:dyDescent="0.3">
      <c r="A2010" s="1" t="str">
        <f>HYPERLINK("https://ipmanager.doe.gov/IPManager//ExternalLink.aspx?6ibkph2k9yi6F%2B0Vz7YoTjnDGhmGHGI7mJbDeIQ1puI%3D","Link")</f>
        <v>Link</v>
      </c>
      <c r="B2010" s="2" t="s">
        <v>2895</v>
      </c>
      <c r="C2010" s="2" t="s">
        <v>2891</v>
      </c>
      <c r="D2010" s="2" t="s">
        <v>2758</v>
      </c>
      <c r="E2010" s="2" t="s">
        <v>2896</v>
      </c>
      <c r="F2010" s="2" t="s">
        <v>2897</v>
      </c>
      <c r="G2010" s="2" t="s">
        <v>2898</v>
      </c>
      <c r="H2010" s="7"/>
      <c r="I2010" s="2" t="s">
        <v>9</v>
      </c>
    </row>
    <row r="2011" spans="1:9" ht="26" x14ac:dyDescent="0.3">
      <c r="A2011" s="1" t="str">
        <f>HYPERLINK("https://ipmanager.doe.gov/IPManager//ExternalLink.aspx?6ibkph2k9yi6F%2B0Vz7YoTgZwfmYxrNyKfrKh%2BfefMhg%3D","Link")</f>
        <v>Link</v>
      </c>
      <c r="B2011" s="2" t="s">
        <v>1900</v>
      </c>
      <c r="C2011" s="2" t="s">
        <v>1896</v>
      </c>
      <c r="D2011" s="2" t="s">
        <v>1901</v>
      </c>
      <c r="E2011" s="2" t="s">
        <v>1902</v>
      </c>
      <c r="F2011" s="2" t="s">
        <v>1903</v>
      </c>
      <c r="G2011" s="2" t="s">
        <v>1904</v>
      </c>
      <c r="H2011" s="7"/>
      <c r="I2011" s="2" t="s">
        <v>9</v>
      </c>
    </row>
    <row r="2012" spans="1:9" ht="39" x14ac:dyDescent="0.3">
      <c r="A2012" s="1" t="str">
        <f>HYPERLINK("https://ipmanager.doe.gov/IPManager//ExternalLink.aspx?6ibkph2k9yi6F%2B0Vz7YoTnXVN2REjGcWBoqWYLpLUwM%3D","Link")</f>
        <v>Link</v>
      </c>
      <c r="B2012" s="2" t="s">
        <v>6437</v>
      </c>
      <c r="C2012" s="2" t="s">
        <v>6425</v>
      </c>
      <c r="D2012" s="2" t="s">
        <v>4404</v>
      </c>
      <c r="E2012" s="2" t="s">
        <v>6438</v>
      </c>
      <c r="F2012" s="2"/>
      <c r="G2012" s="2" t="s">
        <v>9</v>
      </c>
      <c r="H2012" s="7"/>
      <c r="I2012" s="2" t="s">
        <v>9</v>
      </c>
    </row>
    <row r="2013" spans="1:9" ht="39" x14ac:dyDescent="0.3">
      <c r="A2013" s="1" t="str">
        <f>HYPERLINK("https://ipmanager.doe.gov/IPManager//ExternalLink.aspx?6ibkph2k9yi6F%2B0Vz7YoTo7DPLa3%2F%2FGgP%2FhTfeybSPY%3D","Link")</f>
        <v>Link</v>
      </c>
      <c r="B2013" s="2" t="s">
        <v>4697</v>
      </c>
      <c r="C2013" s="2" t="s">
        <v>4698</v>
      </c>
      <c r="D2013" s="2" t="s">
        <v>1901</v>
      </c>
      <c r="E2013" s="2" t="s">
        <v>4699</v>
      </c>
      <c r="F2013" s="2" t="s">
        <v>4700</v>
      </c>
      <c r="G2013" s="2" t="s">
        <v>916</v>
      </c>
      <c r="H2013" s="7"/>
      <c r="I2013" s="2" t="s">
        <v>9</v>
      </c>
    </row>
    <row r="2014" spans="1:9" ht="52" x14ac:dyDescent="0.3">
      <c r="A2014" s="1" t="str">
        <f>HYPERLINK("https://ipmanager.doe.gov/IPManager//ExternalLink.aspx?6ibkph2k9yi6F%2B0Vz7YoTsTAnuFk5EoAhyC9Cdbyly8%3D","Link")</f>
        <v>Link</v>
      </c>
      <c r="B2014" s="2" t="s">
        <v>6442</v>
      </c>
      <c r="C2014" s="2" t="s">
        <v>6425</v>
      </c>
      <c r="D2014" s="2" t="s">
        <v>4404</v>
      </c>
      <c r="E2014" s="2" t="s">
        <v>6443</v>
      </c>
      <c r="F2014" s="2"/>
      <c r="G2014" s="2" t="s">
        <v>9</v>
      </c>
      <c r="H2014" s="7"/>
      <c r="I2014" s="2" t="s">
        <v>9</v>
      </c>
    </row>
    <row r="2015" spans="1:9" ht="39" x14ac:dyDescent="0.3">
      <c r="A2015" s="1" t="str">
        <f>HYPERLINK("https://ipmanager.doe.gov/IPManager//ExternalLink.aspx?6ibkph2k9yi6F%2B0Vz7YoTjnDGhmGHGI7OjMD8MnOoAw%3D","Link")</f>
        <v>Link</v>
      </c>
      <c r="B2015" s="2" t="s">
        <v>4701</v>
      </c>
      <c r="C2015" s="2" t="s">
        <v>4698</v>
      </c>
      <c r="D2015" s="2" t="s">
        <v>1901</v>
      </c>
      <c r="E2015" s="2" t="s">
        <v>4699</v>
      </c>
      <c r="F2015" s="2" t="s">
        <v>4700</v>
      </c>
      <c r="G2015" s="2" t="s">
        <v>916</v>
      </c>
      <c r="H2015" s="7"/>
      <c r="I2015" s="2" t="s">
        <v>9</v>
      </c>
    </row>
    <row r="2016" spans="1:9" ht="39" x14ac:dyDescent="0.3">
      <c r="A2016" s="1" t="str">
        <f>HYPERLINK("https://ipmanager.doe.gov/IPManager//ExternalLink.aspx?6ibkph2k9yi6F%2B0Vz7YoTsTAnuFk5EoAHuqBcnpBuOE%3D","Link")</f>
        <v>Link</v>
      </c>
      <c r="B2016" s="2" t="s">
        <v>6434</v>
      </c>
      <c r="C2016" s="2" t="s">
        <v>6425</v>
      </c>
      <c r="D2016" s="2" t="s">
        <v>4404</v>
      </c>
      <c r="E2016" s="2" t="s">
        <v>6435</v>
      </c>
      <c r="F2016" s="2"/>
      <c r="G2016" s="2" t="s">
        <v>9</v>
      </c>
      <c r="H2016" s="7"/>
      <c r="I2016" s="2" t="s">
        <v>9</v>
      </c>
    </row>
    <row r="2017" spans="1:9" ht="39" x14ac:dyDescent="0.3">
      <c r="A2017" s="1" t="str">
        <f>HYPERLINK("https://ipmanager.doe.gov/IPManager//ExternalLink.aspx?6ibkph2k9yi6F%2B0Vz7YoTvPUg%2FVZPl3id1Yk7bmfbtY%3D","Link")</f>
        <v>Link</v>
      </c>
      <c r="B2017" s="2" t="s">
        <v>4702</v>
      </c>
      <c r="C2017" s="2" t="s">
        <v>4698</v>
      </c>
      <c r="D2017" s="2" t="s">
        <v>1901</v>
      </c>
      <c r="E2017" s="2" t="s">
        <v>4703</v>
      </c>
      <c r="F2017" s="2" t="s">
        <v>4704</v>
      </c>
      <c r="G2017" s="2" t="s">
        <v>4705</v>
      </c>
      <c r="H2017" s="7"/>
      <c r="I2017" s="2" t="s">
        <v>9</v>
      </c>
    </row>
    <row r="2018" spans="1:9" ht="39" x14ac:dyDescent="0.3">
      <c r="A2018" s="1" t="str">
        <f>HYPERLINK("https://ipmanager.doe.gov/IPManager//ExternalLink.aspx?6ibkph2k9yi6F%2B0Vz7YoTvPUg%2FVZPl3i16iUSgTU%2BMI%3D","Link")</f>
        <v>Link</v>
      </c>
      <c r="B2018" s="2" t="s">
        <v>6451</v>
      </c>
      <c r="C2018" s="2" t="s">
        <v>6425</v>
      </c>
      <c r="D2018" s="2" t="s">
        <v>4404</v>
      </c>
      <c r="E2018" s="2" t="s">
        <v>6452</v>
      </c>
      <c r="F2018" s="2"/>
      <c r="G2018" s="2" t="s">
        <v>9</v>
      </c>
      <c r="H2018" s="7"/>
      <c r="I2018" s="2" t="s">
        <v>9</v>
      </c>
    </row>
    <row r="2019" spans="1:9" ht="39" x14ac:dyDescent="0.3">
      <c r="A2019" s="1" t="str">
        <f>HYPERLINK("https://ipmanager.doe.gov/IPManager//ExternalLink.aspx?6ibkph2k9yi6F%2B0Vz7YoTr7J5I%2BY4foYTFbJKIxtbmk%3D","Link")</f>
        <v>Link</v>
      </c>
      <c r="B2019" s="2" t="s">
        <v>4706</v>
      </c>
      <c r="C2019" s="2" t="s">
        <v>4698</v>
      </c>
      <c r="D2019" s="2" t="s">
        <v>1901</v>
      </c>
      <c r="E2019" s="2" t="s">
        <v>4707</v>
      </c>
      <c r="F2019" s="2" t="s">
        <v>4708</v>
      </c>
      <c r="G2019" s="2" t="s">
        <v>4709</v>
      </c>
      <c r="H2019" s="7"/>
      <c r="I2019" s="2" t="s">
        <v>9</v>
      </c>
    </row>
    <row r="2020" spans="1:9" ht="52" x14ac:dyDescent="0.3">
      <c r="A2020" s="1" t="str">
        <f>HYPERLINK("https://ipmanager.doe.gov/IPManager//ExternalLink.aspx?6ibkph2k9yi6F%2B0Vz7YoTjnDGhmGHGI7vp9pMoqWQ8o%3D","Link")</f>
        <v>Link</v>
      </c>
      <c r="B2020" s="2" t="s">
        <v>4765</v>
      </c>
      <c r="C2020" s="2" t="s">
        <v>4763</v>
      </c>
      <c r="D2020" s="2" t="s">
        <v>1901</v>
      </c>
      <c r="E2020" s="2" t="s">
        <v>4766</v>
      </c>
      <c r="F2020" s="2" t="s">
        <v>4767</v>
      </c>
      <c r="G2020" s="2" t="s">
        <v>4768</v>
      </c>
      <c r="H2020" s="7"/>
      <c r="I2020" s="2" t="s">
        <v>9</v>
      </c>
    </row>
    <row r="2021" spans="1:9" ht="52" x14ac:dyDescent="0.3">
      <c r="A2021" s="1" t="str">
        <f>HYPERLINK("https://ipmanager.doe.gov/IPManager//ExternalLink.aspx?6ibkph2k9yi6F%2B0Vz7YoTq6RR9BlGHHiUA7%2B3%2BAuYV4%3D","Link")</f>
        <v>Link</v>
      </c>
      <c r="B2021" s="2" t="s">
        <v>4769</v>
      </c>
      <c r="C2021" s="2" t="s">
        <v>4763</v>
      </c>
      <c r="D2021" s="2" t="s">
        <v>1901</v>
      </c>
      <c r="E2021" s="2" t="s">
        <v>4770</v>
      </c>
      <c r="F2021" s="2" t="s">
        <v>4771</v>
      </c>
      <c r="G2021" s="2" t="s">
        <v>2400</v>
      </c>
      <c r="H2021" s="7"/>
      <c r="I2021" s="2" t="s">
        <v>9</v>
      </c>
    </row>
    <row r="2022" spans="1:9" ht="52" x14ac:dyDescent="0.3">
      <c r="A2022" s="1" t="str">
        <f>HYPERLINK("https://ipmanager.doe.gov/IPManager//ExternalLink.aspx?6ibkph2k9yi6F%2B0Vz7YoTvPUg%2FVZPl3irfvMrT%2FvC84%3D","Link")</f>
        <v>Link</v>
      </c>
      <c r="B2022" s="2" t="s">
        <v>4772</v>
      </c>
      <c r="C2022" s="2" t="s">
        <v>4763</v>
      </c>
      <c r="D2022" s="2" t="s">
        <v>1901</v>
      </c>
      <c r="E2022" s="2" t="s">
        <v>4770</v>
      </c>
      <c r="F2022" s="2" t="s">
        <v>4773</v>
      </c>
      <c r="G2022" s="2" t="s">
        <v>4774</v>
      </c>
      <c r="H2022" s="7"/>
      <c r="I2022" s="2" t="s">
        <v>9</v>
      </c>
    </row>
    <row r="2023" spans="1:9" ht="65" x14ac:dyDescent="0.3">
      <c r="A2023" s="1" t="str">
        <f>HYPERLINK("https://ipmanager.doe.gov/IPManager//ExternalLink.aspx?6ibkph2k9yi6F%2B0Vz7YoTnXVN2REjGcWGgv4FpxitQc%3D","Link")</f>
        <v>Link</v>
      </c>
      <c r="B2023" s="2" t="s">
        <v>4777</v>
      </c>
      <c r="C2023" s="2" t="s">
        <v>4763</v>
      </c>
      <c r="D2023" s="2" t="s">
        <v>1901</v>
      </c>
      <c r="E2023" s="2" t="s">
        <v>4778</v>
      </c>
      <c r="F2023" s="2" t="s">
        <v>4779</v>
      </c>
      <c r="G2023" s="2" t="s">
        <v>4780</v>
      </c>
      <c r="H2023" s="7"/>
      <c r="I2023" s="2" t="s">
        <v>9</v>
      </c>
    </row>
    <row r="2024" spans="1:9" ht="52" x14ac:dyDescent="0.3">
      <c r="A2024" s="1" t="str">
        <f>HYPERLINK("https://ipmanager.doe.gov/IPManager//ExternalLink.aspx?6ibkph2k9yi6F%2B0Vz7YoTp68px7nSN2grj8l68zoKcc%3D","Link")</f>
        <v>Link</v>
      </c>
      <c r="B2024" s="2" t="s">
        <v>4781</v>
      </c>
      <c r="C2024" s="2" t="s">
        <v>4763</v>
      </c>
      <c r="D2024" s="2" t="s">
        <v>1901</v>
      </c>
      <c r="E2024" s="2" t="s">
        <v>4782</v>
      </c>
      <c r="F2024" s="2" t="s">
        <v>4783</v>
      </c>
      <c r="G2024" s="2" t="s">
        <v>4155</v>
      </c>
      <c r="H2024" s="7"/>
      <c r="I2024" s="2" t="s">
        <v>9</v>
      </c>
    </row>
    <row r="2025" spans="1:9" ht="39" x14ac:dyDescent="0.3">
      <c r="A2025" s="1" t="str">
        <f>HYPERLINK("https://ipmanager.doe.gov/IPManager//ExternalLink.aspx?6ibkph2k9yi6F%2B0Vz7YoTo7DPLa3%2F%2FGg6bthB1LuCWU%3D","Link")</f>
        <v>Link</v>
      </c>
      <c r="B2025" s="2" t="s">
        <v>6474</v>
      </c>
      <c r="C2025" s="2" t="s">
        <v>6467</v>
      </c>
      <c r="D2025" s="2" t="s">
        <v>1793</v>
      </c>
      <c r="E2025" s="2" t="s">
        <v>6475</v>
      </c>
      <c r="F2025" s="2"/>
      <c r="G2025" s="2" t="s">
        <v>9</v>
      </c>
      <c r="H2025" s="7"/>
      <c r="I2025" s="2" t="s">
        <v>9</v>
      </c>
    </row>
    <row r="2026" spans="1:9" ht="52" x14ac:dyDescent="0.3">
      <c r="A2026" s="1" t="str">
        <f>HYPERLINK("https://ipmanager.doe.gov/IPManager//ExternalLink.aspx?6ibkph2k9yi6F%2B0Vz7YoTvE8yjoHgvp6Mm%2BBQmlAmH0%3D","Link")</f>
        <v>Link</v>
      </c>
      <c r="B2026" s="2" t="s">
        <v>4786</v>
      </c>
      <c r="C2026" s="2" t="s">
        <v>4763</v>
      </c>
      <c r="D2026" s="2" t="s">
        <v>1901</v>
      </c>
      <c r="E2026" s="2" t="s">
        <v>4782</v>
      </c>
      <c r="F2026" s="2" t="s">
        <v>4787</v>
      </c>
      <c r="G2026" s="2" t="s">
        <v>4788</v>
      </c>
      <c r="H2026" s="7"/>
      <c r="I2026" s="2" t="s">
        <v>9</v>
      </c>
    </row>
    <row r="2027" spans="1:9" ht="26" x14ac:dyDescent="0.3">
      <c r="A2027" s="1" t="str">
        <f>HYPERLINK("https://ipmanager.doe.gov/IPManager//ExternalLink.aspx?6ibkph2k9yi6F%2B0Vz7YoTp68px7nSN2g%2FaU9d7OZBaM%3D","Link")</f>
        <v>Link</v>
      </c>
      <c r="B2027" s="2" t="s">
        <v>6481</v>
      </c>
      <c r="C2027" s="2" t="s">
        <v>6477</v>
      </c>
      <c r="D2027" s="2" t="s">
        <v>1064</v>
      </c>
      <c r="E2027" s="2" t="s">
        <v>6482</v>
      </c>
      <c r="F2027" s="2"/>
      <c r="G2027" s="2" t="s">
        <v>9</v>
      </c>
      <c r="H2027" s="7"/>
      <c r="I2027" s="2" t="s">
        <v>9</v>
      </c>
    </row>
    <row r="2028" spans="1:9" ht="39" x14ac:dyDescent="0.3">
      <c r="A2028" s="1" t="str">
        <f>HYPERLINK("https://ipmanager.doe.gov/IPManager//ExternalLink.aspx?6ibkph2k9yi6F%2B0Vz7YoTvE8yjoHgvp61PEOWg%2BvVBE%3D","Link")</f>
        <v>Link</v>
      </c>
      <c r="B2028" s="2" t="s">
        <v>6483</v>
      </c>
      <c r="C2028" s="2" t="s">
        <v>6477</v>
      </c>
      <c r="D2028" s="2" t="s">
        <v>1064</v>
      </c>
      <c r="E2028" s="2" t="s">
        <v>6484</v>
      </c>
      <c r="F2028" s="2"/>
      <c r="G2028" s="2" t="s">
        <v>9</v>
      </c>
      <c r="H2028" s="7"/>
      <c r="I2028" s="2" t="s">
        <v>9</v>
      </c>
    </row>
    <row r="2029" spans="1:9" ht="52" x14ac:dyDescent="0.3">
      <c r="A2029" s="1" t="str">
        <f>HYPERLINK("https://ipmanager.doe.gov/IPManager//ExternalLink.aspx?6ibkph2k9yi6F%2B0Vz7YoTq6RR9BlGHHif5MRVxoPrCA%3D","Link")</f>
        <v>Link</v>
      </c>
      <c r="B2029" s="2" t="s">
        <v>4789</v>
      </c>
      <c r="C2029" s="2" t="s">
        <v>4763</v>
      </c>
      <c r="D2029" s="2" t="s">
        <v>1901</v>
      </c>
      <c r="E2029" s="2" t="s">
        <v>4790</v>
      </c>
      <c r="F2029" s="2" t="s">
        <v>4791</v>
      </c>
      <c r="G2029" s="2" t="s">
        <v>4792</v>
      </c>
      <c r="H2029" s="7"/>
      <c r="I2029" s="2" t="s">
        <v>9</v>
      </c>
    </row>
    <row r="2030" spans="1:9" ht="52" x14ac:dyDescent="0.3">
      <c r="A2030" s="1" t="str">
        <f>HYPERLINK("https://ipmanager.doe.gov/IPManager//ExternalLink.aspx?6ibkph2k9yi6F%2B0Vz7YoTkqAgjuWMa9QDUED00FIFFk%3D","Link")</f>
        <v>Link</v>
      </c>
      <c r="B2030" s="2" t="s">
        <v>4793</v>
      </c>
      <c r="C2030" s="2" t="s">
        <v>4763</v>
      </c>
      <c r="D2030" s="2" t="s">
        <v>1901</v>
      </c>
      <c r="E2030" s="2" t="s">
        <v>4790</v>
      </c>
      <c r="F2030" s="2" t="s">
        <v>4784</v>
      </c>
      <c r="G2030" s="2" t="s">
        <v>2186</v>
      </c>
      <c r="H2030" s="7"/>
      <c r="I2030" s="2" t="s">
        <v>9</v>
      </c>
    </row>
    <row r="2031" spans="1:9" ht="26" x14ac:dyDescent="0.3">
      <c r="A2031" s="1" t="str">
        <f>HYPERLINK("https://ipmanager.doe.gov/IPManager//ExternalLink.aspx?6ibkph2k9yi6F%2B0Vz7YoTjnDGhmGHGI72fq1Pobfj8c%3D","Link")</f>
        <v>Link</v>
      </c>
      <c r="B2031" s="2" t="s">
        <v>5599</v>
      </c>
      <c r="C2031" s="2" t="s">
        <v>5600</v>
      </c>
      <c r="D2031" s="2" t="s">
        <v>1901</v>
      </c>
      <c r="E2031" s="2" t="s">
        <v>5601</v>
      </c>
      <c r="F2031" s="2" t="s">
        <v>5602</v>
      </c>
      <c r="G2031" s="2" t="s">
        <v>5603</v>
      </c>
      <c r="H2031" s="7"/>
      <c r="I2031" s="2" t="s">
        <v>9</v>
      </c>
    </row>
    <row r="2032" spans="1:9" ht="26" x14ac:dyDescent="0.3">
      <c r="A2032" s="1" t="str">
        <f>HYPERLINK("https://ipmanager.doe.gov/IPManager//ExternalLink.aspx?6ibkph2k9yi6F%2B0Vz7YoTo7DPLa3%2F%2FGglwUJ1YRI0DI%3D","Link")</f>
        <v>Link</v>
      </c>
      <c r="B2032" s="2" t="s">
        <v>5605</v>
      </c>
      <c r="C2032" s="2" t="s">
        <v>5600</v>
      </c>
      <c r="D2032" s="2" t="s">
        <v>1901</v>
      </c>
      <c r="E2032" s="2" t="s">
        <v>5601</v>
      </c>
      <c r="F2032" s="2" t="s">
        <v>5606</v>
      </c>
      <c r="G2032" s="2" t="s">
        <v>5604</v>
      </c>
      <c r="H2032" s="7"/>
      <c r="I2032" s="2" t="s">
        <v>9</v>
      </c>
    </row>
    <row r="2033" spans="1:9" ht="39" x14ac:dyDescent="0.3">
      <c r="A2033" s="1" t="str">
        <f>HYPERLINK("https://ipmanager.doe.gov/IPManager//ExternalLink.aspx?6ibkph2k9yi6F%2B0Vz7YoTsTAnuFk5EoAkesn7%2F42QRU%3D","Link")</f>
        <v>Link</v>
      </c>
      <c r="B2033" s="2" t="s">
        <v>5681</v>
      </c>
      <c r="C2033" s="2" t="s">
        <v>5682</v>
      </c>
      <c r="D2033" s="2" t="s">
        <v>1901</v>
      </c>
      <c r="E2033" s="2" t="s">
        <v>5683</v>
      </c>
      <c r="F2033" s="2" t="s">
        <v>5684</v>
      </c>
      <c r="G2033" s="2" t="s">
        <v>5685</v>
      </c>
      <c r="H2033" s="7"/>
      <c r="I2033" s="2" t="s">
        <v>9</v>
      </c>
    </row>
    <row r="2034" spans="1:9" ht="39" x14ac:dyDescent="0.3">
      <c r="A2034" s="1" t="str">
        <f>HYPERLINK("https://ipmanager.doe.gov/IPManager//ExternalLink.aspx?6ibkph2k9yi6F%2B0Vz7YoTsTAnuFk5EoAzgdnOOZaq%2B0%3D","Link")</f>
        <v>Link</v>
      </c>
      <c r="B2034" s="2" t="s">
        <v>5686</v>
      </c>
      <c r="C2034" s="2" t="s">
        <v>5682</v>
      </c>
      <c r="D2034" s="2" t="s">
        <v>1901</v>
      </c>
      <c r="E2034" s="2" t="s">
        <v>5683</v>
      </c>
      <c r="F2034" s="2" t="s">
        <v>5687</v>
      </c>
      <c r="G2034" s="2" t="s">
        <v>845</v>
      </c>
      <c r="H2034" s="7"/>
      <c r="I2034" s="2" t="s">
        <v>9</v>
      </c>
    </row>
    <row r="2035" spans="1:9" ht="39" x14ac:dyDescent="0.3">
      <c r="A2035" s="1" t="str">
        <f>HYPERLINK("https://ipmanager.doe.gov/IPManager//ExternalLink.aspx?6ibkph2k9yi6F%2B0Vz7YoTq6RR9BlGHHiLmVd32PzH1E%3D","Link")</f>
        <v>Link</v>
      </c>
      <c r="B2035" s="2" t="s">
        <v>6508</v>
      </c>
      <c r="C2035" s="2" t="s">
        <v>6509</v>
      </c>
      <c r="D2035" s="2" t="s">
        <v>3066</v>
      </c>
      <c r="E2035" s="2" t="s">
        <v>6510</v>
      </c>
      <c r="F2035" s="2"/>
      <c r="G2035" s="2" t="s">
        <v>9</v>
      </c>
      <c r="H2035" s="7"/>
      <c r="I2035" s="2" t="s">
        <v>9</v>
      </c>
    </row>
    <row r="2036" spans="1:9" ht="39" x14ac:dyDescent="0.3">
      <c r="A2036" s="1" t="str">
        <f>HYPERLINK("https://ipmanager.doe.gov/IPManager//ExternalLink.aspx?6ibkph2k9yi6F%2B0Vz7YoTipZ798QK%2BbPB7HDWMc1t3w%3D","Link")</f>
        <v>Link</v>
      </c>
      <c r="B2036" s="2" t="s">
        <v>2665</v>
      </c>
      <c r="C2036" s="2" t="s">
        <v>2659</v>
      </c>
      <c r="D2036" s="2" t="s">
        <v>1343</v>
      </c>
      <c r="E2036" s="2" t="s">
        <v>2666</v>
      </c>
      <c r="F2036" s="2" t="s">
        <v>2667</v>
      </c>
      <c r="G2036" s="2" t="s">
        <v>2668</v>
      </c>
      <c r="H2036" s="7"/>
      <c r="I2036" s="2" t="s">
        <v>9</v>
      </c>
    </row>
    <row r="2037" spans="1:9" ht="65" x14ac:dyDescent="0.3">
      <c r="A2037" s="1" t="str">
        <f>HYPERLINK("https://ipmanager.doe.gov/IPManager//ExternalLink.aspx?6ibkph2k9yi6F%2B0Vz7YoTq6RR9BlGHHipp2kNMJQfeM%3D","Link")</f>
        <v>Link</v>
      </c>
      <c r="B2037" s="2" t="s">
        <v>6515</v>
      </c>
      <c r="C2037" s="2" t="s">
        <v>6512</v>
      </c>
      <c r="D2037" s="2" t="s">
        <v>1474</v>
      </c>
      <c r="E2037" s="2" t="s">
        <v>6516</v>
      </c>
      <c r="F2037" s="2"/>
      <c r="G2037" s="2" t="s">
        <v>9</v>
      </c>
      <c r="H2037" s="7"/>
      <c r="I2037" s="2" t="s">
        <v>9</v>
      </c>
    </row>
    <row r="2038" spans="1:9" ht="104" x14ac:dyDescent="0.3">
      <c r="A2038" s="1" t="str">
        <f>HYPERLINK("https://ipmanager.doe.gov/IPManager//ExternalLink.aspx?6ibkph2k9yi6F%2B0Vz7YoTq6RR9BlGHHiHtHKBexTUcg%3D","Link")</f>
        <v>Link</v>
      </c>
      <c r="B2038" s="2" t="s">
        <v>2671</v>
      </c>
      <c r="C2038" s="2" t="s">
        <v>2659</v>
      </c>
      <c r="D2038" s="2" t="s">
        <v>1343</v>
      </c>
      <c r="E2038" s="2" t="s">
        <v>2662</v>
      </c>
      <c r="F2038" s="2" t="s">
        <v>2672</v>
      </c>
      <c r="G2038" s="2" t="s">
        <v>2673</v>
      </c>
      <c r="H2038" s="7"/>
      <c r="I2038" s="2" t="s">
        <v>9</v>
      </c>
    </row>
    <row r="2039" spans="1:9" ht="52" x14ac:dyDescent="0.3">
      <c r="A2039" s="1" t="str">
        <f>HYPERLINK("https://ipmanager.doe.gov/IPManager//ExternalLink.aspx?6ibkph2k9yi6F%2B0Vz7YoTvPUg%2FVZPl3iAJACeM3uFZM%3D","Link")</f>
        <v>Link</v>
      </c>
      <c r="B2039" s="2" t="s">
        <v>2676</v>
      </c>
      <c r="C2039" s="2" t="s">
        <v>2659</v>
      </c>
      <c r="D2039" s="2" t="s">
        <v>1343</v>
      </c>
      <c r="E2039" s="2" t="s">
        <v>2677</v>
      </c>
      <c r="F2039" s="2" t="s">
        <v>2678</v>
      </c>
      <c r="G2039" s="2" t="s">
        <v>2679</v>
      </c>
      <c r="H2039" s="7"/>
      <c r="I2039" s="2" t="s">
        <v>9</v>
      </c>
    </row>
    <row r="2040" spans="1:9" ht="52" x14ac:dyDescent="0.3">
      <c r="A2040" s="1" t="str">
        <f>HYPERLINK("https://ipmanager.doe.gov/IPManager//ExternalLink.aspx?6ibkph2k9yi6F%2B0Vz7YoTipZ798QK%2BbPpRCRlOHwEo8%3D","Link")</f>
        <v>Link</v>
      </c>
      <c r="B2040" s="2" t="s">
        <v>2676</v>
      </c>
      <c r="C2040" s="2" t="s">
        <v>2659</v>
      </c>
      <c r="D2040" s="2" t="s">
        <v>1343</v>
      </c>
      <c r="E2040" s="2" t="s">
        <v>2677</v>
      </c>
      <c r="F2040" s="2" t="s">
        <v>2680</v>
      </c>
      <c r="G2040" s="2" t="s">
        <v>2679</v>
      </c>
      <c r="H2040" s="7"/>
      <c r="I2040" s="2" t="s">
        <v>9</v>
      </c>
    </row>
    <row r="2041" spans="1:9" ht="39" x14ac:dyDescent="0.3">
      <c r="A2041" s="1" t="str">
        <f>HYPERLINK("https://ipmanager.doe.gov/IPManager//ExternalLink.aspx?6ibkph2k9yi6F%2B0Vz7YoTgZwfmYxrNyKzQvwX8L1MIw%3D","Link")</f>
        <v>Link</v>
      </c>
      <c r="B2041" s="2" t="s">
        <v>3462</v>
      </c>
      <c r="C2041" s="2" t="s">
        <v>3445</v>
      </c>
      <c r="D2041" s="2" t="s">
        <v>3455</v>
      </c>
      <c r="E2041" s="2" t="s">
        <v>3463</v>
      </c>
      <c r="F2041" s="2" t="s">
        <v>3464</v>
      </c>
      <c r="G2041" s="2" t="s">
        <v>3465</v>
      </c>
      <c r="H2041" s="7"/>
      <c r="I2041" s="2" t="s">
        <v>9</v>
      </c>
    </row>
    <row r="2042" spans="1:9" ht="39" x14ac:dyDescent="0.3">
      <c r="A2042" s="1" t="str">
        <f>HYPERLINK("https://ipmanager.doe.gov/IPManager//ExternalLink.aspx?6ibkph2k9yi6F%2B0Vz7YoTlNm8snv%2FZpHZJKXrJYSfmM%3D","Link")</f>
        <v>Link</v>
      </c>
      <c r="B2042" s="2" t="s">
        <v>3467</v>
      </c>
      <c r="C2042" s="2" t="s">
        <v>3445</v>
      </c>
      <c r="D2042" s="2" t="s">
        <v>3455</v>
      </c>
      <c r="E2042" s="2" t="s">
        <v>3463</v>
      </c>
      <c r="F2042" s="2" t="s">
        <v>3468</v>
      </c>
      <c r="G2042" s="2" t="s">
        <v>3465</v>
      </c>
      <c r="H2042" s="7"/>
      <c r="I2042" s="2" t="s">
        <v>9</v>
      </c>
    </row>
    <row r="2043" spans="1:9" ht="26" x14ac:dyDescent="0.3">
      <c r="A2043" s="1" t="str">
        <f>HYPERLINK("https://ipmanager.doe.gov/IPManager//ExternalLink.aspx?6ibkph2k9yi6F%2B0Vz7YoTo7DPLa3%2F%2FGgeohQ6Urfar8%3D","Link")</f>
        <v>Link</v>
      </c>
      <c r="B2043" s="2" t="s">
        <v>6529</v>
      </c>
      <c r="C2043" s="2" t="s">
        <v>6530</v>
      </c>
      <c r="D2043" s="2" t="s">
        <v>4419</v>
      </c>
      <c r="E2043" s="2" t="s">
        <v>6531</v>
      </c>
      <c r="F2043" s="2"/>
      <c r="G2043" s="2" t="s">
        <v>9</v>
      </c>
      <c r="H2043" s="7"/>
      <c r="I2043" s="2" t="s">
        <v>9</v>
      </c>
    </row>
    <row r="2044" spans="1:9" ht="26" x14ac:dyDescent="0.3">
      <c r="A2044" s="1" t="str">
        <f>HYPERLINK("https://ipmanager.doe.gov/IPManager//ExternalLink.aspx?6ibkph2k9yi6F%2B0Vz7YoTvPUg%2FVZPl3iI6qnh1cPmTo%3D","Link")</f>
        <v>Link</v>
      </c>
      <c r="B2044" s="2" t="s">
        <v>6532</v>
      </c>
      <c r="C2044" s="2" t="s">
        <v>6530</v>
      </c>
      <c r="D2044" s="2" t="s">
        <v>4419</v>
      </c>
      <c r="E2044" s="2" t="s">
        <v>4426</v>
      </c>
      <c r="F2044" s="2" t="s">
        <v>7661</v>
      </c>
      <c r="G2044" s="2" t="s">
        <v>2525</v>
      </c>
      <c r="H2044" s="8">
        <v>9815021</v>
      </c>
      <c r="I2044" s="2" t="s">
        <v>5958</v>
      </c>
    </row>
    <row r="2045" spans="1:9" ht="26" x14ac:dyDescent="0.3">
      <c r="A2045" s="1" t="str">
        <f>HYPERLINK("https://ipmanager.doe.gov/IPManager//ExternalLink.aspx?6ibkph2k9yi6F%2B0Vz7YoTjnDGhmGHGI79txfTPJ%2Fe38%3D","Link")</f>
        <v>Link</v>
      </c>
      <c r="B2045" s="2" t="s">
        <v>5053</v>
      </c>
      <c r="C2045" s="2" t="s">
        <v>5052</v>
      </c>
      <c r="D2045" s="2" t="s">
        <v>3455</v>
      </c>
      <c r="E2045" s="2" t="s">
        <v>5054</v>
      </c>
      <c r="F2045" s="2" t="s">
        <v>5055</v>
      </c>
      <c r="G2045" s="2" t="s">
        <v>2395</v>
      </c>
      <c r="H2045" s="7"/>
      <c r="I2045" s="2" t="s">
        <v>9</v>
      </c>
    </row>
    <row r="2046" spans="1:9" ht="26" x14ac:dyDescent="0.3">
      <c r="A2046" s="1" t="str">
        <f>HYPERLINK("https://ipmanager.doe.gov/IPManager//ExternalLink.aspx?6ibkph2k9yi6F%2B0Vz7YoTnXVN2REjGcW0OuxayZhuNY%3D","Link")</f>
        <v>Link</v>
      </c>
      <c r="B2046" s="2" t="s">
        <v>5613</v>
      </c>
      <c r="C2046" s="2" t="s">
        <v>5614</v>
      </c>
      <c r="D2046" s="2" t="s">
        <v>3455</v>
      </c>
      <c r="E2046" s="2" t="s">
        <v>5615</v>
      </c>
      <c r="F2046" s="2" t="s">
        <v>5616</v>
      </c>
      <c r="G2046" s="2" t="s">
        <v>5617</v>
      </c>
      <c r="H2046" s="2"/>
      <c r="I2046" s="2" t="s">
        <v>9</v>
      </c>
    </row>
    <row r="2047" spans="1:9" ht="65" x14ac:dyDescent="0.3">
      <c r="A2047" s="1" t="str">
        <f>HYPERLINK("https://ipmanager.doe.gov/IPManager//ExternalLink.aspx?6ibkph2k9yi6F%2B0Vz7YoTkqAgjuWMa9QNXwZBSKUjUc%3D","Link")</f>
        <v>Link</v>
      </c>
      <c r="B2047" s="2" t="s">
        <v>7084</v>
      </c>
      <c r="C2047" s="2" t="s">
        <v>7085</v>
      </c>
      <c r="D2047" s="2" t="s">
        <v>3455</v>
      </c>
      <c r="E2047" s="2" t="s">
        <v>7086</v>
      </c>
      <c r="F2047" s="2" t="s">
        <v>7087</v>
      </c>
      <c r="G2047" s="2" t="s">
        <v>5096</v>
      </c>
      <c r="H2047" s="2"/>
      <c r="I2047" s="2" t="s">
        <v>9</v>
      </c>
    </row>
    <row r="2048" spans="1:9" ht="26" x14ac:dyDescent="0.3">
      <c r="A2048" s="1" t="str">
        <f>HYPERLINK("https://ipmanager.doe.gov/IPManager//ExternalLink.aspx?6ibkph2k9yi6F%2B0Vz7YoTp68px7nSN2gDhXR24G8QNw%3D","Link")</f>
        <v>Link</v>
      </c>
      <c r="B2048" s="2" t="s">
        <v>6543</v>
      </c>
      <c r="C2048" s="2" t="s">
        <v>6530</v>
      </c>
      <c r="D2048" s="2" t="s">
        <v>4419</v>
      </c>
      <c r="E2048" s="2" t="s">
        <v>6544</v>
      </c>
      <c r="F2048" s="2"/>
      <c r="G2048" s="2" t="s">
        <v>9</v>
      </c>
      <c r="H2048" s="2"/>
      <c r="I2048" s="2" t="s">
        <v>9</v>
      </c>
    </row>
    <row r="2049" spans="1:9" ht="52" x14ac:dyDescent="0.3">
      <c r="A2049" s="1" t="str">
        <f>HYPERLINK("https://ipmanager.doe.gov/IPManager//ExternalLink.aspx?6ibkph2k9yi6F%2B0Vz7YoTp68px7nSN2gvUUCY2FM9UY%3D","Link")</f>
        <v>Link</v>
      </c>
      <c r="B2049" s="2" t="s">
        <v>6545</v>
      </c>
      <c r="C2049" s="2" t="s">
        <v>6530</v>
      </c>
      <c r="D2049" s="2" t="s">
        <v>4419</v>
      </c>
      <c r="E2049" s="2" t="s">
        <v>6546</v>
      </c>
      <c r="F2049" s="2"/>
      <c r="G2049" s="2" t="s">
        <v>9</v>
      </c>
      <c r="H2049" s="2"/>
      <c r="I2049" s="2" t="s">
        <v>9</v>
      </c>
    </row>
    <row r="2050" spans="1:9" ht="26" x14ac:dyDescent="0.3">
      <c r="A2050" s="1" t="str">
        <f>HYPERLINK("https://ipmanager.doe.gov/IPManager//ExternalLink.aspx?6ibkph2k9yi6F%2B0Vz7YoTipZ798QK%2BbPLNgwwJwkOkA%3D","Link")</f>
        <v>Link</v>
      </c>
      <c r="B2050" s="2" t="s">
        <v>2318</v>
      </c>
      <c r="C2050" s="2" t="s">
        <v>2315</v>
      </c>
      <c r="D2050" s="2" t="s">
        <v>2316</v>
      </c>
      <c r="E2050" s="2" t="s">
        <v>2319</v>
      </c>
      <c r="F2050" s="2" t="s">
        <v>2320</v>
      </c>
      <c r="G2050" s="2" t="s">
        <v>1031</v>
      </c>
      <c r="H2050" s="2"/>
      <c r="I2050" s="2" t="s">
        <v>9</v>
      </c>
    </row>
    <row r="2051" spans="1:9" ht="26" x14ac:dyDescent="0.3">
      <c r="A2051" s="1" t="str">
        <f>HYPERLINK("https://ipmanager.doe.gov/IPManager//ExternalLink.aspx?6ibkph2k9yi6F%2B0Vz7YoTk2BI6w%2FjZ2fjO6mPaBFMoU%3D","Link")</f>
        <v>Link</v>
      </c>
      <c r="B2051" s="2" t="s">
        <v>2323</v>
      </c>
      <c r="C2051" s="2" t="s">
        <v>2315</v>
      </c>
      <c r="D2051" s="2" t="s">
        <v>2316</v>
      </c>
      <c r="E2051" s="2" t="s">
        <v>2324</v>
      </c>
      <c r="F2051" s="2" t="s">
        <v>2325</v>
      </c>
      <c r="G2051" s="2" t="s">
        <v>2326</v>
      </c>
      <c r="H2051" s="2"/>
      <c r="I2051" s="2" t="s">
        <v>9</v>
      </c>
    </row>
    <row r="2052" spans="1:9" ht="26" x14ac:dyDescent="0.3">
      <c r="A2052" s="1" t="str">
        <f>HYPERLINK("https://ipmanager.doe.gov/IPManager//ExternalLink.aspx?6ibkph2k9yi6F%2B0Vz7YoTk2BI6w%2FjZ2fQD81c2brC%2FI%3D","Link")</f>
        <v>Link</v>
      </c>
      <c r="B2052" s="2" t="s">
        <v>2336</v>
      </c>
      <c r="C2052" s="2" t="s">
        <v>2315</v>
      </c>
      <c r="D2052" s="2" t="s">
        <v>2316</v>
      </c>
      <c r="E2052" s="2" t="s">
        <v>2337</v>
      </c>
      <c r="F2052" s="2" t="s">
        <v>2338</v>
      </c>
      <c r="G2052" s="2" t="s">
        <v>759</v>
      </c>
      <c r="H2052" s="2"/>
      <c r="I2052" s="2" t="s">
        <v>9</v>
      </c>
    </row>
    <row r="2053" spans="1:9" ht="39" x14ac:dyDescent="0.3">
      <c r="A2053" s="1" t="str">
        <f>HYPERLINK("https://ipmanager.doe.gov/IPManager//ExternalLink.aspx?6ibkph2k9yi6F%2B0Vz7YoTk2BI6w%2FjZ2fwB%2Bud6Cj0pM%3D","Link")</f>
        <v>Link</v>
      </c>
      <c r="B2053" s="2" t="s">
        <v>2339</v>
      </c>
      <c r="C2053" s="2" t="s">
        <v>2315</v>
      </c>
      <c r="D2053" s="2" t="s">
        <v>2316</v>
      </c>
      <c r="E2053" s="2" t="s">
        <v>2340</v>
      </c>
      <c r="F2053" s="2" t="s">
        <v>2626</v>
      </c>
      <c r="G2053" s="2" t="s">
        <v>759</v>
      </c>
      <c r="H2053" s="2"/>
      <c r="I2053" s="2" t="s">
        <v>9</v>
      </c>
    </row>
    <row r="2054" spans="1:9" ht="52" x14ac:dyDescent="0.3">
      <c r="A2054" s="1" t="str">
        <f>HYPERLINK("https://ipmanager.doe.gov/IPManager//ExternalLink.aspx?6ibkph2k9yi6F%2B0Vz7YoTk2BI6w%2FjZ2fn14J614TAIo%3D","Link")</f>
        <v>Link</v>
      </c>
      <c r="B2054" s="2" t="s">
        <v>2343</v>
      </c>
      <c r="C2054" s="2" t="s">
        <v>2315</v>
      </c>
      <c r="D2054" s="2" t="s">
        <v>2316</v>
      </c>
      <c r="E2054" s="2" t="s">
        <v>2344</v>
      </c>
      <c r="F2054" s="2" t="s">
        <v>2345</v>
      </c>
      <c r="G2054" s="2" t="s">
        <v>2346</v>
      </c>
      <c r="H2054" s="2"/>
      <c r="I2054" s="2" t="s">
        <v>9</v>
      </c>
    </row>
    <row r="2055" spans="1:9" ht="78" x14ac:dyDescent="0.3">
      <c r="A2055" s="1" t="str">
        <f>HYPERLINK("https://ipmanager.doe.gov/IPManager//ExternalLink.aspx?6ibkph2k9yi6F%2B0Vz7YoTr7J5I%2BY4foYBiuuVvvKkYo%3D","Link")</f>
        <v>Link</v>
      </c>
      <c r="B2055" s="2" t="s">
        <v>2572</v>
      </c>
      <c r="C2055" s="2" t="s">
        <v>2573</v>
      </c>
      <c r="D2055" s="2" t="s">
        <v>2316</v>
      </c>
      <c r="E2055" s="2" t="s">
        <v>2574</v>
      </c>
      <c r="F2055" s="2" t="s">
        <v>2575</v>
      </c>
      <c r="G2055" s="2" t="s">
        <v>1512</v>
      </c>
      <c r="H2055" s="2"/>
      <c r="I2055" s="2" t="s">
        <v>9</v>
      </c>
    </row>
    <row r="2056" spans="1:9" ht="26" x14ac:dyDescent="0.3">
      <c r="A2056" s="1" t="str">
        <f>HYPERLINK("https://ipmanager.doe.gov/IPManager//ExternalLink.aspx?6ibkph2k9yi6F%2B0Vz7YoTipZ798QK%2BbPxTlhupn%2FWmo%3D","Link")</f>
        <v>Link</v>
      </c>
      <c r="B2056" s="2" t="s">
        <v>2580</v>
      </c>
      <c r="C2056" s="2" t="s">
        <v>2573</v>
      </c>
      <c r="D2056" s="2" t="s">
        <v>2316</v>
      </c>
      <c r="E2056" s="2" t="s">
        <v>2581</v>
      </c>
      <c r="F2056" s="2" t="s">
        <v>2582</v>
      </c>
      <c r="G2056" s="2" t="s">
        <v>2583</v>
      </c>
      <c r="H2056" s="2"/>
      <c r="I2056" s="2" t="s">
        <v>9</v>
      </c>
    </row>
    <row r="2057" spans="1:9" ht="39" x14ac:dyDescent="0.3">
      <c r="A2057" s="1" t="str">
        <f>HYPERLINK("https://ipmanager.doe.gov/IPManager//ExternalLink.aspx?6ibkph2k9yi6F%2B0Vz7YoTvPUg%2FVZPl3i%2FKBPQXDqv7c%3D","Link")</f>
        <v>Link</v>
      </c>
      <c r="B2057" s="2" t="s">
        <v>6575</v>
      </c>
      <c r="C2057" s="2" t="s">
        <v>6548</v>
      </c>
      <c r="D2057" s="2" t="s">
        <v>6555</v>
      </c>
      <c r="E2057" s="2" t="s">
        <v>6576</v>
      </c>
      <c r="F2057" s="2"/>
      <c r="G2057" s="2" t="s">
        <v>9</v>
      </c>
      <c r="H2057" s="2"/>
      <c r="I2057" s="2" t="s">
        <v>9</v>
      </c>
    </row>
    <row r="2058" spans="1:9" ht="52" x14ac:dyDescent="0.3">
      <c r="A2058" s="1" t="str">
        <f>HYPERLINK("https://ipmanager.doe.gov/IPManager//ExternalLink.aspx?6ibkph2k9yi6F%2B0Vz7YoTr7J5I%2BY4foYGfgtiUN%2BNvk%3D","Link")</f>
        <v>Link</v>
      </c>
      <c r="B2058" s="2" t="s">
        <v>2587</v>
      </c>
      <c r="C2058" s="2" t="s">
        <v>2573</v>
      </c>
      <c r="D2058" s="2" t="s">
        <v>2316</v>
      </c>
      <c r="E2058" s="2" t="s">
        <v>2588</v>
      </c>
      <c r="F2058" s="2" t="s">
        <v>2589</v>
      </c>
      <c r="G2058" s="2" t="s">
        <v>1512</v>
      </c>
      <c r="H2058" s="2"/>
      <c r="I2058" s="2" t="s">
        <v>9</v>
      </c>
    </row>
    <row r="2059" spans="1:9" ht="52" x14ac:dyDescent="0.3">
      <c r="A2059" s="1" t="str">
        <f>HYPERLINK("https://ipmanager.doe.gov/IPManager//ExternalLink.aspx?6ibkph2k9yi6F%2B0Vz7YoTjnDGhmGHGI7XbB59D40fvM%3D","Link")</f>
        <v>Link</v>
      </c>
      <c r="B2059" s="2" t="s">
        <v>2593</v>
      </c>
      <c r="C2059" s="2" t="s">
        <v>2573</v>
      </c>
      <c r="D2059" s="2" t="s">
        <v>2316</v>
      </c>
      <c r="E2059" s="2" t="s">
        <v>2344</v>
      </c>
      <c r="F2059" s="2" t="s">
        <v>2594</v>
      </c>
      <c r="G2059" s="2" t="s">
        <v>2595</v>
      </c>
      <c r="H2059" s="2"/>
      <c r="I2059" s="2" t="s">
        <v>9</v>
      </c>
    </row>
    <row r="2060" spans="1:9" ht="65" x14ac:dyDescent="0.3">
      <c r="A2060" s="1" t="str">
        <f>HYPERLINK("https://ipmanager.doe.gov/IPManager//ExternalLink.aspx?6ibkph2k9yi6F%2B0Vz7YoTo7DPLa3%2F%2FGgHFmJfXXIMgY%3D","Link")</f>
        <v>Link</v>
      </c>
      <c r="B2060" s="2" t="s">
        <v>2596</v>
      </c>
      <c r="C2060" s="2" t="s">
        <v>2573</v>
      </c>
      <c r="D2060" s="2" t="s">
        <v>2316</v>
      </c>
      <c r="E2060" s="2" t="s">
        <v>2597</v>
      </c>
      <c r="F2060" s="2" t="s">
        <v>2598</v>
      </c>
      <c r="G2060" s="2" t="s">
        <v>2599</v>
      </c>
      <c r="H2060" s="2"/>
      <c r="I2060" s="2" t="s">
        <v>9</v>
      </c>
    </row>
    <row r="2061" spans="1:9" ht="39" x14ac:dyDescent="0.3">
      <c r="A2061" s="1" t="str">
        <f>HYPERLINK("https://ipmanager.doe.gov/IPManager//ExternalLink.aspx?6ibkph2k9yi6F%2B0Vz7YoTvE8yjoHgvp6eosuUifJEEU%3D","Link")</f>
        <v>Link</v>
      </c>
      <c r="B2061" s="2" t="s">
        <v>6587</v>
      </c>
      <c r="C2061" s="2" t="s">
        <v>6588</v>
      </c>
      <c r="D2061" s="2" t="s">
        <v>6589</v>
      </c>
      <c r="E2061" s="2" t="s">
        <v>6590</v>
      </c>
      <c r="F2061" s="2"/>
      <c r="G2061" s="2" t="s">
        <v>9</v>
      </c>
      <c r="H2061" s="2"/>
      <c r="I2061" s="2" t="s">
        <v>9</v>
      </c>
    </row>
    <row r="2062" spans="1:9" ht="65" x14ac:dyDescent="0.3">
      <c r="A2062" s="1" t="str">
        <f>HYPERLINK("https://ipmanager.doe.gov/IPManager//ExternalLink.aspx?6ibkph2k9yi6F%2B0Vz7YoTnXVN2REjGcW420B%2B6aDlOE%3D","Link")</f>
        <v>Link</v>
      </c>
      <c r="B2062" s="2" t="s">
        <v>7310</v>
      </c>
      <c r="C2062" s="2" t="s">
        <v>7316</v>
      </c>
      <c r="D2062" s="2" t="s">
        <v>7305</v>
      </c>
      <c r="E2062" s="2" t="s">
        <v>7311</v>
      </c>
      <c r="F2062" s="2"/>
      <c r="G2062" s="2" t="s">
        <v>9</v>
      </c>
      <c r="H2062" s="2"/>
      <c r="I2062" s="2" t="s">
        <v>9</v>
      </c>
    </row>
    <row r="2063" spans="1:9" ht="39" x14ac:dyDescent="0.3">
      <c r="A2063" s="1" t="str">
        <f>HYPERLINK("https://ipmanager.doe.gov/IPManager//ExternalLink.aspx?6ibkph2k9yi6F%2B0Vz7YoTp68px7nSN2g3ipV%2BMiVldA%3D","Link")</f>
        <v>Link</v>
      </c>
      <c r="B2063" s="2" t="s">
        <v>2602</v>
      </c>
      <c r="C2063" s="2" t="s">
        <v>2573</v>
      </c>
      <c r="D2063" s="2" t="s">
        <v>2316</v>
      </c>
      <c r="E2063" s="2" t="s">
        <v>2603</v>
      </c>
      <c r="F2063" s="2" t="s">
        <v>2604</v>
      </c>
      <c r="G2063" s="2" t="s">
        <v>2605</v>
      </c>
      <c r="H2063" s="2"/>
      <c r="I2063" s="2" t="s">
        <v>9</v>
      </c>
    </row>
    <row r="2064" spans="1:9" ht="65" x14ac:dyDescent="0.3">
      <c r="A2064" s="1" t="str">
        <f>HYPERLINK("https://ipmanager.doe.gov/IPManager//ExternalLink.aspx?6ibkph2k9yi6F%2B0Vz7YoTnXVN2REjGcWrxXR3nHs4oI%3D","Link")</f>
        <v>Link</v>
      </c>
      <c r="B2064" s="2" t="s">
        <v>2624</v>
      </c>
      <c r="C2064" s="2" t="s">
        <v>2573</v>
      </c>
      <c r="D2064" s="2" t="s">
        <v>2316</v>
      </c>
      <c r="E2064" s="2" t="s">
        <v>2625</v>
      </c>
      <c r="F2064" s="2" t="s">
        <v>2338</v>
      </c>
      <c r="G2064" s="2" t="s">
        <v>249</v>
      </c>
      <c r="H2064" s="2"/>
      <c r="I2064" s="2" t="s">
        <v>9</v>
      </c>
    </row>
    <row r="2065" spans="1:9" ht="65" x14ac:dyDescent="0.3">
      <c r="A2065" s="1" t="str">
        <f>HYPERLINK("https://ipmanager.doe.gov/IPManager//ExternalLink.aspx?6ibkph2k9yi6F%2B0Vz7YoTvPUg%2FVZPl3iOWp0leDCLLY%3D","Link")</f>
        <v>Link</v>
      </c>
      <c r="B2065" s="2" t="s">
        <v>6599</v>
      </c>
      <c r="C2065" s="2" t="s">
        <v>6600</v>
      </c>
      <c r="D2065" s="2" t="s">
        <v>4148</v>
      </c>
      <c r="E2065" s="2" t="s">
        <v>6601</v>
      </c>
      <c r="F2065" s="2"/>
      <c r="G2065" s="2" t="s">
        <v>9</v>
      </c>
      <c r="H2065" s="2"/>
      <c r="I2065" s="2" t="s">
        <v>9</v>
      </c>
    </row>
    <row r="2066" spans="1:9" ht="52" x14ac:dyDescent="0.3">
      <c r="A2066" s="1" t="str">
        <f>HYPERLINK("https://ipmanager.doe.gov/IPManager//ExternalLink.aspx?6ibkph2k9yi6F%2B0Vz7YoTvPUg%2FVZPl3iREjt8GlSd9s%3D","Link")</f>
        <v>Link</v>
      </c>
      <c r="B2066" s="2" t="s">
        <v>6602</v>
      </c>
      <c r="C2066" s="2" t="s">
        <v>6603</v>
      </c>
      <c r="D2066" s="2" t="s">
        <v>1793</v>
      </c>
      <c r="E2066" s="2" t="s">
        <v>6604</v>
      </c>
      <c r="F2066" s="2"/>
      <c r="G2066" s="2" t="s">
        <v>9</v>
      </c>
      <c r="H2066" s="2"/>
      <c r="I2066" s="2" t="s">
        <v>9</v>
      </c>
    </row>
    <row r="2067" spans="1:9" ht="52" x14ac:dyDescent="0.3">
      <c r="A2067" s="1" t="str">
        <f>HYPERLINK("https://ipmanager.doe.gov/IPManager//ExternalLink.aspx?6ibkph2k9yi6F%2B0Vz7YoTvPUg%2FVZPl3i4QifWyJTaK0%3D","Link")</f>
        <v>Link</v>
      </c>
      <c r="B2067" s="2" t="s">
        <v>2627</v>
      </c>
      <c r="C2067" s="2" t="s">
        <v>2573</v>
      </c>
      <c r="D2067" s="2" t="s">
        <v>2316</v>
      </c>
      <c r="E2067" s="2" t="s">
        <v>2622</v>
      </c>
      <c r="F2067" s="2" t="s">
        <v>2628</v>
      </c>
      <c r="G2067" s="2" t="s">
        <v>2629</v>
      </c>
      <c r="H2067" s="2"/>
      <c r="I2067" s="2" t="s">
        <v>9</v>
      </c>
    </row>
    <row r="2068" spans="1:9" ht="65" x14ac:dyDescent="0.3">
      <c r="A2068" s="1" t="str">
        <f>HYPERLINK("https://ipmanager.doe.gov/IPManager//ExternalLink.aspx?6ibkph2k9yi6F%2B0Vz7YoTq6RR9BlGHHiA2V8D%2FmSxGE%3D","Link")</f>
        <v>Link</v>
      </c>
      <c r="B2068" s="2" t="s">
        <v>6610</v>
      </c>
      <c r="C2068" s="2" t="s">
        <v>6603</v>
      </c>
      <c r="D2068" s="2" t="s">
        <v>1793</v>
      </c>
      <c r="E2068" s="2" t="s">
        <v>6611</v>
      </c>
      <c r="F2068" s="2"/>
      <c r="G2068" s="2" t="s">
        <v>9</v>
      </c>
      <c r="H2068" s="2"/>
      <c r="I2068" s="2" t="s">
        <v>9</v>
      </c>
    </row>
    <row r="2069" spans="1:9" ht="52" x14ac:dyDescent="0.3">
      <c r="A2069" s="1" t="str">
        <f>HYPERLINK("https://ipmanager.doe.gov/IPManager//ExternalLink.aspx?6ibkph2k9yi6F%2B0Vz7YoTgZwfmYxrNyKgvYSsxYeT98%3D","Link")</f>
        <v>Link</v>
      </c>
      <c r="B2069" s="2" t="s">
        <v>2630</v>
      </c>
      <c r="C2069" s="2" t="s">
        <v>2573</v>
      </c>
      <c r="D2069" s="2" t="s">
        <v>2316</v>
      </c>
      <c r="E2069" s="2" t="s">
        <v>2333</v>
      </c>
      <c r="F2069" s="2" t="s">
        <v>2631</v>
      </c>
      <c r="G2069" s="2" t="s">
        <v>2632</v>
      </c>
      <c r="H2069" s="2"/>
      <c r="I2069" s="2" t="s">
        <v>9</v>
      </c>
    </row>
    <row r="2070" spans="1:9" ht="39" x14ac:dyDescent="0.3">
      <c r="A2070" s="1" t="str">
        <f>HYPERLINK("https://ipmanager.doe.gov/IPManager//ExternalLink.aspx?6ibkph2k9yi6F%2B0Vz7YoTo7DPLa3%2F%2FGgeyqMHYQJ8WY%3D","Link")</f>
        <v>Link</v>
      </c>
      <c r="B2070" s="2" t="s">
        <v>6615</v>
      </c>
      <c r="C2070" s="2" t="s">
        <v>6603</v>
      </c>
      <c r="D2070" s="2" t="s">
        <v>1793</v>
      </c>
      <c r="E2070" s="2" t="s">
        <v>6616</v>
      </c>
      <c r="F2070" s="2"/>
      <c r="G2070" s="2" t="s">
        <v>9</v>
      </c>
      <c r="H2070" s="2"/>
      <c r="I2070" s="2" t="s">
        <v>9</v>
      </c>
    </row>
    <row r="2071" spans="1:9" ht="52" x14ac:dyDescent="0.3">
      <c r="A2071" s="1" t="str">
        <f>HYPERLINK("https://ipmanager.doe.gov/IPManager//ExternalLink.aspx?6ibkph2k9yi6F%2B0Vz7YoTp68px7nSN2grnIKv3t9694%3D","Link")</f>
        <v>Link</v>
      </c>
      <c r="B2071" s="2" t="s">
        <v>2634</v>
      </c>
      <c r="C2071" s="2" t="s">
        <v>2573</v>
      </c>
      <c r="D2071" s="2" t="s">
        <v>2316</v>
      </c>
      <c r="E2071" s="2" t="s">
        <v>2635</v>
      </c>
      <c r="F2071" s="2" t="s">
        <v>2636</v>
      </c>
      <c r="G2071" s="2" t="s">
        <v>418</v>
      </c>
      <c r="H2071" s="2"/>
      <c r="I2071" s="2" t="s">
        <v>9</v>
      </c>
    </row>
    <row r="2072" spans="1:9" ht="39" x14ac:dyDescent="0.3">
      <c r="A2072" s="1" t="str">
        <f>HYPERLINK("https://ipmanager.doe.gov/IPManager//ExternalLink.aspx?6ibkph2k9yi6F%2B0Vz7YoTu0g4zH%2BOsvylgITWBravnc%3D","Link")</f>
        <v>Link</v>
      </c>
      <c r="B2072" s="2" t="s">
        <v>6620</v>
      </c>
      <c r="C2072" s="2" t="s">
        <v>6621</v>
      </c>
      <c r="D2072" s="2" t="s">
        <v>2019</v>
      </c>
      <c r="E2072" s="2" t="s">
        <v>6622</v>
      </c>
      <c r="F2072" s="2"/>
      <c r="G2072" s="2" t="s">
        <v>9</v>
      </c>
      <c r="H2072" s="2"/>
      <c r="I2072" s="2" t="s">
        <v>9</v>
      </c>
    </row>
    <row r="2073" spans="1:9" ht="52" x14ac:dyDescent="0.3">
      <c r="A2073" s="1" t="str">
        <f>HYPERLINK("https://ipmanager.doe.gov/IPManager//ExternalLink.aspx?6ibkph2k9yi6F%2B0Vz7YoTk2BI6w%2FjZ2f96q13nnGrdY%3D","Link")</f>
        <v>Link</v>
      </c>
      <c r="B2073" s="2" t="s">
        <v>2644</v>
      </c>
      <c r="C2073" s="2" t="s">
        <v>2573</v>
      </c>
      <c r="D2073" s="2" t="s">
        <v>2316</v>
      </c>
      <c r="E2073" s="2" t="s">
        <v>2645</v>
      </c>
      <c r="F2073" s="2" t="s">
        <v>2633</v>
      </c>
      <c r="G2073" s="2" t="s">
        <v>808</v>
      </c>
      <c r="H2073" s="2"/>
      <c r="I2073" s="2" t="s">
        <v>9</v>
      </c>
    </row>
    <row r="2074" spans="1:9" ht="52" x14ac:dyDescent="0.3">
      <c r="A2074" s="1" t="str">
        <f>HYPERLINK("https://ipmanager.doe.gov/IPManager//ExternalLink.aspx?6ibkph2k9yi6F%2B0Vz7YoTsTAnuFk5EoAW%2FadbgVaV74%3D","Link")</f>
        <v>Link</v>
      </c>
      <c r="B2074" s="2" t="s">
        <v>6629</v>
      </c>
      <c r="C2074" s="2" t="s">
        <v>6630</v>
      </c>
      <c r="D2074" s="2" t="s">
        <v>3238</v>
      </c>
      <c r="E2074" s="2" t="s">
        <v>6631</v>
      </c>
      <c r="F2074" s="2"/>
      <c r="G2074" s="2" t="s">
        <v>9</v>
      </c>
      <c r="H2074" s="2"/>
      <c r="I2074" s="2" t="s">
        <v>9</v>
      </c>
    </row>
    <row r="2075" spans="1:9" ht="52" x14ac:dyDescent="0.3">
      <c r="A2075" s="1" t="str">
        <f>HYPERLINK("https://ipmanager.doe.gov/IPManager//ExternalLink.aspx?6ibkph2k9yi6F%2B0Vz7YoTsTAnuFk5EoA30JUfP%2Fta8M%3D","Link")</f>
        <v>Link</v>
      </c>
      <c r="B2075" s="2" t="s">
        <v>6632</v>
      </c>
      <c r="C2075" s="2" t="s">
        <v>6630</v>
      </c>
      <c r="D2075" s="2" t="s">
        <v>3238</v>
      </c>
      <c r="E2075" s="2" t="s">
        <v>6633</v>
      </c>
      <c r="F2075" s="2"/>
      <c r="G2075" s="2" t="s">
        <v>9</v>
      </c>
      <c r="H2075" s="2"/>
      <c r="I2075" s="2" t="s">
        <v>9</v>
      </c>
    </row>
    <row r="2076" spans="1:9" ht="39" x14ac:dyDescent="0.3">
      <c r="A2076" s="1" t="str">
        <f>HYPERLINK("https://ipmanager.doe.gov/IPManager//ExternalLink.aspx?6ibkph2k9yi6F%2B0Vz7YoThEBhkR3uHVrQY0YDeu1lss%3D","Link")</f>
        <v>Link</v>
      </c>
      <c r="B2076" s="2" t="s">
        <v>6634</v>
      </c>
      <c r="C2076" s="2" t="s">
        <v>6635</v>
      </c>
      <c r="D2076" s="2" t="s">
        <v>6636</v>
      </c>
      <c r="E2076" s="2" t="s">
        <v>6637</v>
      </c>
      <c r="F2076" s="2"/>
      <c r="G2076" s="2" t="s">
        <v>9</v>
      </c>
      <c r="H2076" s="2"/>
      <c r="I2076" s="2" t="s">
        <v>9</v>
      </c>
    </row>
    <row r="2077" spans="1:9" ht="52" x14ac:dyDescent="0.3">
      <c r="A2077" s="1" t="str">
        <f>HYPERLINK("https://ipmanager.doe.gov/IPManager//ExternalLink.aspx?6ibkph2k9yi6F%2B0Vz7YoTo7DPLa3%2F%2FGg1bQYGOu0y%2Fk%3D","Link")</f>
        <v>Link</v>
      </c>
      <c r="B2077" s="2" t="s">
        <v>6638</v>
      </c>
      <c r="C2077" s="2" t="s">
        <v>6635</v>
      </c>
      <c r="D2077" s="2" t="s">
        <v>6636</v>
      </c>
      <c r="E2077" s="2" t="s">
        <v>6639</v>
      </c>
      <c r="F2077" s="2"/>
      <c r="G2077" s="2" t="s">
        <v>9</v>
      </c>
      <c r="H2077" s="2"/>
      <c r="I2077" s="2" t="s">
        <v>9</v>
      </c>
    </row>
    <row r="2078" spans="1:9" ht="78" x14ac:dyDescent="0.3">
      <c r="A2078" s="1" t="str">
        <f>HYPERLINK("https://ipmanager.doe.gov/IPManager//ExternalLink.aspx?6ibkph2k9yi6F%2B0Vz7YoTo7DPLa3%2F%2FGgZ5Ni7EHWvRA%3D","Link")</f>
        <v>Link</v>
      </c>
      <c r="B2078" s="2" t="s">
        <v>6640</v>
      </c>
      <c r="C2078" s="2" t="s">
        <v>6641</v>
      </c>
      <c r="D2078" s="2" t="s">
        <v>6200</v>
      </c>
      <c r="E2078" s="2" t="s">
        <v>6642</v>
      </c>
      <c r="F2078" s="2"/>
      <c r="G2078" s="2" t="s">
        <v>9</v>
      </c>
      <c r="H2078" s="2"/>
      <c r="I2078" s="2" t="s">
        <v>9</v>
      </c>
    </row>
    <row r="2079" spans="1:9" ht="26" x14ac:dyDescent="0.3">
      <c r="A2079" s="1" t="str">
        <f>HYPERLINK("https://ipmanager.doe.gov/IPManager//ExternalLink.aspx?6ibkph2k9yi6F%2B0Vz7YoTr7J5I%2BY4foYShJbz5%2B7xE0%3D","Link")</f>
        <v>Link</v>
      </c>
      <c r="B2079" s="2" t="s">
        <v>2646</v>
      </c>
      <c r="C2079" s="2" t="s">
        <v>2573</v>
      </c>
      <c r="D2079" s="2" t="s">
        <v>2316</v>
      </c>
      <c r="E2079" s="2" t="s">
        <v>2647</v>
      </c>
      <c r="F2079" s="2" t="s">
        <v>2648</v>
      </c>
      <c r="G2079" s="2" t="s">
        <v>2649</v>
      </c>
      <c r="H2079" s="2"/>
      <c r="I2079" s="2" t="s">
        <v>9</v>
      </c>
    </row>
    <row r="2080" spans="1:9" ht="65" x14ac:dyDescent="0.3">
      <c r="A2080" s="1" t="str">
        <f>HYPERLINK("https://ipmanager.doe.gov/IPManager//ExternalLink.aspx?6ibkph2k9yi6F%2B0Vz7YoTvPUg%2FVZPl3iawqzy3AxDMs%3D","Link")</f>
        <v>Link</v>
      </c>
      <c r="B2080" s="2" t="s">
        <v>2651</v>
      </c>
      <c r="C2080" s="2" t="s">
        <v>2573</v>
      </c>
      <c r="D2080" s="2" t="s">
        <v>2316</v>
      </c>
      <c r="E2080" s="2" t="s">
        <v>2625</v>
      </c>
      <c r="F2080" s="2" t="s">
        <v>2626</v>
      </c>
      <c r="G2080" s="2" t="s">
        <v>249</v>
      </c>
      <c r="H2080" s="2"/>
      <c r="I2080" s="2" t="s">
        <v>9</v>
      </c>
    </row>
    <row r="2081" spans="1:9" ht="26" x14ac:dyDescent="0.3">
      <c r="A2081" s="1" t="str">
        <f>HYPERLINK("https://ipmanager.doe.gov/IPManager//ExternalLink.aspx?6ibkph2k9yi6F%2B0Vz7YoTgZwfmYxrNyKdrw6CFIJuFk%3D","Link")</f>
        <v>Link</v>
      </c>
      <c r="B2081" s="2" t="s">
        <v>2652</v>
      </c>
      <c r="C2081" s="2" t="s">
        <v>2573</v>
      </c>
      <c r="D2081" s="2" t="s">
        <v>2316</v>
      </c>
      <c r="E2081" s="2" t="s">
        <v>2653</v>
      </c>
      <c r="F2081" s="2" t="s">
        <v>2654</v>
      </c>
      <c r="G2081" s="2" t="s">
        <v>2326</v>
      </c>
      <c r="H2081" s="2"/>
      <c r="I2081" s="2" t="s">
        <v>9</v>
      </c>
    </row>
    <row r="2082" spans="1:9" ht="39" x14ac:dyDescent="0.3">
      <c r="A2082" s="1" t="str">
        <f>HYPERLINK("https://ipmanager.doe.gov/IPManager//ExternalLink.aspx?6ibkph2k9yi6F%2B0Vz7YoTipZ798QK%2BbPKq%2BXe0vKoLE%3D","Link")</f>
        <v>Link</v>
      </c>
      <c r="B2082" s="2" t="s">
        <v>2655</v>
      </c>
      <c r="C2082" s="2" t="s">
        <v>2573</v>
      </c>
      <c r="D2082" s="2" t="s">
        <v>2316</v>
      </c>
      <c r="E2082" s="2" t="s">
        <v>2656</v>
      </c>
      <c r="F2082" s="2" t="s">
        <v>2657</v>
      </c>
      <c r="G2082" s="2" t="s">
        <v>2326</v>
      </c>
      <c r="H2082" s="2"/>
      <c r="I2082" s="2" t="s">
        <v>9</v>
      </c>
    </row>
    <row r="2083" spans="1:9" ht="65" x14ac:dyDescent="0.3">
      <c r="A2083" s="1" t="str">
        <f>HYPERLINK("https://ipmanager.doe.gov/IPManager//ExternalLink.aspx?6ibkph2k9yi6F%2B0Vz7YoTnXVN2REjGcW1L5X1mEKp2I%3D","Link")</f>
        <v>Link</v>
      </c>
      <c r="B2083" s="2" t="s">
        <v>6657</v>
      </c>
      <c r="C2083" s="2" t="s">
        <v>6658</v>
      </c>
      <c r="D2083" s="2" t="s">
        <v>5366</v>
      </c>
      <c r="E2083" s="2" t="s">
        <v>6659</v>
      </c>
      <c r="F2083" s="2"/>
      <c r="G2083" s="2" t="s">
        <v>9</v>
      </c>
      <c r="H2083" s="2"/>
      <c r="I2083" s="2" t="s">
        <v>9</v>
      </c>
    </row>
    <row r="2084" spans="1:9" ht="39" x14ac:dyDescent="0.3">
      <c r="A2084" s="1" t="str">
        <f>HYPERLINK("https://ipmanager.doe.gov/IPManager//ExternalLink.aspx?6ibkph2k9yi6F%2B0Vz7YoTjnDGhmGHGI7qtftyQVSvGI%3D","Link")</f>
        <v>Link</v>
      </c>
      <c r="B2084" s="2" t="s">
        <v>4350</v>
      </c>
      <c r="C2084" s="2" t="s">
        <v>4351</v>
      </c>
      <c r="D2084" s="2" t="s">
        <v>2316</v>
      </c>
      <c r="E2084" s="2" t="s">
        <v>4352</v>
      </c>
      <c r="F2084" s="2" t="s">
        <v>4353</v>
      </c>
      <c r="G2084" s="2" t="s">
        <v>4354</v>
      </c>
      <c r="H2084" s="2"/>
      <c r="I2084" s="2" t="s">
        <v>9</v>
      </c>
    </row>
    <row r="2085" spans="1:9" ht="52" x14ac:dyDescent="0.3">
      <c r="A2085" s="1" t="str">
        <f>HYPERLINK("https://ipmanager.doe.gov/IPManager//ExternalLink.aspx?6ibkph2k9yi6F%2B0Vz7YoTnXVN2REjGcWi3%2Fb5C%2F%2BVlo%3D","Link")</f>
        <v>Link</v>
      </c>
      <c r="B2085" s="2" t="s">
        <v>6664</v>
      </c>
      <c r="C2085" s="2" t="s">
        <v>6661</v>
      </c>
      <c r="D2085" s="2" t="s">
        <v>3527</v>
      </c>
      <c r="E2085" s="2" t="s">
        <v>6665</v>
      </c>
      <c r="F2085" s="2"/>
      <c r="G2085" s="2" t="s">
        <v>9</v>
      </c>
      <c r="H2085" s="2"/>
      <c r="I2085" s="2" t="s">
        <v>9</v>
      </c>
    </row>
    <row r="2086" spans="1:9" ht="65" x14ac:dyDescent="0.3">
      <c r="A2086" s="1" t="str">
        <f>HYPERLINK("https://ipmanager.doe.gov/IPManager//ExternalLink.aspx?6ibkph2k9yi6F%2B0Vz7YoTsTAnuFk5EoAIzxnpSRnHss%3D","Link")</f>
        <v>Link</v>
      </c>
      <c r="B2086" s="2" t="s">
        <v>6666</v>
      </c>
      <c r="C2086" s="2" t="s">
        <v>6661</v>
      </c>
      <c r="D2086" s="2" t="s">
        <v>3527</v>
      </c>
      <c r="E2086" s="2" t="s">
        <v>6667</v>
      </c>
      <c r="F2086" s="2"/>
      <c r="G2086" s="2" t="s">
        <v>9</v>
      </c>
      <c r="H2086" s="2"/>
      <c r="I2086" s="2" t="s">
        <v>9</v>
      </c>
    </row>
    <row r="2087" spans="1:9" ht="39" x14ac:dyDescent="0.3">
      <c r="A2087" s="1" t="str">
        <f>HYPERLINK("https://ipmanager.doe.gov/IPManager//ExternalLink.aspx?6ibkph2k9yi6F%2B0Vz7YoTsTAnuFk5EoA8ldfc2pVfn0%3D","Link")</f>
        <v>Link</v>
      </c>
      <c r="B2087" s="2" t="s">
        <v>6668</v>
      </c>
      <c r="C2087" s="2" t="s">
        <v>6661</v>
      </c>
      <c r="D2087" s="2" t="s">
        <v>3527</v>
      </c>
      <c r="E2087" s="2" t="s">
        <v>6275</v>
      </c>
      <c r="F2087" s="2"/>
      <c r="G2087" s="2" t="s">
        <v>9</v>
      </c>
      <c r="H2087" s="2"/>
      <c r="I2087" s="2" t="s">
        <v>9</v>
      </c>
    </row>
    <row r="2088" spans="1:9" ht="52" x14ac:dyDescent="0.3">
      <c r="A2088" s="1" t="str">
        <f>HYPERLINK("https://ipmanager.doe.gov/IPManager//ExternalLink.aspx?6ibkph2k9yi6F%2B0Vz7YoTu0g4zH%2BOsvyGVFINY2WPh4%3D","Link")</f>
        <v>Link</v>
      </c>
      <c r="B2088" s="2" t="s">
        <v>6669</v>
      </c>
      <c r="C2088" s="2" t="s">
        <v>6661</v>
      </c>
      <c r="D2088" s="2" t="s">
        <v>3527</v>
      </c>
      <c r="E2088" s="2" t="s">
        <v>6670</v>
      </c>
      <c r="F2088" s="2"/>
      <c r="G2088" s="2" t="s">
        <v>9</v>
      </c>
      <c r="H2088" s="2"/>
      <c r="I2088" s="2" t="s">
        <v>9</v>
      </c>
    </row>
    <row r="2089" spans="1:9" ht="52" x14ac:dyDescent="0.3">
      <c r="A2089" s="1" t="str">
        <f>HYPERLINK("https://ipmanager.doe.gov/IPManager//ExternalLink.aspx?6ibkph2k9yi6F%2B0Vz7YoTp68px7nSN2gU3wgp6gg3YU%3D","Link")</f>
        <v>Link</v>
      </c>
      <c r="B2089" s="2" t="s">
        <v>6671</v>
      </c>
      <c r="C2089" s="2" t="s">
        <v>6661</v>
      </c>
      <c r="D2089" s="2" t="s">
        <v>3527</v>
      </c>
      <c r="E2089" s="2" t="s">
        <v>6672</v>
      </c>
      <c r="F2089" s="2"/>
      <c r="G2089" s="2" t="s">
        <v>9</v>
      </c>
      <c r="H2089" s="2"/>
      <c r="I2089" s="2" t="s">
        <v>9</v>
      </c>
    </row>
    <row r="2090" spans="1:9" ht="52" x14ac:dyDescent="0.3">
      <c r="A2090" s="1" t="str">
        <f>HYPERLINK("https://ipmanager.doe.gov/IPManager//ExternalLink.aspx?6ibkph2k9yi6F%2B0Vz7YoTq6RR9BlGHHi7g27faeT83Y%3D","Link")</f>
        <v>Link</v>
      </c>
      <c r="B2090" s="2" t="s">
        <v>4359</v>
      </c>
      <c r="C2090" s="2" t="s">
        <v>4351</v>
      </c>
      <c r="D2090" s="2" t="s">
        <v>2316</v>
      </c>
      <c r="E2090" s="2" t="s">
        <v>4360</v>
      </c>
      <c r="F2090" s="2" t="s">
        <v>4361</v>
      </c>
      <c r="G2090" s="2" t="s">
        <v>1061</v>
      </c>
      <c r="H2090" s="2"/>
      <c r="I2090" s="2" t="s">
        <v>9</v>
      </c>
    </row>
    <row r="2091" spans="1:9" ht="26" x14ac:dyDescent="0.3">
      <c r="A2091" s="1" t="str">
        <f>HYPERLINK("https://ipmanager.doe.gov/IPManager//ExternalLink.aspx?6ibkph2k9yi6F%2B0Vz7YoTp68px7nSN2goAwUL08bW7A%3D","Link")</f>
        <v>Link</v>
      </c>
      <c r="B2091" s="2" t="s">
        <v>7037</v>
      </c>
      <c r="C2091" s="2" t="s">
        <v>7038</v>
      </c>
      <c r="D2091" s="2" t="s">
        <v>2316</v>
      </c>
      <c r="E2091" s="2" t="s">
        <v>7039</v>
      </c>
      <c r="F2091" s="2" t="s">
        <v>7040</v>
      </c>
      <c r="G2091" s="2" t="s">
        <v>6459</v>
      </c>
      <c r="H2091" s="2"/>
      <c r="I2091" s="2" t="s">
        <v>9</v>
      </c>
    </row>
    <row r="2092" spans="1:9" ht="26" x14ac:dyDescent="0.3">
      <c r="A2092" s="1" t="str">
        <f>HYPERLINK("https://ipmanager.doe.gov/IPManager//ExternalLink.aspx?6ibkph2k9yi6F%2B0Vz7YoThEBhkR3uHVrCzyZGCFjpMo%3D","Link")</f>
        <v>Link</v>
      </c>
      <c r="B2092" s="2" t="s">
        <v>7041</v>
      </c>
      <c r="C2092" s="2" t="s">
        <v>7038</v>
      </c>
      <c r="D2092" s="2" t="s">
        <v>2316</v>
      </c>
      <c r="E2092" s="2" t="s">
        <v>7039</v>
      </c>
      <c r="F2092" s="2" t="s">
        <v>7042</v>
      </c>
      <c r="G2092" s="2" t="s">
        <v>7043</v>
      </c>
      <c r="H2092" s="2"/>
      <c r="I2092" s="2" t="s">
        <v>9</v>
      </c>
    </row>
    <row r="2093" spans="1:9" ht="26" x14ac:dyDescent="0.3">
      <c r="A2093" s="1" t="str">
        <f>HYPERLINK("https://ipmanager.doe.gov/IPManager//ExternalLink.aspx?6ibkph2k9yi6F%2B0Vz7YoTvE8yjoHgvp6DbGRk1ZWPeY%3D","Link")</f>
        <v>Link</v>
      </c>
      <c r="B2093" s="2" t="s">
        <v>6683</v>
      </c>
      <c r="C2093" s="2" t="s">
        <v>6684</v>
      </c>
      <c r="D2093" s="2" t="s">
        <v>5761</v>
      </c>
      <c r="E2093" s="2" t="s">
        <v>6685</v>
      </c>
      <c r="F2093" s="2"/>
      <c r="G2093" s="2" t="s">
        <v>9</v>
      </c>
      <c r="H2093" s="2"/>
      <c r="I2093" s="2" t="s">
        <v>9</v>
      </c>
    </row>
    <row r="2094" spans="1:9" ht="26" x14ac:dyDescent="0.3">
      <c r="A2094" s="1" t="str">
        <f>HYPERLINK("https://ipmanager.doe.gov/IPManager//ExternalLink.aspx?6ibkph2k9yi6F%2B0Vz7YoTo7DPLa3%2F%2FGgkR02Rx3bEOU%3D","Link")</f>
        <v>Link</v>
      </c>
      <c r="B2094" s="2" t="s">
        <v>6683</v>
      </c>
      <c r="C2094" s="2" t="s">
        <v>6684</v>
      </c>
      <c r="D2094" s="2" t="s">
        <v>5761</v>
      </c>
      <c r="E2094" s="2" t="s">
        <v>6685</v>
      </c>
      <c r="F2094" s="2"/>
      <c r="G2094" s="2" t="s">
        <v>9</v>
      </c>
      <c r="H2094" s="2"/>
      <c r="I2094" s="2" t="s">
        <v>9</v>
      </c>
    </row>
    <row r="2095" spans="1:9" ht="26" x14ac:dyDescent="0.3">
      <c r="A2095" s="1" t="str">
        <f>HYPERLINK("https://ipmanager.doe.gov/IPManager//ExternalLink.aspx?6ibkph2k9yi6F%2B0Vz7YoTvE8yjoHgvp6fnspOfls9xQ%3D","Link")</f>
        <v>Link</v>
      </c>
      <c r="B2095" s="2" t="s">
        <v>7044</v>
      </c>
      <c r="C2095" s="2" t="s">
        <v>7038</v>
      </c>
      <c r="D2095" s="2" t="s">
        <v>2316</v>
      </c>
      <c r="E2095" s="2" t="s">
        <v>7045</v>
      </c>
      <c r="F2095" s="2" t="s">
        <v>7046</v>
      </c>
      <c r="G2095" s="2" t="s">
        <v>5454</v>
      </c>
      <c r="H2095" s="2"/>
      <c r="I2095" s="2" t="s">
        <v>9</v>
      </c>
    </row>
    <row r="2096" spans="1:9" ht="52" x14ac:dyDescent="0.3">
      <c r="A2096" s="1" t="str">
        <f>HYPERLINK("https://ipmanager.doe.gov/IPManager//ExternalLink.aspx?6ibkph2k9yi6F%2B0Vz7YoTp68px7nSN2gbeNF5ZIDdd8%3D","Link")</f>
        <v>Link</v>
      </c>
      <c r="B2096" s="2" t="s">
        <v>6691</v>
      </c>
      <c r="C2096" s="2" t="s">
        <v>6687</v>
      </c>
      <c r="D2096" s="2" t="s">
        <v>1952</v>
      </c>
      <c r="E2096" s="2" t="s">
        <v>6692</v>
      </c>
      <c r="F2096" s="2"/>
      <c r="G2096" s="2" t="s">
        <v>9</v>
      </c>
      <c r="H2096" s="2"/>
      <c r="I2096" s="2" t="s">
        <v>9</v>
      </c>
    </row>
    <row r="2097" spans="1:9" ht="52" x14ac:dyDescent="0.3">
      <c r="A2097" s="1" t="str">
        <f>HYPERLINK("https://ipmanager.doe.gov/IPManager//ExternalLink.aspx?6ibkph2k9yi6F%2B0Vz7YoTlNm8snv%2FZpHu2B7HDm91fI%3D","Link")</f>
        <v>Link</v>
      </c>
      <c r="B2097" s="2" t="s">
        <v>4458</v>
      </c>
      <c r="C2097" s="2" t="s">
        <v>4453</v>
      </c>
      <c r="D2097" s="2" t="s">
        <v>4454</v>
      </c>
      <c r="E2097" s="2" t="s">
        <v>4459</v>
      </c>
      <c r="F2097" s="2" t="s">
        <v>4460</v>
      </c>
      <c r="G2097" s="2" t="s">
        <v>3274</v>
      </c>
      <c r="H2097" s="2"/>
      <c r="I2097" s="2" t="s">
        <v>9</v>
      </c>
    </row>
    <row r="2098" spans="1:9" ht="52" x14ac:dyDescent="0.3">
      <c r="A2098" s="1" t="str">
        <f>HYPERLINK("https://ipmanager.doe.gov/IPManager//ExternalLink.aspx?6ibkph2k9yi6F%2B0Vz7YoTp68px7nSN2g62oJMzRedJE%3D","Link")</f>
        <v>Link</v>
      </c>
      <c r="B2098" s="2" t="s">
        <v>6697</v>
      </c>
      <c r="C2098" s="2" t="s">
        <v>6687</v>
      </c>
      <c r="D2098" s="2" t="s">
        <v>1952</v>
      </c>
      <c r="E2098" s="2" t="s">
        <v>6698</v>
      </c>
      <c r="F2098" s="2"/>
      <c r="G2098" s="2" t="s">
        <v>9</v>
      </c>
      <c r="H2098" s="2"/>
      <c r="I2098" s="2" t="s">
        <v>9</v>
      </c>
    </row>
    <row r="2099" spans="1:9" ht="65" x14ac:dyDescent="0.3">
      <c r="A2099" s="1" t="str">
        <f>HYPERLINK("https://ipmanager.doe.gov/IPManager//ExternalLink.aspx?6ibkph2k9yi6F%2B0Vz7YoTvPUg%2FVZPl3iqkodbfjx5sY%3D","Link")</f>
        <v>Link</v>
      </c>
      <c r="B2099" s="2" t="s">
        <v>6699</v>
      </c>
      <c r="C2099" s="2" t="s">
        <v>6700</v>
      </c>
      <c r="D2099" s="2" t="s">
        <v>1474</v>
      </c>
      <c r="E2099" s="2" t="s">
        <v>6701</v>
      </c>
      <c r="F2099" s="2"/>
      <c r="G2099" s="2" t="s">
        <v>9</v>
      </c>
      <c r="H2099" s="2"/>
      <c r="I2099" s="2" t="s">
        <v>9</v>
      </c>
    </row>
    <row r="2100" spans="1:9" ht="65" x14ac:dyDescent="0.3">
      <c r="A2100" s="1" t="str">
        <f>HYPERLINK("https://ipmanager.doe.gov/IPManager//ExternalLink.aspx?6ibkph2k9yi6F%2B0Vz7YoTp68px7nSN2ggnGTQ0G6aDE%3D","Link")</f>
        <v>Link</v>
      </c>
      <c r="B2100" s="2" t="s">
        <v>6702</v>
      </c>
      <c r="C2100" s="2" t="s">
        <v>6700</v>
      </c>
      <c r="D2100" s="2" t="s">
        <v>1474</v>
      </c>
      <c r="E2100" s="2" t="s">
        <v>6703</v>
      </c>
      <c r="F2100" s="2"/>
      <c r="G2100" s="2" t="s">
        <v>9</v>
      </c>
      <c r="H2100" s="2"/>
      <c r="I2100" s="2" t="s">
        <v>9</v>
      </c>
    </row>
    <row r="2101" spans="1:9" ht="39" x14ac:dyDescent="0.3">
      <c r="A2101" s="1" t="str">
        <f>HYPERLINK("https://ipmanager.doe.gov/IPManager//ExternalLink.aspx?6ibkph2k9yi6F%2B0Vz7YoTvPUg%2FVZPl3i5VFuNcE26h8%3D","Link")</f>
        <v>Link</v>
      </c>
      <c r="B2101" s="2" t="s">
        <v>6704</v>
      </c>
      <c r="C2101" s="2" t="s">
        <v>6700</v>
      </c>
      <c r="D2101" s="2" t="s">
        <v>1474</v>
      </c>
      <c r="E2101" s="2" t="s">
        <v>6705</v>
      </c>
      <c r="F2101" s="2"/>
      <c r="G2101" s="2" t="s">
        <v>9</v>
      </c>
      <c r="H2101" s="2"/>
      <c r="I2101" s="2" t="s">
        <v>9</v>
      </c>
    </row>
    <row r="2102" spans="1:9" ht="52" x14ac:dyDescent="0.3">
      <c r="A2102" s="1" t="str">
        <f>HYPERLINK("https://ipmanager.doe.gov/IPManager//ExternalLink.aspx?6ibkph2k9yi6F%2B0Vz7YoTk2BI6w%2FjZ2ffDlhfBrBQRM%3D","Link")</f>
        <v>Link</v>
      </c>
      <c r="B2102" s="2" t="s">
        <v>4461</v>
      </c>
      <c r="C2102" s="2" t="s">
        <v>4453</v>
      </c>
      <c r="D2102" s="2" t="s">
        <v>4454</v>
      </c>
      <c r="E2102" s="2" t="s">
        <v>4459</v>
      </c>
      <c r="F2102" s="2" t="s">
        <v>4462</v>
      </c>
      <c r="G2102" s="2" t="s">
        <v>3274</v>
      </c>
      <c r="H2102" s="2"/>
      <c r="I2102" s="2" t="s">
        <v>9</v>
      </c>
    </row>
    <row r="2103" spans="1:9" ht="26" x14ac:dyDescent="0.3">
      <c r="A2103" s="1" t="str">
        <f>HYPERLINK("https://ipmanager.doe.gov/IPManager//ExternalLink.aspx?6ibkph2k9yi6F%2B0Vz7YoTvE8yjoHgvp603f8nhe5NoU%3D","Link")</f>
        <v>Link</v>
      </c>
      <c r="B2103" s="2" t="s">
        <v>7246</v>
      </c>
      <c r="C2103" s="2" t="s">
        <v>7243</v>
      </c>
      <c r="D2103" s="2" t="s">
        <v>7158</v>
      </c>
      <c r="E2103" s="2" t="s">
        <v>7247</v>
      </c>
      <c r="F2103" s="2" t="s">
        <v>7248</v>
      </c>
      <c r="G2103" s="2" t="s">
        <v>1270</v>
      </c>
      <c r="H2103" s="2"/>
      <c r="I2103" s="2" t="s">
        <v>9</v>
      </c>
    </row>
    <row r="2104" spans="1:9" ht="52" x14ac:dyDescent="0.3">
      <c r="A2104" s="1" t="str">
        <f>HYPERLINK("https://ipmanager.doe.gov/IPManager//ExternalLink.aspx?6ibkph2k9yi6F%2B0Vz7YoTgZwfmYxrNyKcQrTQojH8D0%3D","Link")</f>
        <v>Link</v>
      </c>
      <c r="B2104" s="2" t="s">
        <v>4121</v>
      </c>
      <c r="C2104" s="2" t="s">
        <v>4122</v>
      </c>
      <c r="D2104" s="2" t="s">
        <v>4123</v>
      </c>
      <c r="E2104" s="2" t="s">
        <v>4124</v>
      </c>
      <c r="F2104" s="2" t="s">
        <v>4125</v>
      </c>
      <c r="G2104" s="2" t="s">
        <v>755</v>
      </c>
      <c r="H2104" s="2"/>
      <c r="I2104" s="2" t="s">
        <v>9</v>
      </c>
    </row>
    <row r="2105" spans="1:9" ht="26" x14ac:dyDescent="0.3">
      <c r="A2105" s="1" t="str">
        <f>HYPERLINK("https://ipmanager.doe.gov/IPManager//ExternalLink.aspx?6ibkph2k9yi6F%2B0Vz7YoTp68px7nSN2gJvRxXK1%2BlRA%3D","Link")</f>
        <v>Link</v>
      </c>
      <c r="B2105" s="2" t="s">
        <v>6717</v>
      </c>
      <c r="C2105" s="2" t="s">
        <v>6718</v>
      </c>
      <c r="D2105" s="2" t="s">
        <v>4631</v>
      </c>
      <c r="E2105" s="2" t="s">
        <v>6719</v>
      </c>
      <c r="F2105" s="2"/>
      <c r="G2105" s="2" t="s">
        <v>9</v>
      </c>
      <c r="H2105" s="2"/>
      <c r="I2105" s="2" t="s">
        <v>9</v>
      </c>
    </row>
    <row r="2106" spans="1:9" ht="26" x14ac:dyDescent="0.3">
      <c r="A2106" s="1" t="str">
        <f>HYPERLINK("https://ipmanager.doe.gov/IPManager//ExternalLink.aspx?6ibkph2k9yi6F%2B0Vz7YoTnXVN2REjGcWpWL4C95lWGI%3D","Link")</f>
        <v>Link</v>
      </c>
      <c r="B2106" s="2" t="s">
        <v>6720</v>
      </c>
      <c r="C2106" s="2" t="s">
        <v>6718</v>
      </c>
      <c r="D2106" s="2" t="s">
        <v>4631</v>
      </c>
      <c r="E2106" s="2" t="s">
        <v>6721</v>
      </c>
      <c r="F2106" s="2"/>
      <c r="G2106" s="2" t="s">
        <v>9</v>
      </c>
      <c r="H2106" s="2"/>
      <c r="I2106" s="2" t="s">
        <v>9</v>
      </c>
    </row>
    <row r="2107" spans="1:9" ht="26" x14ac:dyDescent="0.3">
      <c r="A2107" s="1" t="str">
        <f>HYPERLINK("https://ipmanager.doe.gov/IPManager//ExternalLink.aspx?6ibkph2k9yi6F%2B0Vz7YoTnXVN2REjGcWpqzcvstKRn8%3D","Link")</f>
        <v>Link</v>
      </c>
      <c r="B2107" s="2" t="s">
        <v>6722</v>
      </c>
      <c r="C2107" s="2" t="s">
        <v>6723</v>
      </c>
      <c r="D2107" s="2" t="s">
        <v>1952</v>
      </c>
      <c r="E2107" s="2" t="s">
        <v>6724</v>
      </c>
      <c r="F2107" s="2"/>
      <c r="G2107" s="2" t="s">
        <v>9</v>
      </c>
      <c r="H2107" s="2"/>
      <c r="I2107" s="2" t="s">
        <v>9</v>
      </c>
    </row>
    <row r="2108" spans="1:9" ht="39" x14ac:dyDescent="0.3">
      <c r="A2108" s="1" t="str">
        <f>HYPERLINK("https://ipmanager.doe.gov/IPManager//ExternalLink.aspx?6ibkph2k9yi6F%2B0Vz7YoTvE8yjoHgvp6H1X7a%2FOd4yw%3D","Link")</f>
        <v>Link</v>
      </c>
      <c r="B2108" s="2" t="s">
        <v>6725</v>
      </c>
      <c r="C2108" s="2" t="s">
        <v>6726</v>
      </c>
      <c r="D2108" s="2" t="s">
        <v>4128</v>
      </c>
      <c r="E2108" s="2" t="s">
        <v>6727</v>
      </c>
      <c r="F2108" s="2"/>
      <c r="G2108" s="2" t="s">
        <v>9</v>
      </c>
      <c r="H2108" s="2"/>
      <c r="I2108" s="2" t="s">
        <v>9</v>
      </c>
    </row>
    <row r="2109" spans="1:9" ht="39" x14ac:dyDescent="0.3">
      <c r="A2109" s="1" t="str">
        <f>HYPERLINK("https://ipmanager.doe.gov/IPManager//ExternalLink.aspx?6ibkph2k9yi6F%2B0Vz7YoTjnDGhmGHGI7ZJow7%2FaxgFI%3D","Link")</f>
        <v>Link</v>
      </c>
      <c r="B2109" s="2" t="s">
        <v>1431</v>
      </c>
      <c r="C2109" s="2" t="s">
        <v>1432</v>
      </c>
      <c r="D2109" s="2" t="s">
        <v>1433</v>
      </c>
      <c r="E2109" s="2" t="s">
        <v>1434</v>
      </c>
      <c r="F2109" s="2" t="s">
        <v>1435</v>
      </c>
      <c r="G2109" s="2" t="s">
        <v>1436</v>
      </c>
      <c r="H2109" s="2"/>
      <c r="I2109" s="2" t="s">
        <v>9</v>
      </c>
    </row>
    <row r="2110" spans="1:9" ht="26" x14ac:dyDescent="0.3">
      <c r="A2110" s="1" t="str">
        <f>HYPERLINK("https://ipmanager.doe.gov/IPManager//ExternalLink.aspx?6ibkph2k9yi6F%2B0Vz7YoTp68px7nSN2gIu9DYxTwl%2FE%3D","Link")</f>
        <v>Link</v>
      </c>
      <c r="B2110" s="2" t="s">
        <v>6731</v>
      </c>
      <c r="C2110" s="2" t="s">
        <v>6726</v>
      </c>
      <c r="D2110" s="2" t="s">
        <v>4128</v>
      </c>
      <c r="E2110" s="2" t="s">
        <v>6732</v>
      </c>
      <c r="F2110" s="2"/>
      <c r="G2110" s="2" t="s">
        <v>9</v>
      </c>
      <c r="H2110" s="2"/>
      <c r="I2110" s="2" t="s">
        <v>9</v>
      </c>
    </row>
    <row r="2111" spans="1:9" ht="52" x14ac:dyDescent="0.3">
      <c r="A2111" s="1" t="str">
        <f>HYPERLINK("https://ipmanager.doe.gov/IPManager//ExternalLink.aspx?6ibkph2k9yi6F%2B0Vz7YoTsTAnuFk5EoAKQ4HWqnS89Q%3D","Link")</f>
        <v>Link</v>
      </c>
      <c r="B2111" s="2" t="s">
        <v>6733</v>
      </c>
      <c r="C2111" s="2" t="s">
        <v>6726</v>
      </c>
      <c r="D2111" s="2" t="s">
        <v>4128</v>
      </c>
      <c r="E2111" s="2" t="s">
        <v>6734</v>
      </c>
      <c r="F2111" s="2"/>
      <c r="G2111" s="2" t="s">
        <v>9</v>
      </c>
      <c r="H2111" s="2"/>
      <c r="I2111" s="2" t="s">
        <v>9</v>
      </c>
    </row>
    <row r="2112" spans="1:9" ht="39" x14ac:dyDescent="0.3">
      <c r="A2112" s="1" t="str">
        <f>HYPERLINK("https://ipmanager.doe.gov/IPManager//ExternalLink.aspx?6ibkph2k9yi6F%2B0Vz7YoTsTAnuFk5EoAnAUPo6QL57Q%3D","Link")</f>
        <v>Link</v>
      </c>
      <c r="B2112" s="2" t="s">
        <v>6735</v>
      </c>
      <c r="C2112" s="2" t="s">
        <v>6726</v>
      </c>
      <c r="D2112" s="2" t="s">
        <v>4128</v>
      </c>
      <c r="E2112" s="2" t="s">
        <v>6736</v>
      </c>
      <c r="F2112" s="2"/>
      <c r="G2112" s="2" t="s">
        <v>9</v>
      </c>
      <c r="H2112" s="2"/>
      <c r="I2112" s="2" t="s">
        <v>9</v>
      </c>
    </row>
    <row r="2113" spans="1:9" ht="65" x14ac:dyDescent="0.3">
      <c r="A2113" s="1" t="str">
        <f>HYPERLINK("https://ipmanager.doe.gov/IPManager//ExternalLink.aspx?6ibkph2k9yi6F%2B0Vz7YoTsTAnuFk5EoAJuzbk3KH5Uo%3D","Link")</f>
        <v>Link</v>
      </c>
      <c r="B2113" s="2" t="s">
        <v>6737</v>
      </c>
      <c r="C2113" s="2" t="s">
        <v>6726</v>
      </c>
      <c r="D2113" s="2" t="s">
        <v>4128</v>
      </c>
      <c r="E2113" s="2" t="s">
        <v>6738</v>
      </c>
      <c r="F2113" s="2"/>
      <c r="G2113" s="2" t="s">
        <v>9</v>
      </c>
      <c r="H2113" s="2"/>
      <c r="I2113" s="2" t="s">
        <v>9</v>
      </c>
    </row>
    <row r="2114" spans="1:9" ht="39" x14ac:dyDescent="0.3">
      <c r="A2114" s="1" t="str">
        <f>HYPERLINK("https://ipmanager.doe.gov/IPManager//ExternalLink.aspx?6ibkph2k9yi6F%2B0Vz7YoTjnDGhmGHGI7R5R6%2F%2BOTEwE%3D","Link")</f>
        <v>Link</v>
      </c>
      <c r="B2114" s="2" t="s">
        <v>1437</v>
      </c>
      <c r="C2114" s="2" t="s">
        <v>1432</v>
      </c>
      <c r="D2114" s="2" t="s">
        <v>1433</v>
      </c>
      <c r="E2114" s="2" t="s">
        <v>1434</v>
      </c>
      <c r="F2114" s="2" t="s">
        <v>1438</v>
      </c>
      <c r="G2114" s="2" t="s">
        <v>9</v>
      </c>
      <c r="H2114" s="2"/>
      <c r="I2114" s="2" t="s">
        <v>9</v>
      </c>
    </row>
    <row r="2115" spans="1:9" ht="39" x14ac:dyDescent="0.3">
      <c r="A2115" s="1" t="str">
        <f>HYPERLINK("https://ipmanager.doe.gov/IPManager//ExternalLink.aspx?6ibkph2k9yi6F%2B0Vz7YoTsTAnuFk5EoAIFLVJw3YbFQ%3D","Link")</f>
        <v>Link</v>
      </c>
      <c r="B2115" s="2" t="s">
        <v>6743</v>
      </c>
      <c r="C2115" s="2" t="s">
        <v>6726</v>
      </c>
      <c r="D2115" s="2" t="s">
        <v>4128</v>
      </c>
      <c r="E2115" s="2" t="s">
        <v>6744</v>
      </c>
      <c r="F2115" s="2"/>
      <c r="G2115" s="2" t="s">
        <v>9</v>
      </c>
      <c r="H2115" s="2"/>
      <c r="I2115" s="2" t="s">
        <v>9</v>
      </c>
    </row>
    <row r="2116" spans="1:9" ht="52" x14ac:dyDescent="0.3">
      <c r="A2116" s="1" t="str">
        <f>HYPERLINK("https://ipmanager.doe.gov/IPManager//ExternalLink.aspx?6ibkph2k9yi6F%2B0Vz7YoTvPUg%2FVZPl3ik8%2Bv323BA7k%3D","Link")</f>
        <v>Link</v>
      </c>
      <c r="B2116" s="2" t="s">
        <v>1798</v>
      </c>
      <c r="C2116" s="2" t="s">
        <v>1799</v>
      </c>
      <c r="D2116" s="2" t="s">
        <v>1433</v>
      </c>
      <c r="E2116" s="2" t="s">
        <v>1800</v>
      </c>
      <c r="F2116" s="2" t="s">
        <v>1801</v>
      </c>
      <c r="G2116" s="2" t="s">
        <v>1802</v>
      </c>
      <c r="H2116" s="2"/>
      <c r="I2116" s="2" t="s">
        <v>9</v>
      </c>
    </row>
    <row r="2117" spans="1:9" ht="65" x14ac:dyDescent="0.3">
      <c r="A2117" s="1" t="str">
        <f>HYPERLINK("https://ipmanager.doe.gov/IPManager//ExternalLink.aspx?6ibkph2k9yi6F%2B0Vz7YoTp68px7nSN2g6Qr%2B22J3E7g%3D","Link")</f>
        <v>Link</v>
      </c>
      <c r="B2117" s="2" t="s">
        <v>6747</v>
      </c>
      <c r="C2117" s="2" t="s">
        <v>6726</v>
      </c>
      <c r="D2117" s="2" t="s">
        <v>4128</v>
      </c>
      <c r="E2117" s="2" t="s">
        <v>6748</v>
      </c>
      <c r="F2117" s="2"/>
      <c r="G2117" s="2" t="s">
        <v>9</v>
      </c>
      <c r="H2117" s="2"/>
      <c r="I2117" s="2" t="s">
        <v>9</v>
      </c>
    </row>
    <row r="2118" spans="1:9" ht="52" x14ac:dyDescent="0.3">
      <c r="A2118" s="1" t="str">
        <f>HYPERLINK("https://ipmanager.doe.gov/IPManager//ExternalLink.aspx?6ibkph2k9yi6F%2B0Vz7YoTvPUg%2FVZPl3ip85SxS2fu3s%3D","Link")</f>
        <v>Link</v>
      </c>
      <c r="B2118" s="2" t="s">
        <v>1803</v>
      </c>
      <c r="C2118" s="2" t="s">
        <v>1799</v>
      </c>
      <c r="D2118" s="2" t="s">
        <v>1433</v>
      </c>
      <c r="E2118" s="2" t="s">
        <v>1800</v>
      </c>
      <c r="F2118" s="2" t="s">
        <v>1804</v>
      </c>
      <c r="G2118" s="2" t="s">
        <v>555</v>
      </c>
      <c r="H2118" s="2"/>
      <c r="I2118" s="2" t="s">
        <v>9</v>
      </c>
    </row>
    <row r="2119" spans="1:9" ht="39" x14ac:dyDescent="0.3">
      <c r="A2119" s="1" t="str">
        <f>HYPERLINK("https://ipmanager.doe.gov/IPManager//ExternalLink.aspx?6ibkph2k9yi6F%2B0Vz7YoTp68px7nSN2gh4xpZDIQybc%3D","Link")</f>
        <v>Link</v>
      </c>
      <c r="B2119" s="2" t="s">
        <v>6260</v>
      </c>
      <c r="C2119" s="2" t="s">
        <v>6261</v>
      </c>
      <c r="D2119" s="2" t="s">
        <v>6262</v>
      </c>
      <c r="E2119" s="2" t="s">
        <v>6263</v>
      </c>
      <c r="F2119" s="2" t="s">
        <v>6264</v>
      </c>
      <c r="G2119" s="2" t="s">
        <v>6265</v>
      </c>
      <c r="H2119" s="2"/>
      <c r="I2119" s="2" t="s">
        <v>9</v>
      </c>
    </row>
    <row r="2120" spans="1:9" ht="39" x14ac:dyDescent="0.3">
      <c r="A2120" s="1" t="str">
        <f>HYPERLINK("https://ipmanager.doe.gov/IPManager//ExternalLink.aspx?6ibkph2k9yi6F%2B0Vz7YoThEBhkR3uHVr8giZD%2F5AmUw%3D","Link")</f>
        <v>Link</v>
      </c>
      <c r="B2120" s="2" t="s">
        <v>6266</v>
      </c>
      <c r="C2120" s="2" t="s">
        <v>6261</v>
      </c>
      <c r="D2120" s="2" t="s">
        <v>6262</v>
      </c>
      <c r="E2120" s="2" t="s">
        <v>6263</v>
      </c>
      <c r="F2120" s="2" t="s">
        <v>6264</v>
      </c>
      <c r="G2120" s="2" t="s">
        <v>6265</v>
      </c>
      <c r="H2120" s="2"/>
      <c r="I2120" s="2" t="s">
        <v>9</v>
      </c>
    </row>
    <row r="2121" spans="1:9" ht="78" x14ac:dyDescent="0.3">
      <c r="A2121" s="1" t="str">
        <f>HYPERLINK("https://ipmanager.doe.gov/IPManager//ExternalLink.aspx?6ibkph2k9yi6F%2B0Vz7YoTvE8yjoHgvp6K86En8MNeYQ%3D","Link")</f>
        <v>Link</v>
      </c>
      <c r="B2121" s="2" t="s">
        <v>6296</v>
      </c>
      <c r="C2121" s="2" t="s">
        <v>6294</v>
      </c>
      <c r="D2121" s="2" t="s">
        <v>6262</v>
      </c>
      <c r="E2121" s="2" t="s">
        <v>6297</v>
      </c>
      <c r="F2121" s="2" t="s">
        <v>6298</v>
      </c>
      <c r="G2121" s="2" t="s">
        <v>6299</v>
      </c>
      <c r="H2121" s="2"/>
      <c r="I2121" s="2" t="s">
        <v>9</v>
      </c>
    </row>
    <row r="2122" spans="1:9" ht="26" x14ac:dyDescent="0.3">
      <c r="A2122" s="1" t="str">
        <f>HYPERLINK("https://ipmanager.doe.gov/IPManager//ExternalLink.aspx?6ibkph2k9yi6F%2B0Vz7YoTnXVN2REjGcWyTb6J1kYPuw%3D","Link")</f>
        <v>Link</v>
      </c>
      <c r="B2122" s="2" t="s">
        <v>6788</v>
      </c>
      <c r="C2122" s="2" t="s">
        <v>6789</v>
      </c>
      <c r="D2122" s="2" t="s">
        <v>3059</v>
      </c>
      <c r="E2122" s="2" t="s">
        <v>6790</v>
      </c>
      <c r="F2122" s="2" t="s">
        <v>6791</v>
      </c>
      <c r="G2122" s="2" t="s">
        <v>6792</v>
      </c>
      <c r="H2122" s="2"/>
      <c r="I2122" s="2" t="s">
        <v>9</v>
      </c>
    </row>
    <row r="2123" spans="1:9" ht="39" x14ac:dyDescent="0.3">
      <c r="A2123" s="1" t="str">
        <f>HYPERLINK("https://ipmanager.doe.gov/IPManager//ExternalLink.aspx?6ibkph2k9yi6F%2B0Vz7YoTsTAnuFk5EoAkCuxXU%2Feid4%3D","Link")</f>
        <v>Link</v>
      </c>
      <c r="B2123" s="2" t="s">
        <v>6793</v>
      </c>
      <c r="C2123" s="2" t="s">
        <v>6789</v>
      </c>
      <c r="D2123" s="2" t="s">
        <v>3059</v>
      </c>
      <c r="E2123" s="2" t="s">
        <v>6794</v>
      </c>
      <c r="F2123" s="2" t="s">
        <v>6795</v>
      </c>
      <c r="G2123" s="2" t="s">
        <v>6792</v>
      </c>
      <c r="H2123" s="2"/>
      <c r="I2123" s="2" t="s">
        <v>9</v>
      </c>
    </row>
    <row r="2124" spans="1:9" ht="65" x14ac:dyDescent="0.3">
      <c r="A2124" s="1" t="str">
        <f>HYPERLINK("https://ipmanager.doe.gov/IPManager//ExternalLink.aspx?6ibkph2k9yi6F%2B0Vz7YoTvPUg%2FVZPl3iLPuVadiRKi0%3D","Link")</f>
        <v>Link</v>
      </c>
      <c r="B2124" s="2" t="s">
        <v>6768</v>
      </c>
      <c r="C2124" s="2" t="s">
        <v>6769</v>
      </c>
      <c r="D2124" s="2" t="s">
        <v>3094</v>
      </c>
      <c r="E2124" s="2" t="s">
        <v>6770</v>
      </c>
      <c r="F2124" s="2"/>
      <c r="G2124" s="2" t="s">
        <v>9</v>
      </c>
      <c r="H2124" s="2"/>
      <c r="I2124" s="2" t="s">
        <v>9</v>
      </c>
    </row>
    <row r="2125" spans="1:9" ht="65" x14ac:dyDescent="0.3">
      <c r="A2125" s="1" t="str">
        <f>HYPERLINK("https://ipmanager.doe.gov/IPManager//ExternalLink.aspx?6ibkph2k9yi6F%2B0Vz7YoTsTAnuFk5EoASqDPZ7SEHJo%3D","Link")</f>
        <v>Link</v>
      </c>
      <c r="B2125" s="2" t="s">
        <v>6771</v>
      </c>
      <c r="C2125" s="2" t="s">
        <v>6769</v>
      </c>
      <c r="D2125" s="2" t="s">
        <v>3094</v>
      </c>
      <c r="E2125" s="2" t="s">
        <v>6770</v>
      </c>
      <c r="F2125" s="2"/>
      <c r="G2125" s="2" t="s">
        <v>9</v>
      </c>
      <c r="H2125" s="2"/>
      <c r="I2125" s="2" t="s">
        <v>9</v>
      </c>
    </row>
    <row r="2126" spans="1:9" ht="65" x14ac:dyDescent="0.3">
      <c r="A2126" s="1" t="str">
        <f>HYPERLINK("https://ipmanager.doe.gov/IPManager//ExternalLink.aspx?6ibkph2k9yi6F%2B0Vz7YoTsTAnuFk5EoApKvGVjT33Jc%3D","Link")</f>
        <v>Link</v>
      </c>
      <c r="B2126" s="2" t="s">
        <v>6772</v>
      </c>
      <c r="C2126" s="2" t="s">
        <v>6769</v>
      </c>
      <c r="D2126" s="2" t="s">
        <v>3094</v>
      </c>
      <c r="E2126" s="2" t="s">
        <v>6770</v>
      </c>
      <c r="F2126" s="2"/>
      <c r="G2126" s="2" t="s">
        <v>9</v>
      </c>
      <c r="H2126" s="2"/>
      <c r="I2126" s="2" t="s">
        <v>9</v>
      </c>
    </row>
    <row r="2127" spans="1:9" ht="65" x14ac:dyDescent="0.3">
      <c r="A2127" s="1" t="str">
        <f>HYPERLINK("https://ipmanager.doe.gov/IPManager//ExternalLink.aspx?6ibkph2k9yi6F%2B0Vz7YoTsTAnuFk5EoALVYZx0rrf9s%3D","Link")</f>
        <v>Link</v>
      </c>
      <c r="B2127" s="2" t="s">
        <v>6773</v>
      </c>
      <c r="C2127" s="2" t="s">
        <v>6769</v>
      </c>
      <c r="D2127" s="2" t="s">
        <v>3094</v>
      </c>
      <c r="E2127" s="2" t="s">
        <v>6770</v>
      </c>
      <c r="F2127" s="2"/>
      <c r="G2127" s="2" t="s">
        <v>9</v>
      </c>
      <c r="H2127" s="2"/>
      <c r="I2127" s="2" t="s">
        <v>9</v>
      </c>
    </row>
    <row r="2128" spans="1:9" ht="65" x14ac:dyDescent="0.3">
      <c r="A2128" s="1" t="str">
        <f>HYPERLINK("https://ipmanager.doe.gov/IPManager//ExternalLink.aspx?6ibkph2k9yi6F%2B0Vz7YoTsTAnuFk5EoAGIFD6mcziZ0%3D","Link")</f>
        <v>Link</v>
      </c>
      <c r="B2128" s="2" t="s">
        <v>6774</v>
      </c>
      <c r="C2128" s="2" t="s">
        <v>6769</v>
      </c>
      <c r="D2128" s="2" t="s">
        <v>3094</v>
      </c>
      <c r="E2128" s="2" t="s">
        <v>6770</v>
      </c>
      <c r="F2128" s="2"/>
      <c r="G2128" s="2" t="s">
        <v>9</v>
      </c>
      <c r="H2128" s="2"/>
      <c r="I2128" s="2" t="s">
        <v>9</v>
      </c>
    </row>
    <row r="2129" spans="1:9" ht="26" x14ac:dyDescent="0.3">
      <c r="A2129" s="1" t="str">
        <f>HYPERLINK("https://ipmanager.doe.gov/IPManager//ExternalLink.aspx?6ibkph2k9yi6F%2B0Vz7YoTsTAnuFk5EoAmSwocJ38YAM%3D","Link")</f>
        <v>Link</v>
      </c>
      <c r="B2129" s="2" t="s">
        <v>6796</v>
      </c>
      <c r="C2129" s="2" t="s">
        <v>6789</v>
      </c>
      <c r="D2129" s="2" t="s">
        <v>3059</v>
      </c>
      <c r="E2129" s="2" t="s">
        <v>6790</v>
      </c>
      <c r="F2129" s="2" t="s">
        <v>6797</v>
      </c>
      <c r="G2129" s="2" t="s">
        <v>6792</v>
      </c>
      <c r="H2129" s="2"/>
      <c r="I2129" s="2" t="s">
        <v>9</v>
      </c>
    </row>
    <row r="2130" spans="1:9" ht="26" x14ac:dyDescent="0.3">
      <c r="A2130" s="1" t="str">
        <f>HYPERLINK("https://ipmanager.doe.gov/IPManager//ExternalLink.aspx?6ibkph2k9yi6F%2B0Vz7YoTvE8yjoHgvp6djNrhyOM1jA%3D","Link")</f>
        <v>Link</v>
      </c>
      <c r="B2130" s="2" t="s">
        <v>7235</v>
      </c>
      <c r="C2130" s="2" t="s">
        <v>7233</v>
      </c>
      <c r="D2130" s="2" t="s">
        <v>3059</v>
      </c>
      <c r="E2130" s="2" t="s">
        <v>7236</v>
      </c>
      <c r="F2130" s="2" t="s">
        <v>7237</v>
      </c>
      <c r="G2130" s="2" t="s">
        <v>7238</v>
      </c>
      <c r="H2130" s="2"/>
      <c r="I2130" s="2" t="s">
        <v>9</v>
      </c>
    </row>
    <row r="2131" spans="1:9" ht="65" x14ac:dyDescent="0.3">
      <c r="A2131" s="1" t="str">
        <f>HYPERLINK("https://ipmanager.doe.gov/IPManager//ExternalLink.aspx?6ibkph2k9yi6F%2B0Vz7YoTnXVN2REjGcWpw0dIDXDmB4%3D","Link")</f>
        <v>Link</v>
      </c>
      <c r="B2131" s="2" t="s">
        <v>6781</v>
      </c>
      <c r="C2131" s="2" t="s">
        <v>6782</v>
      </c>
      <c r="D2131" s="2" t="s">
        <v>5823</v>
      </c>
      <c r="E2131" s="2" t="s">
        <v>6783</v>
      </c>
      <c r="F2131" s="2"/>
      <c r="G2131" s="2" t="s">
        <v>9</v>
      </c>
      <c r="H2131" s="2"/>
      <c r="I2131" s="2" t="s">
        <v>9</v>
      </c>
    </row>
    <row r="2132" spans="1:9" ht="26" x14ac:dyDescent="0.3">
      <c r="A2132" s="1" t="str">
        <f>HYPERLINK("https://ipmanager.doe.gov/IPManager//ExternalLink.aspx?6ibkph2k9yi6F%2B0Vz7YoTvE8yjoHgvp606Nz2QqUxE0%3D","Link")</f>
        <v>Link</v>
      </c>
      <c r="B2132" s="2" t="s">
        <v>7239</v>
      </c>
      <c r="C2132" s="2" t="s">
        <v>7233</v>
      </c>
      <c r="D2132" s="2" t="s">
        <v>3059</v>
      </c>
      <c r="E2132" s="2" t="s">
        <v>7240</v>
      </c>
      <c r="F2132" s="2" t="s">
        <v>7241</v>
      </c>
      <c r="G2132" s="2" t="s">
        <v>5434</v>
      </c>
      <c r="H2132" s="2"/>
      <c r="I2132" s="2" t="s">
        <v>9</v>
      </c>
    </row>
    <row r="2133" spans="1:9" ht="52" x14ac:dyDescent="0.3">
      <c r="A2133" s="1" t="str">
        <f>HYPERLINK("https://ipmanager.doe.gov/IPManager//ExternalLink.aspx?6ibkph2k9yi6F%2B0Vz7YoTjnDGhmGHGI74YOEOB9b4v4%3D","Link")</f>
        <v>Link</v>
      </c>
      <c r="B2133" s="2" t="s">
        <v>2290</v>
      </c>
      <c r="C2133" s="2" t="s">
        <v>2287</v>
      </c>
      <c r="D2133" s="2" t="s">
        <v>2267</v>
      </c>
      <c r="E2133" s="2" t="s">
        <v>2291</v>
      </c>
      <c r="F2133" s="2" t="s">
        <v>2292</v>
      </c>
      <c r="G2133" s="2" t="s">
        <v>2293</v>
      </c>
      <c r="H2133" s="2"/>
      <c r="I2133" s="2" t="s">
        <v>9</v>
      </c>
    </row>
    <row r="2134" spans="1:9" ht="52" x14ac:dyDescent="0.3">
      <c r="A2134" s="1" t="str">
        <f>HYPERLINK("https://ipmanager.doe.gov/IPManager//ExternalLink.aspx?6ibkph2k9yi6F%2B0Vz7YoTnXVN2REjGcW6K7J%2FvHO7w0%3D","Link")</f>
        <v>Link</v>
      </c>
      <c r="B2134" s="2" t="s">
        <v>4584</v>
      </c>
      <c r="C2134" s="2" t="s">
        <v>4585</v>
      </c>
      <c r="D2134" s="2" t="s">
        <v>100</v>
      </c>
      <c r="E2134" s="2" t="s">
        <v>4586</v>
      </c>
      <c r="F2134" s="2" t="s">
        <v>4587</v>
      </c>
      <c r="G2134" s="2" t="s">
        <v>4588</v>
      </c>
      <c r="H2134" s="2"/>
      <c r="I2134" s="2" t="s">
        <v>9</v>
      </c>
    </row>
    <row r="2135" spans="1:9" ht="39" x14ac:dyDescent="0.3">
      <c r="A2135" s="1" t="str">
        <f>HYPERLINK("https://ipmanager.doe.gov/IPManager//ExternalLink.aspx?6ibkph2k9yi6F%2B0Vz7YoTvE8yjoHgvp6hB%2Fl9aofREw%3D","Link")</f>
        <v>Link</v>
      </c>
      <c r="B2135" s="2" t="s">
        <v>4589</v>
      </c>
      <c r="C2135" s="2" t="s">
        <v>4585</v>
      </c>
      <c r="D2135" s="2" t="s">
        <v>100</v>
      </c>
      <c r="E2135" s="2" t="s">
        <v>4590</v>
      </c>
      <c r="F2135" s="2" t="s">
        <v>4591</v>
      </c>
      <c r="G2135" s="2" t="s">
        <v>4592</v>
      </c>
      <c r="H2135" s="2"/>
      <c r="I2135" s="2" t="s">
        <v>9</v>
      </c>
    </row>
    <row r="2136" spans="1:9" ht="52" x14ac:dyDescent="0.3">
      <c r="A2136" s="1" t="str">
        <f>HYPERLINK("https://ipmanager.doe.gov/IPManager//ExternalLink.aspx?6ibkph2k9yi6F%2B0Vz7YoTq6RR9BlGHHik828fuc8aKQ%3D","Link")</f>
        <v>Link</v>
      </c>
      <c r="B2136" s="2" t="s">
        <v>4595</v>
      </c>
      <c r="C2136" s="2" t="s">
        <v>4585</v>
      </c>
      <c r="D2136" s="2" t="s">
        <v>100</v>
      </c>
      <c r="E2136" s="2" t="s">
        <v>4596</v>
      </c>
      <c r="F2136" s="2" t="s">
        <v>4597</v>
      </c>
      <c r="G2136" s="2" t="s">
        <v>1771</v>
      </c>
      <c r="H2136" s="2"/>
      <c r="I2136" s="2" t="s">
        <v>9</v>
      </c>
    </row>
    <row r="2137" spans="1:9" ht="39" x14ac:dyDescent="0.3">
      <c r="A2137" s="1" t="str">
        <f>HYPERLINK("https://ipmanager.doe.gov/IPManager//ExternalLink.aspx?6ibkph2k9yi6F%2B0Vz7YoTvE8yjoHgvp65QpfgRncvxI%3D","Link")</f>
        <v>Link</v>
      </c>
      <c r="B2137" s="2" t="s">
        <v>4599</v>
      </c>
      <c r="C2137" s="2" t="s">
        <v>4585</v>
      </c>
      <c r="D2137" s="2" t="s">
        <v>100</v>
      </c>
      <c r="E2137" s="2" t="s">
        <v>4590</v>
      </c>
      <c r="F2137" s="2" t="s">
        <v>4593</v>
      </c>
      <c r="G2137" s="2" t="s">
        <v>4592</v>
      </c>
      <c r="H2137" s="2"/>
      <c r="I2137" s="2" t="s">
        <v>9</v>
      </c>
    </row>
    <row r="2138" spans="1:9" ht="52" x14ac:dyDescent="0.3">
      <c r="A2138" s="1" t="str">
        <f>HYPERLINK("https://ipmanager.doe.gov/IPManager//ExternalLink.aspx?6ibkph2k9yi6F%2B0Vz7YoTp68px7nSN2g8gSgocUsIMk%3D","Link")</f>
        <v>Link</v>
      </c>
      <c r="B2138" s="2" t="s">
        <v>4604</v>
      </c>
      <c r="C2138" s="2" t="s">
        <v>4585</v>
      </c>
      <c r="D2138" s="2" t="s">
        <v>100</v>
      </c>
      <c r="E2138" s="2" t="s">
        <v>4601</v>
      </c>
      <c r="F2138" s="2" t="s">
        <v>4598</v>
      </c>
      <c r="G2138" s="2" t="s">
        <v>4605</v>
      </c>
      <c r="H2138" s="2"/>
      <c r="I2138" s="2" t="s">
        <v>9</v>
      </c>
    </row>
    <row r="2139" spans="1:9" ht="39" x14ac:dyDescent="0.3">
      <c r="A2139" s="1" t="str">
        <f>HYPERLINK("https://ipmanager.doe.gov/IPManager//ExternalLink.aspx?6ibkph2k9yi6F%2B0Vz7YoThEBhkR3uHVrBo5TUdMFHC4%3D","Link")</f>
        <v>Link</v>
      </c>
      <c r="B2139" s="2" t="s">
        <v>4606</v>
      </c>
      <c r="C2139" s="2" t="s">
        <v>4585</v>
      </c>
      <c r="D2139" s="2" t="s">
        <v>100</v>
      </c>
      <c r="E2139" s="2" t="s">
        <v>4607</v>
      </c>
      <c r="F2139" s="2" t="s">
        <v>7662</v>
      </c>
      <c r="G2139" s="2" t="s">
        <v>3229</v>
      </c>
      <c r="H2139" s="2"/>
      <c r="I2139" s="2" t="s">
        <v>9</v>
      </c>
    </row>
    <row r="2140" spans="1:9" ht="65" x14ac:dyDescent="0.3">
      <c r="A2140" s="1" t="str">
        <f>HYPERLINK("https://ipmanager.doe.gov/IPManager//ExternalLink.aspx?6ibkph2k9yi6F%2B0Vz7YoThEBhkR3uHVr7n8zzpp0akI%3D","Link")</f>
        <v>Link</v>
      </c>
      <c r="B2140" s="2" t="s">
        <v>6812</v>
      </c>
      <c r="C2140" s="2" t="s">
        <v>6799</v>
      </c>
      <c r="D2140" s="2" t="s">
        <v>3583</v>
      </c>
      <c r="E2140" s="2" t="s">
        <v>6813</v>
      </c>
      <c r="F2140" s="2"/>
      <c r="G2140" s="2" t="s">
        <v>9</v>
      </c>
      <c r="H2140" s="2"/>
      <c r="I2140" s="2" t="s">
        <v>9</v>
      </c>
    </row>
    <row r="2141" spans="1:9" ht="26" x14ac:dyDescent="0.3">
      <c r="A2141" s="1" t="str">
        <f>HYPERLINK("https://ipmanager.doe.gov/IPManager//ExternalLink.aspx?6ibkph2k9yi6F%2B0Vz7YoTp68px7nSN2ggoHnS7KgVMU%3D","Link")</f>
        <v>Link</v>
      </c>
      <c r="B2141" s="2" t="s">
        <v>6814</v>
      </c>
      <c r="C2141" s="2" t="s">
        <v>6799</v>
      </c>
      <c r="D2141" s="2" t="s">
        <v>3583</v>
      </c>
      <c r="E2141" s="2" t="s">
        <v>6815</v>
      </c>
      <c r="F2141" s="2"/>
      <c r="G2141" s="2" t="s">
        <v>9</v>
      </c>
      <c r="H2141" s="2"/>
      <c r="I2141" s="2" t="s">
        <v>9</v>
      </c>
    </row>
    <row r="2142" spans="1:9" ht="52" x14ac:dyDescent="0.3">
      <c r="A2142" s="1" t="str">
        <f>HYPERLINK("https://ipmanager.doe.gov/IPManager//ExternalLink.aspx?6ibkph2k9yi6F%2B0Vz7YoThEBhkR3uHVrvCxhoiQ8l7U%3D","Link")</f>
        <v>Link</v>
      </c>
      <c r="B2142" s="2" t="s">
        <v>4609</v>
      </c>
      <c r="C2142" s="2" t="s">
        <v>4585</v>
      </c>
      <c r="D2142" s="2" t="s">
        <v>100</v>
      </c>
      <c r="E2142" s="2" t="s">
        <v>4610</v>
      </c>
      <c r="F2142" s="2" t="s">
        <v>4587</v>
      </c>
      <c r="G2142" s="2" t="s">
        <v>4588</v>
      </c>
      <c r="H2142" s="2"/>
      <c r="I2142" s="2" t="s">
        <v>9</v>
      </c>
    </row>
    <row r="2143" spans="1:9" ht="52" x14ac:dyDescent="0.3">
      <c r="A2143" s="1" t="str">
        <f>HYPERLINK("https://ipmanager.doe.gov/IPManager//ExternalLink.aspx?6ibkph2k9yi6F%2B0Vz7YoTjnDGhmGHGI7yKultW3G%2F6M%3D","Link")</f>
        <v>Link</v>
      </c>
      <c r="B2143" s="2" t="s">
        <v>2269</v>
      </c>
      <c r="C2143" s="2" t="s">
        <v>2270</v>
      </c>
      <c r="D2143" s="2" t="s">
        <v>2271</v>
      </c>
      <c r="E2143" s="2" t="s">
        <v>2272</v>
      </c>
      <c r="F2143" s="2" t="s">
        <v>2273</v>
      </c>
      <c r="G2143" s="2" t="s">
        <v>2274</v>
      </c>
      <c r="H2143" s="2"/>
      <c r="I2143" s="2" t="s">
        <v>9</v>
      </c>
    </row>
    <row r="2144" spans="1:9" ht="39" x14ac:dyDescent="0.3">
      <c r="A2144" s="1" t="str">
        <f>HYPERLINK("https://ipmanager.doe.gov/IPManager//ExternalLink.aspx?6ibkph2k9yi6F%2B0Vz7YoTp68px7nSN2gjj6sto%2FqUVk%3D","Link")</f>
        <v>Link</v>
      </c>
      <c r="B2144" s="2" t="s">
        <v>6825</v>
      </c>
      <c r="C2144" s="2" t="s">
        <v>6818</v>
      </c>
      <c r="D2144" s="2" t="s">
        <v>2957</v>
      </c>
      <c r="E2144" s="2" t="s">
        <v>6826</v>
      </c>
      <c r="F2144" s="2" t="s">
        <v>6827</v>
      </c>
      <c r="G2144" s="2" t="s">
        <v>734</v>
      </c>
      <c r="H2144" s="6" t="s">
        <v>6828</v>
      </c>
      <c r="I2144" s="2" t="s">
        <v>6829</v>
      </c>
    </row>
    <row r="2145" spans="1:9" ht="65" x14ac:dyDescent="0.3">
      <c r="A2145" s="1" t="str">
        <f>HYPERLINK("https://ipmanager.doe.gov/IPManager//ExternalLink.aspx?6ibkph2k9yi6F%2B0Vz7YoTo7DPLa3%2F%2FGgSnSVwQsaIEA%3D","Link")</f>
        <v>Link</v>
      </c>
      <c r="B2145" s="2" t="s">
        <v>6830</v>
      </c>
      <c r="C2145" s="2" t="s">
        <v>6818</v>
      </c>
      <c r="D2145" s="2" t="s">
        <v>2957</v>
      </c>
      <c r="E2145" s="2" t="s">
        <v>6831</v>
      </c>
      <c r="F2145" s="2"/>
      <c r="G2145" s="2" t="s">
        <v>9</v>
      </c>
      <c r="H2145" s="2"/>
      <c r="I2145" s="2" t="s">
        <v>9</v>
      </c>
    </row>
    <row r="2146" spans="1:9" ht="39" x14ac:dyDescent="0.3">
      <c r="A2146" s="1" t="str">
        <f>HYPERLINK("https://ipmanager.doe.gov/IPManager//ExternalLink.aspx?6ibkph2k9yi6F%2B0Vz7YoTo7DPLa3%2F%2FGg2bVFqGDP9t8%3D","Link")</f>
        <v>Link</v>
      </c>
      <c r="B2146" s="2" t="s">
        <v>6832</v>
      </c>
      <c r="C2146" s="2" t="s">
        <v>6818</v>
      </c>
      <c r="D2146" s="2" t="s">
        <v>2957</v>
      </c>
      <c r="E2146" s="2" t="s">
        <v>6826</v>
      </c>
      <c r="F2146" s="2" t="s">
        <v>6833</v>
      </c>
      <c r="G2146" s="2" t="s">
        <v>6609</v>
      </c>
      <c r="H2146" s="6" t="s">
        <v>6828</v>
      </c>
      <c r="I2146" s="2" t="s">
        <v>6829</v>
      </c>
    </row>
    <row r="2147" spans="1:9" ht="52" x14ac:dyDescent="0.3">
      <c r="A2147" s="1" t="str">
        <f>HYPERLINK("https://ipmanager.doe.gov/IPManager//ExternalLink.aspx?6ibkph2k9yi6F%2B0Vz7YoTipZ798QK%2BbPxbql0QYzXuA%3D","Link")</f>
        <v>Link</v>
      </c>
      <c r="B2147" s="2" t="s">
        <v>2277</v>
      </c>
      <c r="C2147" s="2" t="s">
        <v>2270</v>
      </c>
      <c r="D2147" s="2" t="s">
        <v>2271</v>
      </c>
      <c r="E2147" s="2" t="s">
        <v>2272</v>
      </c>
      <c r="F2147" s="2" t="s">
        <v>2278</v>
      </c>
      <c r="G2147" s="2" t="s">
        <v>2279</v>
      </c>
      <c r="H2147" s="2"/>
      <c r="I2147" s="2" t="s">
        <v>9</v>
      </c>
    </row>
    <row r="2148" spans="1:9" ht="39" x14ac:dyDescent="0.3">
      <c r="A2148" s="1" t="str">
        <f>HYPERLINK("https://ipmanager.doe.gov/IPManager//ExternalLink.aspx?6ibkph2k9yi6F%2B0Vz7YoThEBhkR3uHVrcr%2BbCSDgGgw%3D","Link")</f>
        <v>Link</v>
      </c>
      <c r="B2148" s="2" t="s">
        <v>2282</v>
      </c>
      <c r="C2148" s="2" t="s">
        <v>2270</v>
      </c>
      <c r="D2148" s="2" t="s">
        <v>2271</v>
      </c>
      <c r="E2148" s="2" t="s">
        <v>2283</v>
      </c>
      <c r="F2148" s="2" t="s">
        <v>2275</v>
      </c>
      <c r="G2148" s="2" t="s">
        <v>2279</v>
      </c>
      <c r="H2148" s="2"/>
      <c r="I2148" s="2" t="s">
        <v>9</v>
      </c>
    </row>
    <row r="2149" spans="1:9" ht="65" x14ac:dyDescent="0.3">
      <c r="A2149" s="1" t="str">
        <f>HYPERLINK("https://ipmanager.doe.gov/IPManager//ExternalLink.aspx?6ibkph2k9yi6F%2B0Vz7YoTipZ798QK%2BbPX5w1jAjfQUU%3D","Link")</f>
        <v>Link</v>
      </c>
      <c r="B2149" s="2" t="s">
        <v>2834</v>
      </c>
      <c r="C2149" s="2" t="s">
        <v>2832</v>
      </c>
      <c r="D2149" s="2" t="s">
        <v>2271</v>
      </c>
      <c r="E2149" s="2" t="s">
        <v>2835</v>
      </c>
      <c r="F2149" s="2" t="s">
        <v>2836</v>
      </c>
      <c r="G2149" s="2" t="s">
        <v>2837</v>
      </c>
      <c r="H2149" s="2"/>
      <c r="I2149" s="2" t="s">
        <v>9</v>
      </c>
    </row>
    <row r="2150" spans="1:9" ht="39" x14ac:dyDescent="0.3">
      <c r="A2150" s="1" t="str">
        <f>HYPERLINK("https://ipmanager.doe.gov/IPManager//ExternalLink.aspx?6ibkph2k9yi6F%2B0Vz7YoTvE8yjoHgvp6cJFIvOxAvjk%3D","Link")</f>
        <v>Link</v>
      </c>
      <c r="B2150" s="2" t="s">
        <v>6841</v>
      </c>
      <c r="C2150" s="2" t="s">
        <v>6818</v>
      </c>
      <c r="D2150" s="2" t="s">
        <v>308</v>
      </c>
      <c r="E2150" s="2" t="s">
        <v>6842</v>
      </c>
      <c r="F2150" s="2"/>
      <c r="G2150" s="2" t="s">
        <v>9</v>
      </c>
      <c r="H2150" s="2"/>
      <c r="I2150" s="2" t="s">
        <v>9</v>
      </c>
    </row>
    <row r="2151" spans="1:9" ht="52" x14ac:dyDescent="0.3">
      <c r="A2151" s="1" t="str">
        <f>HYPERLINK("https://ipmanager.doe.gov/IPManager//ExternalLink.aspx?6ibkph2k9yi6F%2B0Vz7YoTjnDGhmGHGI70sqviYRSweo%3D","Link")</f>
        <v>Link</v>
      </c>
      <c r="B2151" s="2" t="s">
        <v>3222</v>
      </c>
      <c r="C2151" s="2" t="s">
        <v>3223</v>
      </c>
      <c r="D2151" s="2" t="s">
        <v>2271</v>
      </c>
      <c r="E2151" s="2" t="s">
        <v>3224</v>
      </c>
      <c r="F2151" s="2" t="s">
        <v>3225</v>
      </c>
      <c r="G2151" s="2" t="s">
        <v>1863</v>
      </c>
      <c r="H2151" s="2"/>
      <c r="I2151" s="2" t="s">
        <v>9</v>
      </c>
    </row>
    <row r="2152" spans="1:9" ht="65" x14ac:dyDescent="0.3">
      <c r="A2152" s="1" t="str">
        <f>HYPERLINK("https://ipmanager.doe.gov/IPManager//ExternalLink.aspx?6ibkph2k9yi6F%2B0Vz7YoTvE8yjoHgvp6uiwLhwdSyr0%3D","Link")</f>
        <v>Link</v>
      </c>
      <c r="B2152" s="2" t="s">
        <v>6848</v>
      </c>
      <c r="C2152" s="2" t="s">
        <v>6818</v>
      </c>
      <c r="D2152" s="2" t="s">
        <v>2957</v>
      </c>
      <c r="E2152" s="2" t="s">
        <v>6849</v>
      </c>
      <c r="F2152" s="2"/>
      <c r="G2152" s="2" t="s">
        <v>9</v>
      </c>
      <c r="H2152" s="2"/>
      <c r="I2152" s="2" t="s">
        <v>9</v>
      </c>
    </row>
    <row r="2153" spans="1:9" ht="52" x14ac:dyDescent="0.3">
      <c r="A2153" s="1" t="str">
        <f>HYPERLINK("https://ipmanager.doe.gov/IPManager//ExternalLink.aspx?6ibkph2k9yi6F%2B0Vz7YoTr7J5I%2BY4foYwvaKHfr7QN0%3D","Link")</f>
        <v>Link</v>
      </c>
      <c r="B2153" s="2" t="s">
        <v>3227</v>
      </c>
      <c r="C2153" s="2" t="s">
        <v>3223</v>
      </c>
      <c r="D2153" s="2" t="s">
        <v>2271</v>
      </c>
      <c r="E2153" s="2" t="s">
        <v>3224</v>
      </c>
      <c r="F2153" s="2" t="s">
        <v>3228</v>
      </c>
      <c r="G2153" s="2" t="s">
        <v>3229</v>
      </c>
      <c r="H2153" s="2"/>
      <c r="I2153" s="2" t="s">
        <v>9</v>
      </c>
    </row>
    <row r="2154" spans="1:9" ht="52" x14ac:dyDescent="0.3">
      <c r="A2154" s="1" t="str">
        <f>HYPERLINK("https://ipmanager.doe.gov/IPManager//ExternalLink.aspx?6ibkph2k9yi6F%2B0Vz7YoTp68px7nSN2ggNq8WwBt8sg%3D","Link")</f>
        <v>Link</v>
      </c>
      <c r="B2154" s="2" t="s">
        <v>3230</v>
      </c>
      <c r="C2154" s="2" t="s">
        <v>3223</v>
      </c>
      <c r="D2154" s="2" t="s">
        <v>2271</v>
      </c>
      <c r="E2154" s="2" t="s">
        <v>3224</v>
      </c>
      <c r="F2154" s="2" t="s">
        <v>3231</v>
      </c>
      <c r="G2154" s="2" t="s">
        <v>3232</v>
      </c>
      <c r="H2154" s="2"/>
      <c r="I2154" s="2" t="s">
        <v>9</v>
      </c>
    </row>
    <row r="2155" spans="1:9" ht="52" x14ac:dyDescent="0.3">
      <c r="A2155" s="1" t="str">
        <f>HYPERLINK("https://ipmanager.doe.gov/IPManager//ExternalLink.aspx?6ibkph2k9yi6F%2B0Vz7YoTsTAnuFk5EoAKvNZSeYmL60%3D","Link")</f>
        <v>Link</v>
      </c>
      <c r="B2155" s="2" t="s">
        <v>3234</v>
      </c>
      <c r="C2155" s="2" t="s">
        <v>3223</v>
      </c>
      <c r="D2155" s="2" t="s">
        <v>2271</v>
      </c>
      <c r="E2155" s="2" t="s">
        <v>3224</v>
      </c>
      <c r="F2155" s="2" t="s">
        <v>3233</v>
      </c>
      <c r="G2155" s="2" t="s">
        <v>3235</v>
      </c>
      <c r="H2155" s="2"/>
      <c r="I2155" s="2" t="s">
        <v>9</v>
      </c>
    </row>
    <row r="2156" spans="1:9" ht="39" x14ac:dyDescent="0.3">
      <c r="A2156" s="1" t="str">
        <f>HYPERLINK("https://ipmanager.doe.gov/IPManager//ExternalLink.aspx?6ibkph2k9yi6F%2B0Vz7YoTvPUg%2FVZPl3iR%2FoYaKOC1io%3D","Link")</f>
        <v>Link</v>
      </c>
      <c r="B2156" s="2" t="s">
        <v>3858</v>
      </c>
      <c r="C2156" s="2" t="s">
        <v>3772</v>
      </c>
      <c r="D2156" s="2" t="s">
        <v>2271</v>
      </c>
      <c r="E2156" s="2" t="s">
        <v>3859</v>
      </c>
      <c r="F2156" s="2" t="s">
        <v>3860</v>
      </c>
      <c r="G2156" s="2" t="s">
        <v>270</v>
      </c>
      <c r="H2156" s="2"/>
      <c r="I2156" s="2" t="s">
        <v>9</v>
      </c>
    </row>
    <row r="2157" spans="1:9" ht="39" x14ac:dyDescent="0.3">
      <c r="A2157" s="1" t="str">
        <f>HYPERLINK("https://ipmanager.doe.gov/IPManager//ExternalLink.aspx?6ibkph2k9yi6F%2B0Vz7YoTvPUg%2FVZPl3iIY7JagfttG0%3D","Link")</f>
        <v>Link</v>
      </c>
      <c r="B2157" s="2" t="s">
        <v>3861</v>
      </c>
      <c r="C2157" s="2" t="s">
        <v>3772</v>
      </c>
      <c r="D2157" s="2" t="s">
        <v>2271</v>
      </c>
      <c r="E2157" s="2" t="s">
        <v>3859</v>
      </c>
      <c r="F2157" s="2" t="s">
        <v>3862</v>
      </c>
      <c r="G2157" s="2" t="s">
        <v>9</v>
      </c>
      <c r="H2157" s="2"/>
      <c r="I2157" s="2" t="s">
        <v>9</v>
      </c>
    </row>
    <row r="2158" spans="1:9" ht="39" x14ac:dyDescent="0.3">
      <c r="A2158" s="1" t="str">
        <f>HYPERLINK("https://ipmanager.doe.gov/IPManager//ExternalLink.aspx?6ibkph2k9yi6F%2B0Vz7YoTjnDGhmGHGI7PC9U5IXGR68%3D","Link")</f>
        <v>Link</v>
      </c>
      <c r="B2158" s="2" t="s">
        <v>3917</v>
      </c>
      <c r="C2158" s="2" t="s">
        <v>3772</v>
      </c>
      <c r="D2158" s="2" t="s">
        <v>2271</v>
      </c>
      <c r="E2158" s="2" t="s">
        <v>3918</v>
      </c>
      <c r="F2158" s="2" t="s">
        <v>3919</v>
      </c>
      <c r="G2158" s="2" t="s">
        <v>1494</v>
      </c>
      <c r="H2158" s="2"/>
      <c r="I2158" s="2" t="s">
        <v>9</v>
      </c>
    </row>
    <row r="2159" spans="1:9" ht="26" x14ac:dyDescent="0.3">
      <c r="A2159" s="1" t="str">
        <f>HYPERLINK("https://ipmanager.doe.gov/IPManager//ExternalLink.aspx?6ibkph2k9yi6F%2B0Vz7YoTkqAgjuWMa9Q%2BK8xft23h8o%3D","Link")</f>
        <v>Link</v>
      </c>
      <c r="B2159" s="2" t="s">
        <v>6868</v>
      </c>
      <c r="C2159" s="2" t="s">
        <v>6860</v>
      </c>
      <c r="D2159" s="2" t="s">
        <v>95</v>
      </c>
      <c r="E2159" s="2" t="s">
        <v>6865</v>
      </c>
      <c r="F2159" s="2"/>
      <c r="G2159" s="2" t="s">
        <v>9</v>
      </c>
      <c r="H2159" s="2"/>
      <c r="I2159" s="2" t="s">
        <v>9</v>
      </c>
    </row>
    <row r="2160" spans="1:9" ht="39" x14ac:dyDescent="0.3">
      <c r="A2160" s="1" t="str">
        <f>HYPERLINK("https://ipmanager.doe.gov/IPManager//ExternalLink.aspx?6ibkph2k9yi6F%2B0Vz7YoTnXVN2REjGcWZXJJTckbk9M%3D","Link")</f>
        <v>Link</v>
      </c>
      <c r="B2160" s="2" t="s">
        <v>5489</v>
      </c>
      <c r="C2160" s="2" t="s">
        <v>5483</v>
      </c>
      <c r="D2160" s="2" t="s">
        <v>5484</v>
      </c>
      <c r="E2160" s="2" t="s">
        <v>5485</v>
      </c>
      <c r="F2160" s="2" t="s">
        <v>5488</v>
      </c>
      <c r="G2160" s="2" t="s">
        <v>5047</v>
      </c>
      <c r="H2160" s="2"/>
      <c r="I2160" s="2" t="s">
        <v>9</v>
      </c>
    </row>
    <row r="2161" spans="1:9" ht="39" x14ac:dyDescent="0.3">
      <c r="A2161" s="1" t="str">
        <f>HYPERLINK("https://ipmanager.doe.gov/IPManager//ExternalLink.aspx?6ibkph2k9yi6F%2B0Vz7YoTnXVN2REjGcWCa42gyNFa10%3D","Link")</f>
        <v>Link</v>
      </c>
      <c r="B2161" s="2" t="s">
        <v>5491</v>
      </c>
      <c r="C2161" s="2" t="s">
        <v>5483</v>
      </c>
      <c r="D2161" s="2" t="s">
        <v>5484</v>
      </c>
      <c r="E2161" s="2" t="s">
        <v>5492</v>
      </c>
      <c r="F2161" s="2" t="s">
        <v>5486</v>
      </c>
      <c r="G2161" s="2" t="s">
        <v>5487</v>
      </c>
      <c r="H2161" s="2"/>
      <c r="I2161" s="2" t="s">
        <v>9</v>
      </c>
    </row>
    <row r="2162" spans="1:9" ht="65" x14ac:dyDescent="0.3">
      <c r="A2162" s="1" t="str">
        <f>HYPERLINK("https://ipmanager.doe.gov/IPManager//ExternalLink.aspx?6ibkph2k9yi6F%2B0Vz7YoTp68px7nSN2gsnF1JDVmxuQ%3D","Link")</f>
        <v>Link</v>
      </c>
      <c r="B2162" s="2" t="s">
        <v>6876</v>
      </c>
      <c r="C2162" s="2" t="s">
        <v>6870</v>
      </c>
      <c r="D2162" s="2" t="s">
        <v>909</v>
      </c>
      <c r="E2162" s="2" t="s">
        <v>4529</v>
      </c>
      <c r="F2162" s="2" t="s">
        <v>6877</v>
      </c>
      <c r="G2162" s="2" t="s">
        <v>6878</v>
      </c>
      <c r="H2162" s="6" t="s">
        <v>6879</v>
      </c>
      <c r="I2162" s="2" t="s">
        <v>6490</v>
      </c>
    </row>
    <row r="2163" spans="1:9" ht="65" x14ac:dyDescent="0.3">
      <c r="A2163" s="1" t="str">
        <f>HYPERLINK("https://ipmanager.doe.gov/IPManager//ExternalLink.aspx?6ibkph2k9yi6F%2B0Vz7YoTvPUg%2FVZPl3iVveN8Mr4mU4%3D","Link")</f>
        <v>Link</v>
      </c>
      <c r="B2163" s="2" t="s">
        <v>5493</v>
      </c>
      <c r="C2163" s="2" t="s">
        <v>5483</v>
      </c>
      <c r="D2163" s="2" t="s">
        <v>5484</v>
      </c>
      <c r="E2163" s="2" t="s">
        <v>5494</v>
      </c>
      <c r="F2163" s="2" t="s">
        <v>5495</v>
      </c>
      <c r="G2163" s="2" t="s">
        <v>541</v>
      </c>
      <c r="H2163" s="2"/>
      <c r="I2163" s="2" t="s">
        <v>9</v>
      </c>
    </row>
    <row r="2164" spans="1:9" ht="52" x14ac:dyDescent="0.3">
      <c r="A2164" s="1" t="str">
        <f>HYPERLINK("https://ipmanager.doe.gov/IPManager//ExternalLink.aspx?6ibkph2k9yi6F%2B0Vz7YoTvPUg%2FVZPl3iFp62BCZBav8%3D","Link")</f>
        <v>Link</v>
      </c>
      <c r="B2164" s="2" t="s">
        <v>6884</v>
      </c>
      <c r="C2164" s="2" t="s">
        <v>6870</v>
      </c>
      <c r="D2164" s="2" t="s">
        <v>909</v>
      </c>
      <c r="E2164" s="2" t="s">
        <v>6885</v>
      </c>
      <c r="F2164" s="2"/>
      <c r="G2164" s="2" t="s">
        <v>9</v>
      </c>
      <c r="H2164" s="2"/>
      <c r="I2164" s="2" t="s">
        <v>9</v>
      </c>
    </row>
    <row r="2165" spans="1:9" ht="52" x14ac:dyDescent="0.3">
      <c r="A2165" s="1" t="str">
        <f>HYPERLINK("https://ipmanager.doe.gov/IPManager//ExternalLink.aspx?6ibkph2k9yi6F%2B0Vz7YoTvPUg%2FVZPl3i1lAgXhtu0lY%3D","Link")</f>
        <v>Link</v>
      </c>
      <c r="B2165" s="2" t="s">
        <v>6886</v>
      </c>
      <c r="C2165" s="2" t="s">
        <v>6870</v>
      </c>
      <c r="D2165" s="2" t="s">
        <v>909</v>
      </c>
      <c r="E2165" s="2" t="s">
        <v>6887</v>
      </c>
      <c r="F2165" s="2"/>
      <c r="G2165" s="2" t="s">
        <v>9</v>
      </c>
      <c r="H2165" s="2"/>
      <c r="I2165" s="2" t="s">
        <v>9</v>
      </c>
    </row>
    <row r="2166" spans="1:9" ht="65" x14ac:dyDescent="0.3">
      <c r="A2166" s="1" t="str">
        <f>HYPERLINK("https://ipmanager.doe.gov/IPManager//ExternalLink.aspx?6ibkph2k9yi6F%2B0Vz7YoTvPUg%2FVZPl3iDQV%2FcXTNIpA%3D","Link")</f>
        <v>Link</v>
      </c>
      <c r="B2166" s="2" t="s">
        <v>5497</v>
      </c>
      <c r="C2166" s="2" t="s">
        <v>5483</v>
      </c>
      <c r="D2166" s="2" t="s">
        <v>5484</v>
      </c>
      <c r="E2166" s="2" t="s">
        <v>5494</v>
      </c>
      <c r="F2166" s="2" t="s">
        <v>5496</v>
      </c>
      <c r="G2166" s="2" t="s">
        <v>541</v>
      </c>
      <c r="H2166" s="2"/>
      <c r="I2166" s="2" t="s">
        <v>9</v>
      </c>
    </row>
    <row r="2167" spans="1:9" ht="39" x14ac:dyDescent="0.3">
      <c r="A2167" s="1" t="str">
        <f>HYPERLINK("https://ipmanager.doe.gov/IPManager//ExternalLink.aspx?6ibkph2k9yi6F%2B0Vz7YoTvPUg%2FVZPl3ieYQBZb2gJPs%3D","Link")</f>
        <v>Link</v>
      </c>
      <c r="B2167" s="2" t="s">
        <v>5498</v>
      </c>
      <c r="C2167" s="2" t="s">
        <v>5483</v>
      </c>
      <c r="D2167" s="2" t="s">
        <v>5484</v>
      </c>
      <c r="E2167" s="2" t="s">
        <v>5499</v>
      </c>
      <c r="F2167" s="2" t="s">
        <v>5500</v>
      </c>
      <c r="G2167" s="2" t="s">
        <v>1265</v>
      </c>
      <c r="H2167" s="2"/>
      <c r="I2167" s="2" t="s">
        <v>9</v>
      </c>
    </row>
    <row r="2168" spans="1:9" ht="39" x14ac:dyDescent="0.3">
      <c r="A2168" s="1" t="str">
        <f>HYPERLINK("https://ipmanager.doe.gov/IPManager//ExternalLink.aspx?6ibkph2k9yi6F%2B0Vz7YoTgZwfmYxrNyKiuG%2Fg2CCNzg%3D","Link")</f>
        <v>Link</v>
      </c>
      <c r="B2168" s="2" t="s">
        <v>5501</v>
      </c>
      <c r="C2168" s="2" t="s">
        <v>5483</v>
      </c>
      <c r="D2168" s="2" t="s">
        <v>5484</v>
      </c>
      <c r="E2168" s="2" t="s">
        <v>5492</v>
      </c>
      <c r="F2168" s="2" t="s">
        <v>5490</v>
      </c>
      <c r="G2168" s="2" t="s">
        <v>881</v>
      </c>
      <c r="H2168" s="2"/>
      <c r="I2168" s="2" t="s">
        <v>9</v>
      </c>
    </row>
    <row r="2169" spans="1:9" ht="39" x14ac:dyDescent="0.3">
      <c r="A2169" s="1" t="str">
        <f>HYPERLINK("https://ipmanager.doe.gov/IPManager//ExternalLink.aspx?6ibkph2k9yi6F%2B0Vz7YoTgZwfmYxrNyK3zJutR00JPY%3D","Link")</f>
        <v>Link</v>
      </c>
      <c r="B2169" s="2" t="s">
        <v>5502</v>
      </c>
      <c r="C2169" s="2" t="s">
        <v>5483</v>
      </c>
      <c r="D2169" s="2" t="s">
        <v>5484</v>
      </c>
      <c r="E2169" s="2" t="s">
        <v>5499</v>
      </c>
      <c r="F2169" s="2" t="s">
        <v>5503</v>
      </c>
      <c r="G2169" s="2" t="s">
        <v>4517</v>
      </c>
      <c r="H2169" s="2"/>
      <c r="I2169" s="2" t="s">
        <v>9</v>
      </c>
    </row>
    <row r="2170" spans="1:9" ht="78" x14ac:dyDescent="0.3">
      <c r="A2170" s="1" t="str">
        <f>HYPERLINK("https://ipmanager.doe.gov/IPManager//ExternalLink.aspx?6ibkph2k9yi6F%2B0Vz7YoTgZwfmYxrNyKilylwKwNJhg%3D","Link")</f>
        <v>Link</v>
      </c>
      <c r="B2170" s="2" t="s">
        <v>5370</v>
      </c>
      <c r="C2170" s="2" t="s">
        <v>5365</v>
      </c>
      <c r="D2170" s="2" t="s">
        <v>5366</v>
      </c>
      <c r="E2170" s="2" t="s">
        <v>5369</v>
      </c>
      <c r="F2170" s="2" t="s">
        <v>5371</v>
      </c>
      <c r="G2170" s="2" t="s">
        <v>4246</v>
      </c>
      <c r="H2170" s="2"/>
      <c r="I2170" s="2" t="s">
        <v>9</v>
      </c>
    </row>
    <row r="2171" spans="1:9" ht="78" x14ac:dyDescent="0.3">
      <c r="A2171" s="1" t="str">
        <f>HYPERLINK("https://ipmanager.doe.gov/IPManager//ExternalLink.aspx?6ibkph2k9yi6F%2B0Vz7YoThEBhkR3uHVrsoBJR7Mhxj4%3D","Link")</f>
        <v>Link</v>
      </c>
      <c r="B2171" s="2" t="s">
        <v>6904</v>
      </c>
      <c r="C2171" s="2" t="s">
        <v>6870</v>
      </c>
      <c r="D2171" s="2" t="s">
        <v>909</v>
      </c>
      <c r="E2171" s="2" t="s">
        <v>6905</v>
      </c>
      <c r="F2171" s="2"/>
      <c r="G2171" s="2" t="s">
        <v>9</v>
      </c>
      <c r="H2171" s="2"/>
      <c r="I2171" s="2" t="s">
        <v>9</v>
      </c>
    </row>
    <row r="2172" spans="1:9" ht="26" x14ac:dyDescent="0.3">
      <c r="A2172" s="1" t="str">
        <f>HYPERLINK("https://ipmanager.doe.gov/IPManager//ExternalLink.aspx?6ibkph2k9yi6F%2B0Vz7YoTjnDGhmGHGI7SPSGm3lZ2hY%3D","Link")</f>
        <v>Link</v>
      </c>
      <c r="B2172" s="2" t="s">
        <v>4971</v>
      </c>
      <c r="C2172" s="2" t="s">
        <v>4969</v>
      </c>
      <c r="D2172" s="2" t="s">
        <v>2230</v>
      </c>
      <c r="E2172" s="2" t="s">
        <v>4972</v>
      </c>
      <c r="F2172" s="2" t="s">
        <v>4973</v>
      </c>
      <c r="G2172" s="2" t="s">
        <v>4180</v>
      </c>
      <c r="H2172" s="2"/>
      <c r="I2172" s="2" t="s">
        <v>9</v>
      </c>
    </row>
    <row r="2173" spans="1:9" ht="78" x14ac:dyDescent="0.3">
      <c r="A2173" s="1" t="str">
        <f>HYPERLINK("https://ipmanager.doe.gov/IPManager//ExternalLink.aspx?6ibkph2k9yi6F%2B0Vz7YoTu0g4zH%2BOsvyKty8eDtt8mg%3D","Link")</f>
        <v>Link</v>
      </c>
      <c r="B2173" s="2" t="s">
        <v>6908</v>
      </c>
      <c r="C2173" s="2" t="s">
        <v>6870</v>
      </c>
      <c r="D2173" s="2" t="s">
        <v>909</v>
      </c>
      <c r="E2173" s="2" t="s">
        <v>6905</v>
      </c>
      <c r="F2173" s="2"/>
      <c r="G2173" s="2" t="s">
        <v>9</v>
      </c>
      <c r="H2173" s="2"/>
      <c r="I2173" s="2" t="s">
        <v>9</v>
      </c>
    </row>
    <row r="2174" spans="1:9" ht="26" x14ac:dyDescent="0.3">
      <c r="A2174" s="1" t="str">
        <f>HYPERLINK("https://ipmanager.doe.gov/IPManager//ExternalLink.aspx?6ibkph2k9yi6F%2B0Vz7YoTnXVN2REjGcWVIoMDqLU1s4%3D","Link")</f>
        <v>Link</v>
      </c>
      <c r="B2174" s="2" t="s">
        <v>4976</v>
      </c>
      <c r="C2174" s="2" t="s">
        <v>4969</v>
      </c>
      <c r="D2174" s="2" t="s">
        <v>2230</v>
      </c>
      <c r="E2174" s="2" t="s">
        <v>4972</v>
      </c>
      <c r="F2174" s="2" t="s">
        <v>4974</v>
      </c>
      <c r="G2174" s="3">
        <v>42622</v>
      </c>
      <c r="H2174" s="2"/>
      <c r="I2174" s="2" t="s">
        <v>9</v>
      </c>
    </row>
    <row r="2175" spans="1:9" ht="26" x14ac:dyDescent="0.3">
      <c r="A2175" s="1" t="str">
        <f>HYPERLINK("https://ipmanager.doe.gov/IPManager//ExternalLink.aspx?6ibkph2k9yi6F%2B0Vz7YoTnXVN2REjGcW1b97dXN%2BF8s%3D","Link")</f>
        <v>Link</v>
      </c>
      <c r="B2175" s="2" t="s">
        <v>4979</v>
      </c>
      <c r="C2175" s="2" t="s">
        <v>4969</v>
      </c>
      <c r="D2175" s="2" t="s">
        <v>2230</v>
      </c>
      <c r="E2175" s="2" t="s">
        <v>4972</v>
      </c>
      <c r="F2175" s="2" t="s">
        <v>4973</v>
      </c>
      <c r="G2175" s="2" t="s">
        <v>4180</v>
      </c>
      <c r="H2175" s="2"/>
      <c r="I2175" s="2" t="s">
        <v>9</v>
      </c>
    </row>
    <row r="2176" spans="1:9" ht="26" x14ac:dyDescent="0.3">
      <c r="A2176" s="1" t="str">
        <f>HYPERLINK("https://ipmanager.doe.gov/IPManager//ExternalLink.aspx?6ibkph2k9yi6F%2B0Vz7YoTjnDGhmGHGI7SBjBtI%2BFItU%3D","Link")</f>
        <v>Link</v>
      </c>
      <c r="B2176" s="2" t="s">
        <v>4980</v>
      </c>
      <c r="C2176" s="2" t="s">
        <v>4969</v>
      </c>
      <c r="D2176" s="2" t="s">
        <v>2230</v>
      </c>
      <c r="E2176" s="2" t="s">
        <v>4972</v>
      </c>
      <c r="F2176" s="2" t="s">
        <v>4977</v>
      </c>
      <c r="G2176" s="2" t="s">
        <v>4981</v>
      </c>
      <c r="H2176" s="2"/>
      <c r="I2176" s="2" t="s">
        <v>9</v>
      </c>
    </row>
    <row r="2177" spans="1:9" ht="65" x14ac:dyDescent="0.3">
      <c r="A2177" s="1" t="str">
        <f>HYPERLINK("https://ipmanager.doe.gov/IPManager//ExternalLink.aspx?6ibkph2k9yi6F%2B0Vz7YoTvPUg%2FVZPl3ib9JrbuvvNqY%3D","Link")</f>
        <v>Link</v>
      </c>
      <c r="B2177" s="2" t="s">
        <v>6914</v>
      </c>
      <c r="C2177" s="2" t="s">
        <v>6915</v>
      </c>
      <c r="D2177" s="2" t="s">
        <v>4141</v>
      </c>
      <c r="E2177" s="2" t="s">
        <v>6916</v>
      </c>
      <c r="F2177" s="2"/>
      <c r="G2177" s="2" t="s">
        <v>9</v>
      </c>
      <c r="H2177" s="2"/>
      <c r="I2177" s="2" t="s">
        <v>9</v>
      </c>
    </row>
    <row r="2178" spans="1:9" ht="26" x14ac:dyDescent="0.3">
      <c r="A2178" s="1" t="str">
        <f>HYPERLINK("https://ipmanager.doe.gov/IPManager//ExternalLink.aspx?6ibkph2k9yi6F%2B0Vz7YoTo7DPLa3%2F%2FGgHQ4%2BFpGfwNA%3D","Link")</f>
        <v>Link</v>
      </c>
      <c r="B2178" s="2" t="s">
        <v>4982</v>
      </c>
      <c r="C2178" s="2" t="s">
        <v>4969</v>
      </c>
      <c r="D2178" s="2" t="s">
        <v>2230</v>
      </c>
      <c r="E2178" s="2" t="s">
        <v>4972</v>
      </c>
      <c r="F2178" s="2" t="s">
        <v>4983</v>
      </c>
      <c r="G2178" s="2" t="s">
        <v>4978</v>
      </c>
      <c r="H2178" s="2"/>
      <c r="I2178" s="2" t="s">
        <v>9</v>
      </c>
    </row>
    <row r="2179" spans="1:9" ht="26" x14ac:dyDescent="0.3">
      <c r="A2179" s="1" t="str">
        <f>HYPERLINK("https://ipmanager.doe.gov/IPManager//ExternalLink.aspx?6ibkph2k9yi6F%2B0Vz7YoTipZ798QK%2BbP%2BySXLt%2FAxOY%3D","Link")</f>
        <v>Link</v>
      </c>
      <c r="B2179" s="2" t="s">
        <v>5020</v>
      </c>
      <c r="C2179" s="2" t="s">
        <v>5021</v>
      </c>
      <c r="D2179" s="2" t="s">
        <v>2230</v>
      </c>
      <c r="E2179" s="2" t="s">
        <v>5022</v>
      </c>
      <c r="F2179" s="2" t="s">
        <v>5023</v>
      </c>
      <c r="G2179" s="2" t="s">
        <v>5024</v>
      </c>
      <c r="H2179" s="2"/>
      <c r="I2179" s="2" t="s">
        <v>9</v>
      </c>
    </row>
    <row r="2180" spans="1:9" ht="39" x14ac:dyDescent="0.3">
      <c r="A2180" s="1" t="str">
        <f>HYPERLINK("https://ipmanager.doe.gov/IPManager//ExternalLink.aspx?6ibkph2k9yi6F%2B0Vz7YoTvE8yjoHgvp62ceFysWGOoU%3D","Link")</f>
        <v>Link</v>
      </c>
      <c r="B2180" s="2" t="s">
        <v>6923</v>
      </c>
      <c r="C2180" s="2" t="s">
        <v>6924</v>
      </c>
      <c r="D2180" s="2" t="s">
        <v>6925</v>
      </c>
      <c r="E2180" s="2" t="s">
        <v>6926</v>
      </c>
      <c r="F2180" s="2"/>
      <c r="G2180" s="2" t="s">
        <v>9</v>
      </c>
      <c r="H2180" s="2"/>
      <c r="I2180" s="2" t="s">
        <v>9</v>
      </c>
    </row>
    <row r="2181" spans="1:9" ht="52" x14ac:dyDescent="0.3">
      <c r="A2181" s="1" t="str">
        <f>HYPERLINK("https://ipmanager.doe.gov/IPManager//ExternalLink.aspx?6ibkph2k9yi6F%2B0Vz7YoTnXVN2REjGcWcNvARDy5ySo%3D","Link")</f>
        <v>Link</v>
      </c>
      <c r="B2181" s="2" t="s">
        <v>6927</v>
      </c>
      <c r="C2181" s="2" t="s">
        <v>6924</v>
      </c>
      <c r="D2181" s="2" t="s">
        <v>6925</v>
      </c>
      <c r="E2181" s="2" t="s">
        <v>6928</v>
      </c>
      <c r="F2181" s="2"/>
      <c r="G2181" s="2" t="s">
        <v>9</v>
      </c>
      <c r="H2181" s="2"/>
      <c r="I2181" s="2" t="s">
        <v>9</v>
      </c>
    </row>
    <row r="2182" spans="1:9" ht="39" x14ac:dyDescent="0.3">
      <c r="A2182" s="1" t="str">
        <f>HYPERLINK("https://ipmanager.doe.gov/IPManager//ExternalLink.aspx?6ibkph2k9yi6F%2B0Vz7YoTvPUg%2FVZPl3ig9%2BWcNrJqQE%3D","Link")</f>
        <v>Link</v>
      </c>
      <c r="B2182" s="2" t="s">
        <v>6929</v>
      </c>
      <c r="C2182" s="2" t="s">
        <v>6924</v>
      </c>
      <c r="D2182" s="2" t="s">
        <v>6925</v>
      </c>
      <c r="E2182" s="2" t="s">
        <v>6930</v>
      </c>
      <c r="F2182" s="2"/>
      <c r="G2182" s="2" t="s">
        <v>9</v>
      </c>
      <c r="H2182" s="2"/>
      <c r="I2182" s="2" t="s">
        <v>9</v>
      </c>
    </row>
    <row r="2183" spans="1:9" ht="65" x14ac:dyDescent="0.3">
      <c r="A2183" s="1" t="str">
        <f>HYPERLINK("https://ipmanager.doe.gov/IPManager//ExternalLink.aspx?6ibkph2k9yi6F%2B0Vz7YoTvPUg%2FVZPl3iTLwoIRlS1Vo%3D","Link")</f>
        <v>Link</v>
      </c>
      <c r="B2183" s="2" t="s">
        <v>6931</v>
      </c>
      <c r="C2183" s="2" t="s">
        <v>6924</v>
      </c>
      <c r="D2183" s="2" t="s">
        <v>6925</v>
      </c>
      <c r="E2183" s="2" t="s">
        <v>6932</v>
      </c>
      <c r="F2183" s="2"/>
      <c r="G2183" s="2" t="s">
        <v>9</v>
      </c>
      <c r="H2183" s="2"/>
      <c r="I2183" s="2" t="s">
        <v>9</v>
      </c>
    </row>
    <row r="2184" spans="1:9" ht="39" x14ac:dyDescent="0.3">
      <c r="A2184" s="1" t="str">
        <f>HYPERLINK("https://ipmanager.doe.gov/IPManager//ExternalLink.aspx?6ibkph2k9yi6F%2B0Vz7YoTnXVN2REjGcWn3CI7%2BZmmZk%3D","Link")</f>
        <v>Link</v>
      </c>
      <c r="B2184" s="2" t="s">
        <v>6933</v>
      </c>
      <c r="C2184" s="2" t="s">
        <v>6924</v>
      </c>
      <c r="D2184" s="2" t="s">
        <v>6925</v>
      </c>
      <c r="E2184" s="2" t="s">
        <v>6926</v>
      </c>
      <c r="F2184" s="2"/>
      <c r="G2184" s="2" t="s">
        <v>9</v>
      </c>
      <c r="H2184" s="2"/>
      <c r="I2184" s="2" t="s">
        <v>9</v>
      </c>
    </row>
    <row r="2185" spans="1:9" ht="26" x14ac:dyDescent="0.3">
      <c r="A2185" s="1" t="str">
        <f>HYPERLINK("https://ipmanager.doe.gov/IPManager//ExternalLink.aspx?6ibkph2k9yi6F%2B0Vz7YoTgZwfmYxrNyKo5LHlHh34yA%3D","Link")</f>
        <v>Link</v>
      </c>
      <c r="B2185" s="2" t="s">
        <v>5025</v>
      </c>
      <c r="C2185" s="2" t="s">
        <v>5021</v>
      </c>
      <c r="D2185" s="2" t="s">
        <v>2230</v>
      </c>
      <c r="E2185" s="2" t="s">
        <v>5022</v>
      </c>
      <c r="F2185" s="2" t="s">
        <v>5026</v>
      </c>
      <c r="G2185" s="2" t="s">
        <v>5027</v>
      </c>
      <c r="H2185" s="2"/>
      <c r="I2185" s="2" t="s">
        <v>9</v>
      </c>
    </row>
    <row r="2186" spans="1:9" ht="39" x14ac:dyDescent="0.3">
      <c r="A2186" s="1" t="str">
        <f>HYPERLINK("https://ipmanager.doe.gov/IPManager//ExternalLink.aspx?6ibkph2k9yi6F%2B0Vz7YoTp68px7nSN2gvhvnV9pyU10%3D","Link")</f>
        <v>Link</v>
      </c>
      <c r="B2186" s="2" t="s">
        <v>6938</v>
      </c>
      <c r="C2186" s="2" t="s">
        <v>6935</v>
      </c>
      <c r="D2186" s="2" t="s">
        <v>1474</v>
      </c>
      <c r="E2186" s="2" t="s">
        <v>6939</v>
      </c>
      <c r="F2186" s="2"/>
      <c r="G2186" s="2" t="s">
        <v>9</v>
      </c>
      <c r="H2186" s="2"/>
      <c r="I2186" s="2" t="s">
        <v>9</v>
      </c>
    </row>
    <row r="2187" spans="1:9" ht="52" x14ac:dyDescent="0.3">
      <c r="A2187" s="1" t="str">
        <f>HYPERLINK("https://ipmanager.doe.gov/IPManager//ExternalLink.aspx?6ibkph2k9yi6F%2B0Vz7YoTvPUg%2FVZPl3ihTZ3pHr8dsY%3D","Link")</f>
        <v>Link</v>
      </c>
      <c r="B2187" s="2" t="s">
        <v>5028</v>
      </c>
      <c r="C2187" s="2" t="s">
        <v>5021</v>
      </c>
      <c r="D2187" s="2" t="s">
        <v>2230</v>
      </c>
      <c r="E2187" s="2" t="s">
        <v>5029</v>
      </c>
      <c r="F2187" s="2" t="s">
        <v>5030</v>
      </c>
      <c r="G2187" s="2" t="s">
        <v>2433</v>
      </c>
      <c r="H2187" s="2"/>
      <c r="I2187" s="2" t="s">
        <v>9</v>
      </c>
    </row>
    <row r="2188" spans="1:9" ht="91" x14ac:dyDescent="0.3">
      <c r="A2188" s="1" t="str">
        <f>HYPERLINK("https://ipmanager.doe.gov/IPManager//ExternalLink.aspx?6ibkph2k9yi6F%2B0Vz7YoTp68px7nSN2gOKwxe%2BwCAI8%3D","Link")</f>
        <v>Link</v>
      </c>
      <c r="B2188" s="2" t="s">
        <v>7312</v>
      </c>
      <c r="C2188" s="2" t="s">
        <v>7317</v>
      </c>
      <c r="D2188" s="2" t="s">
        <v>7313</v>
      </c>
      <c r="E2188" s="2" t="s">
        <v>7306</v>
      </c>
      <c r="F2188" s="2"/>
      <c r="G2188" s="2" t="s">
        <v>9</v>
      </c>
      <c r="H2188" s="2"/>
      <c r="I2188" s="2" t="s">
        <v>9</v>
      </c>
    </row>
    <row r="2189" spans="1:9" ht="26" x14ac:dyDescent="0.3">
      <c r="A2189" s="1" t="str">
        <f>HYPERLINK("https://ipmanager.doe.gov/IPManager//ExternalLink.aspx?6ibkph2k9yi6F%2B0Vz7YoTvE8yjoHgvp6Wwcu9rpudEA%3D","Link")</f>
        <v>Link</v>
      </c>
      <c r="B2189" s="2" t="s">
        <v>6943</v>
      </c>
      <c r="C2189" s="2" t="s">
        <v>6944</v>
      </c>
      <c r="D2189" s="2" t="s">
        <v>5761</v>
      </c>
      <c r="E2189" s="2" t="s">
        <v>6945</v>
      </c>
      <c r="F2189" s="2"/>
      <c r="G2189" s="2" t="s">
        <v>9</v>
      </c>
      <c r="H2189" s="2"/>
      <c r="I2189" s="2" t="s">
        <v>9</v>
      </c>
    </row>
    <row r="2190" spans="1:9" ht="26" x14ac:dyDescent="0.3">
      <c r="A2190" s="1" t="str">
        <f>HYPERLINK("https://ipmanager.doe.gov/IPManager//ExternalLink.aspx?6ibkph2k9yi6F%2B0Vz7YoTvPUg%2FVZPl3itmEyb9AXJoE%3D","Link")</f>
        <v>Link</v>
      </c>
      <c r="B2190" s="2" t="s">
        <v>6946</v>
      </c>
      <c r="C2190" s="2" t="s">
        <v>6944</v>
      </c>
      <c r="D2190" s="2" t="s">
        <v>1474</v>
      </c>
      <c r="E2190" s="2" t="s">
        <v>6947</v>
      </c>
      <c r="F2190" s="2"/>
      <c r="G2190" s="2" t="s">
        <v>9</v>
      </c>
      <c r="H2190" s="2"/>
      <c r="I2190" s="2" t="s">
        <v>9</v>
      </c>
    </row>
    <row r="2191" spans="1:9" ht="52" x14ac:dyDescent="0.3">
      <c r="A2191" s="1" t="str">
        <f>HYPERLINK("https://ipmanager.doe.gov/IPManager//ExternalLink.aspx?6ibkph2k9yi6F%2B0Vz7YoTu0g4zH%2BOsvyMb6snejgs5Q%3D","Link")</f>
        <v>Link</v>
      </c>
      <c r="B2191" s="2" t="s">
        <v>6948</v>
      </c>
      <c r="C2191" s="2" t="s">
        <v>6944</v>
      </c>
      <c r="D2191" s="2" t="s">
        <v>1474</v>
      </c>
      <c r="E2191" s="2" t="s">
        <v>6949</v>
      </c>
      <c r="F2191" s="2"/>
      <c r="G2191" s="2" t="s">
        <v>9</v>
      </c>
      <c r="H2191" s="2"/>
      <c r="I2191" s="2" t="s">
        <v>9</v>
      </c>
    </row>
    <row r="2192" spans="1:9" ht="39" x14ac:dyDescent="0.3">
      <c r="A2192" s="1" t="str">
        <f>HYPERLINK("https://ipmanager.doe.gov/IPManager//ExternalLink.aspx?6ibkph2k9yi6F%2B0Vz7YoTsTAnuFk5EoA5c%2FtLGK42so%3D","Link")</f>
        <v>Link</v>
      </c>
      <c r="B2192" s="2" t="s">
        <v>6950</v>
      </c>
      <c r="C2192" s="2" t="s">
        <v>6944</v>
      </c>
      <c r="D2192" s="2" t="s">
        <v>5761</v>
      </c>
      <c r="E2192" s="2" t="s">
        <v>6951</v>
      </c>
      <c r="F2192" s="2"/>
      <c r="G2192" s="2" t="s">
        <v>9</v>
      </c>
      <c r="H2192" s="2"/>
      <c r="I2192" s="2" t="s">
        <v>9</v>
      </c>
    </row>
    <row r="2193" spans="1:9" ht="65" x14ac:dyDescent="0.3">
      <c r="A2193" s="1" t="str">
        <f>HYPERLINK("https://ipmanager.doe.gov/IPManager//ExternalLink.aspx?6ibkph2k9yi6F%2B0Vz7YoTnXVN2REjGcWPpg8yk9tlJE%3D","Link")</f>
        <v>Link</v>
      </c>
      <c r="B2193" s="2" t="s">
        <v>6952</v>
      </c>
      <c r="C2193" s="2" t="s">
        <v>6953</v>
      </c>
      <c r="D2193" s="2" t="s">
        <v>6380</v>
      </c>
      <c r="E2193" s="2" t="s">
        <v>6954</v>
      </c>
      <c r="F2193" s="2"/>
      <c r="G2193" s="2" t="s">
        <v>9</v>
      </c>
      <c r="H2193" s="2"/>
      <c r="I2193" s="2" t="s">
        <v>9</v>
      </c>
    </row>
    <row r="2194" spans="1:9" ht="65" x14ac:dyDescent="0.3">
      <c r="A2194" s="1" t="str">
        <f>HYPERLINK("https://ipmanager.doe.gov/IPManager//ExternalLink.aspx?6ibkph2k9yi6F%2B0Vz7YoTvE8yjoHgvp686aG%2BisChLs%3D","Link")</f>
        <v>Link</v>
      </c>
      <c r="B2194" s="2" t="s">
        <v>6955</v>
      </c>
      <c r="C2194" s="2" t="s">
        <v>6956</v>
      </c>
      <c r="D2194" s="2" t="s">
        <v>4141</v>
      </c>
      <c r="E2194" s="2" t="s">
        <v>6957</v>
      </c>
      <c r="F2194" s="2"/>
      <c r="G2194" s="2" t="s">
        <v>9</v>
      </c>
      <c r="H2194" s="2"/>
      <c r="I2194" s="2" t="s">
        <v>9</v>
      </c>
    </row>
    <row r="2195" spans="1:9" ht="39" x14ac:dyDescent="0.3">
      <c r="A2195" s="1" t="str">
        <f>HYPERLINK("https://ipmanager.doe.gov/IPManager//ExternalLink.aspx?6ibkph2k9yi6F%2B0Vz7YoTsTAnuFk5EoA85qI%2F8f31Yw%3D","Link")</f>
        <v>Link</v>
      </c>
      <c r="B2195" s="2" t="s">
        <v>6958</v>
      </c>
      <c r="C2195" s="2" t="s">
        <v>6959</v>
      </c>
      <c r="D2195" s="2" t="s">
        <v>6960</v>
      </c>
      <c r="E2195" s="2" t="s">
        <v>6961</v>
      </c>
      <c r="F2195" s="2"/>
      <c r="G2195" s="2" t="s">
        <v>9</v>
      </c>
      <c r="H2195" s="2"/>
      <c r="I2195" s="2" t="s">
        <v>9</v>
      </c>
    </row>
    <row r="2196" spans="1:9" ht="65" x14ac:dyDescent="0.3">
      <c r="A2196" s="1" t="str">
        <f>HYPERLINK("https://ipmanager.doe.gov/IPManager//ExternalLink.aspx?6ibkph2k9yi6F%2B0Vz7YoTsTAnuFk5EoAxJ%2Fn8zK7wN4%3D","Link")</f>
        <v>Link</v>
      </c>
      <c r="B2196" s="2" t="s">
        <v>6962</v>
      </c>
      <c r="C2196" s="2" t="s">
        <v>6959</v>
      </c>
      <c r="D2196" s="2" t="s">
        <v>6960</v>
      </c>
      <c r="E2196" s="2" t="s">
        <v>6963</v>
      </c>
      <c r="F2196" s="2"/>
      <c r="G2196" s="2" t="s">
        <v>9</v>
      </c>
      <c r="H2196" s="2"/>
      <c r="I2196" s="2" t="s">
        <v>9</v>
      </c>
    </row>
    <row r="2197" spans="1:9" ht="39" x14ac:dyDescent="0.3">
      <c r="A2197" s="1" t="str">
        <f>HYPERLINK("https://ipmanager.doe.gov/IPManager//ExternalLink.aspx?6ibkph2k9yi6F%2B0Vz7YoTvPUg%2FVZPl3i6iV6RsaiDcg%3D","Link")</f>
        <v>Link</v>
      </c>
      <c r="B2197" s="2" t="s">
        <v>6964</v>
      </c>
      <c r="C2197" s="2" t="s">
        <v>6959</v>
      </c>
      <c r="D2197" s="2" t="s">
        <v>6960</v>
      </c>
      <c r="E2197" s="2" t="s">
        <v>6965</v>
      </c>
      <c r="F2197" s="2"/>
      <c r="G2197" s="2" t="s">
        <v>9</v>
      </c>
      <c r="H2197" s="2"/>
      <c r="I2197" s="2" t="s">
        <v>9</v>
      </c>
    </row>
    <row r="2198" spans="1:9" ht="26" x14ac:dyDescent="0.3">
      <c r="A2198" s="1" t="str">
        <f>HYPERLINK("https://ipmanager.doe.gov/IPManager//ExternalLink.aspx?6ibkph2k9yi6F%2B0Vz7YoTvE8yjoHgvp6w%2BLLyvzGmP0%3D","Link")</f>
        <v>Link</v>
      </c>
      <c r="B2198" s="2" t="s">
        <v>6943</v>
      </c>
      <c r="C2198" s="2" t="s">
        <v>6959</v>
      </c>
      <c r="D2198" s="2" t="s">
        <v>6960</v>
      </c>
      <c r="E2198" s="2" t="s">
        <v>6966</v>
      </c>
      <c r="F2198" s="2"/>
      <c r="G2198" s="2" t="s">
        <v>9</v>
      </c>
      <c r="H2198" s="2"/>
      <c r="I2198" s="2" t="s">
        <v>9</v>
      </c>
    </row>
    <row r="2199" spans="1:9" ht="39" x14ac:dyDescent="0.3">
      <c r="A2199" s="1" t="str">
        <f>HYPERLINK("https://ipmanager.doe.gov/IPManager//ExternalLink.aspx?6ibkph2k9yi6F%2B0Vz7YoTsTAnuFk5EoAvJ3Me%2BmmkJA%3D","Link")</f>
        <v>Link</v>
      </c>
      <c r="B2199" s="2" t="s">
        <v>6967</v>
      </c>
      <c r="C2199" s="2" t="s">
        <v>6959</v>
      </c>
      <c r="D2199" s="2" t="s">
        <v>6960</v>
      </c>
      <c r="E2199" s="2" t="s">
        <v>6968</v>
      </c>
      <c r="F2199" s="2"/>
      <c r="G2199" s="2" t="s">
        <v>9</v>
      </c>
      <c r="H2199" s="2"/>
      <c r="I2199" s="2" t="s">
        <v>9</v>
      </c>
    </row>
    <row r="2200" spans="1:9" ht="78" x14ac:dyDescent="0.3">
      <c r="A2200" s="1" t="str">
        <f>HYPERLINK("https://ipmanager.doe.gov/IPManager//ExternalLink.aspx?6ibkph2k9yi6F%2B0Vz7YoTvE8yjoHgvp6AeowrYXGfaM%3D","Link")</f>
        <v>Link</v>
      </c>
      <c r="B2200" s="2" t="s">
        <v>6969</v>
      </c>
      <c r="C2200" s="2" t="s">
        <v>6959</v>
      </c>
      <c r="D2200" s="2" t="s">
        <v>6960</v>
      </c>
      <c r="E2200" s="2" t="s">
        <v>6970</v>
      </c>
      <c r="F2200" s="2"/>
      <c r="G2200" s="2" t="s">
        <v>9</v>
      </c>
      <c r="H2200" s="2"/>
      <c r="I2200" s="2" t="s">
        <v>9</v>
      </c>
    </row>
    <row r="2201" spans="1:9" ht="39" x14ac:dyDescent="0.3">
      <c r="A2201" s="1" t="str">
        <f>HYPERLINK("https://ipmanager.doe.gov/IPManager//ExternalLink.aspx?6ibkph2k9yi6F%2B0Vz7YoTvE8yjoHgvp6UPUp0l81lKE%3D","Link")</f>
        <v>Link</v>
      </c>
      <c r="B2201" s="2" t="s">
        <v>6971</v>
      </c>
      <c r="C2201" s="2" t="s">
        <v>6972</v>
      </c>
      <c r="D2201" s="2" t="s">
        <v>6286</v>
      </c>
      <c r="E2201" s="2" t="s">
        <v>6973</v>
      </c>
      <c r="F2201" s="2"/>
      <c r="G2201" s="2" t="s">
        <v>9</v>
      </c>
      <c r="H2201" s="2"/>
      <c r="I2201" s="2" t="s">
        <v>9</v>
      </c>
    </row>
    <row r="2202" spans="1:9" ht="26" x14ac:dyDescent="0.3">
      <c r="A2202" s="1" t="str">
        <f>HYPERLINK("https://ipmanager.doe.gov/IPManager//ExternalLink.aspx?6ibkph2k9yi6F%2B0Vz7YoTvE8yjoHgvp6nCWgYnDkx6k%3D","Link")</f>
        <v>Link</v>
      </c>
      <c r="B2202" s="2" t="s">
        <v>4805</v>
      </c>
      <c r="C2202" s="2" t="s">
        <v>6972</v>
      </c>
      <c r="D2202" s="2" t="s">
        <v>6286</v>
      </c>
      <c r="E2202" s="2" t="s">
        <v>6974</v>
      </c>
      <c r="F2202" s="2"/>
      <c r="G2202" s="2" t="s">
        <v>9</v>
      </c>
      <c r="H2202" s="2"/>
      <c r="I2202" s="2" t="s">
        <v>9</v>
      </c>
    </row>
    <row r="2203" spans="1:9" ht="52" x14ac:dyDescent="0.3">
      <c r="A2203" s="1" t="str">
        <f>HYPERLINK("https://ipmanager.doe.gov/IPManager//ExternalLink.aspx?6ibkph2k9yi6F%2B0Vz7YoTvE8yjoHgvp6EbYxDJcKzRg%3D","Link")</f>
        <v>Link</v>
      </c>
      <c r="B2203" s="2" t="s">
        <v>5031</v>
      </c>
      <c r="C2203" s="2" t="s">
        <v>5021</v>
      </c>
      <c r="D2203" s="2" t="s">
        <v>2230</v>
      </c>
      <c r="E2203" s="2" t="s">
        <v>5029</v>
      </c>
      <c r="F2203" s="2" t="s">
        <v>5032</v>
      </c>
      <c r="G2203" s="2" t="s">
        <v>9</v>
      </c>
      <c r="H2203" s="2"/>
      <c r="I2203" s="2" t="s">
        <v>9</v>
      </c>
    </row>
    <row r="2204" spans="1:9" ht="52" x14ac:dyDescent="0.3">
      <c r="A2204" s="1" t="str">
        <f>HYPERLINK("https://ipmanager.doe.gov/IPManager//ExternalLink.aspx?6ibkph2k9yi6F%2B0Vz7YoTvPUg%2FVZPl3i%2FLJ8EaSxVSk%3D","Link")</f>
        <v>Link</v>
      </c>
      <c r="B2204" s="2" t="s">
        <v>5033</v>
      </c>
      <c r="C2204" s="2" t="s">
        <v>5021</v>
      </c>
      <c r="D2204" s="2" t="s">
        <v>2230</v>
      </c>
      <c r="E2204" s="2" t="s">
        <v>5034</v>
      </c>
      <c r="F2204" s="2" t="s">
        <v>5035</v>
      </c>
      <c r="G2204" s="2" t="s">
        <v>5036</v>
      </c>
      <c r="H2204" s="2"/>
      <c r="I2204" s="2" t="s">
        <v>9</v>
      </c>
    </row>
    <row r="2205" spans="1:9" ht="52" x14ac:dyDescent="0.3">
      <c r="A2205" s="1" t="str">
        <f>HYPERLINK("https://ipmanager.doe.gov/IPManager//ExternalLink.aspx?6ibkph2k9yi6F%2B0Vz7YoTp68px7nSN2gyr9P3Izxv7g%3D","Link")</f>
        <v>Link</v>
      </c>
      <c r="B2205" s="2" t="s">
        <v>6981</v>
      </c>
      <c r="C2205" s="2" t="s">
        <v>6972</v>
      </c>
      <c r="D2205" s="2" t="s">
        <v>6286</v>
      </c>
      <c r="E2205" s="2" t="s">
        <v>6982</v>
      </c>
      <c r="F2205" s="2"/>
      <c r="G2205" s="2" t="s">
        <v>9</v>
      </c>
      <c r="H2205" s="2"/>
      <c r="I2205" s="2" t="s">
        <v>9</v>
      </c>
    </row>
    <row r="2206" spans="1:9" ht="91" x14ac:dyDescent="0.3">
      <c r="A2206" s="1" t="str">
        <f>HYPERLINK("https://ipmanager.doe.gov/IPManager//ExternalLink.aspx?6ibkph2k9yi6F%2B0Vz7YoTp68px7nSN2gh7DOW0HuDxM%3D","Link")</f>
        <v>Link</v>
      </c>
      <c r="B2206" s="2" t="s">
        <v>7303</v>
      </c>
      <c r="C2206" s="2" t="s">
        <v>7304</v>
      </c>
      <c r="D2206" s="2" t="s">
        <v>7305</v>
      </c>
      <c r="E2206" s="2" t="s">
        <v>7306</v>
      </c>
      <c r="F2206" s="2" t="s">
        <v>7307</v>
      </c>
      <c r="G2206" s="2" t="s">
        <v>3377</v>
      </c>
      <c r="H2206" s="2"/>
      <c r="I2206" s="2" t="s">
        <v>9</v>
      </c>
    </row>
    <row r="2207" spans="1:9" ht="91" x14ac:dyDescent="0.3">
      <c r="A2207" s="1" t="str">
        <f>HYPERLINK("https://ipmanager.doe.gov/IPManager//ExternalLink.aspx?6ibkph2k9yi6F%2B0Vz7YoTp68px7nSN2grDjMt5rsy8I%3D","Link")</f>
        <v>Link</v>
      </c>
      <c r="B2207" s="2" t="s">
        <v>7308</v>
      </c>
      <c r="C2207" s="2" t="s">
        <v>7304</v>
      </c>
      <c r="D2207" s="2" t="s">
        <v>7305</v>
      </c>
      <c r="E2207" s="2" t="s">
        <v>7306</v>
      </c>
      <c r="F2207" s="2" t="s">
        <v>7309</v>
      </c>
      <c r="G2207" s="2" t="s">
        <v>3377</v>
      </c>
      <c r="H2207" s="2"/>
      <c r="I2207" s="2" t="s">
        <v>9</v>
      </c>
    </row>
    <row r="2208" spans="1:9" ht="65" x14ac:dyDescent="0.3">
      <c r="A2208" s="1" t="str">
        <f>HYPERLINK("https://ipmanager.doe.gov/IPManager//ExternalLink.aspx?6ibkph2k9yi6F%2B0Vz7YoTp68px7nSN2g6Dc%2B4d%2Fuclg%3D","Link")</f>
        <v>Link</v>
      </c>
      <c r="B2208" s="2" t="s">
        <v>6990</v>
      </c>
      <c r="C2208" s="2" t="s">
        <v>6991</v>
      </c>
      <c r="D2208" s="2" t="s">
        <v>1415</v>
      </c>
      <c r="E2208" s="2" t="s">
        <v>6992</v>
      </c>
      <c r="F2208" s="2"/>
      <c r="G2208" s="2" t="s">
        <v>9</v>
      </c>
      <c r="H2208" s="2"/>
      <c r="I2208" s="2" t="s">
        <v>9</v>
      </c>
    </row>
    <row r="2209" spans="1:9" ht="39" x14ac:dyDescent="0.3">
      <c r="A2209" s="1" t="str">
        <f>HYPERLINK("https://ipmanager.doe.gov/IPManager//ExternalLink.aspx?6ibkph2k9yi6F%2B0Vz7YoTp68px7nSN2g75FF01uLOnw%3D","Link")</f>
        <v>Link</v>
      </c>
      <c r="B2209" s="2" t="s">
        <v>6993</v>
      </c>
      <c r="C2209" s="2" t="s">
        <v>6994</v>
      </c>
      <c r="D2209" s="2" t="s">
        <v>6995</v>
      </c>
      <c r="E2209" s="2" t="s">
        <v>6996</v>
      </c>
      <c r="F2209" s="2"/>
      <c r="G2209" s="2" t="s">
        <v>9</v>
      </c>
      <c r="H2209" s="2"/>
      <c r="I2209" s="2" t="s">
        <v>9</v>
      </c>
    </row>
    <row r="2210" spans="1:9" ht="65" x14ac:dyDescent="0.3">
      <c r="A2210" s="1" t="str">
        <f>HYPERLINK("https://ipmanager.doe.gov/IPManager//ExternalLink.aspx?6ibkph2k9yi6F%2B0Vz7YoThEBhkR3uHVrbpXJhb5gF4w%3D","Link")</f>
        <v>Link</v>
      </c>
      <c r="B2210" s="2" t="s">
        <v>6997</v>
      </c>
      <c r="C2210" s="2" t="s">
        <v>6994</v>
      </c>
      <c r="D2210" s="2" t="s">
        <v>6995</v>
      </c>
      <c r="E2210" s="2" t="s">
        <v>6998</v>
      </c>
      <c r="F2210" s="2"/>
      <c r="G2210" s="2" t="s">
        <v>9</v>
      </c>
      <c r="H2210" s="2"/>
      <c r="I2210" s="2" t="s">
        <v>9</v>
      </c>
    </row>
    <row r="2211" spans="1:9" ht="52" x14ac:dyDescent="0.3">
      <c r="A2211" s="1" t="str">
        <f>HYPERLINK("https://ipmanager.doe.gov/IPManager//ExternalLink.aspx?6ibkph2k9yi6F%2B0Vz7YoTsTAnuFk5EoA6UuqToVMC1A%3D","Link")</f>
        <v>Link</v>
      </c>
      <c r="B2211" s="2" t="s">
        <v>6999</v>
      </c>
      <c r="C2211" s="2" t="s">
        <v>6994</v>
      </c>
      <c r="D2211" s="2" t="s">
        <v>6995</v>
      </c>
      <c r="E2211" s="2" t="s">
        <v>7000</v>
      </c>
      <c r="F2211" s="2"/>
      <c r="G2211" s="2" t="s">
        <v>9</v>
      </c>
      <c r="H2211" s="2"/>
      <c r="I2211" s="2" t="s">
        <v>9</v>
      </c>
    </row>
    <row r="2212" spans="1:9" ht="26" x14ac:dyDescent="0.3">
      <c r="A2212" s="1" t="str">
        <f>HYPERLINK("https://ipmanager.doe.gov/IPManager//ExternalLink.aspx?6ibkph2k9yi6F%2B0Vz7YoTp68px7nSN2gTm1HWDL4%2B2I%3D","Link")</f>
        <v>Link</v>
      </c>
      <c r="B2212" s="2" t="s">
        <v>4546</v>
      </c>
      <c r="C2212" s="2" t="s">
        <v>4547</v>
      </c>
      <c r="D2212" s="2" t="s">
        <v>4548</v>
      </c>
      <c r="E2212" s="2" t="s">
        <v>4549</v>
      </c>
      <c r="F2212" s="2" t="s">
        <v>4550</v>
      </c>
      <c r="G2212" s="2" t="s">
        <v>2289</v>
      </c>
      <c r="H2212" s="2"/>
      <c r="I2212" s="2" t="s">
        <v>9</v>
      </c>
    </row>
    <row r="2213" spans="1:9" ht="78" x14ac:dyDescent="0.3">
      <c r="A2213" s="1" t="str">
        <f>HYPERLINK("https://ipmanager.doe.gov/IPManager//ExternalLink.aspx?6ibkph2k9yi6F%2B0Vz7YoTr7J5I%2BY4foY6QD4mTnEHT8%3D","Link")</f>
        <v>Link</v>
      </c>
      <c r="B2213" s="2" t="s">
        <v>4553</v>
      </c>
      <c r="C2213" s="2" t="s">
        <v>4547</v>
      </c>
      <c r="D2213" s="2" t="s">
        <v>4548</v>
      </c>
      <c r="E2213" s="2" t="s">
        <v>4554</v>
      </c>
      <c r="F2213" s="2" t="s">
        <v>4555</v>
      </c>
      <c r="G2213" s="2" t="s">
        <v>4556</v>
      </c>
      <c r="H2213" s="2"/>
      <c r="I2213" s="2" t="s">
        <v>9</v>
      </c>
    </row>
    <row r="2214" spans="1:9" ht="39" x14ac:dyDescent="0.3">
      <c r="A2214" s="1" t="str">
        <f>HYPERLINK("https://ipmanager.doe.gov/IPManager//ExternalLink.aspx?6ibkph2k9yi6F%2B0Vz7YoTsTAnuFk5EoAQNVWCheM0xc%3D","Link")</f>
        <v>Link</v>
      </c>
      <c r="B2214" s="2" t="s">
        <v>6009</v>
      </c>
      <c r="C2214" s="2" t="s">
        <v>6010</v>
      </c>
      <c r="D2214" s="2" t="s">
        <v>4548</v>
      </c>
      <c r="E2214" s="2" t="s">
        <v>6011</v>
      </c>
      <c r="F2214" s="2" t="s">
        <v>6012</v>
      </c>
      <c r="G2214" s="2" t="s">
        <v>4813</v>
      </c>
      <c r="H2214" s="2"/>
      <c r="I2214" s="2" t="s">
        <v>9</v>
      </c>
    </row>
    <row r="2215" spans="1:9" ht="39" x14ac:dyDescent="0.3">
      <c r="A2215" s="1" t="str">
        <f>HYPERLINK("https://ipmanager.doe.gov/IPManager//ExternalLink.aspx?6ibkph2k9yi6F%2B0Vz7YoTo7DPLa3%2F%2FGgEvraDAa7XmA%3D","Link")</f>
        <v>Link</v>
      </c>
      <c r="B2215" s="2" t="s">
        <v>6015</v>
      </c>
      <c r="C2215" s="2" t="s">
        <v>6010</v>
      </c>
      <c r="D2215" s="2" t="s">
        <v>4548</v>
      </c>
      <c r="E2215" s="2" t="s">
        <v>6011</v>
      </c>
      <c r="F2215" s="2" t="s">
        <v>6016</v>
      </c>
      <c r="G2215" s="2" t="s">
        <v>4468</v>
      </c>
      <c r="H2215" s="2"/>
      <c r="I2215" s="2" t="s">
        <v>9</v>
      </c>
    </row>
    <row r="2216" spans="1:9" ht="39" x14ac:dyDescent="0.3">
      <c r="A2216" s="1" t="str">
        <f>HYPERLINK("https://ipmanager.doe.gov/IPManager//ExternalLink.aspx?6ibkph2k9yi6F%2B0Vz7YoTp68px7nSN2g2FD3DoHs%2BV8%3D","Link")</f>
        <v>Link</v>
      </c>
      <c r="B2216" s="2" t="s">
        <v>7015</v>
      </c>
      <c r="C2216" s="2" t="s">
        <v>6994</v>
      </c>
      <c r="D2216" s="2" t="s">
        <v>7009</v>
      </c>
      <c r="E2216" s="2" t="s">
        <v>7016</v>
      </c>
      <c r="F2216" s="2"/>
      <c r="G2216" s="2" t="s">
        <v>9</v>
      </c>
      <c r="H2216" s="2"/>
      <c r="I2216" s="2" t="s">
        <v>9</v>
      </c>
    </row>
    <row r="2217" spans="1:9" ht="39" x14ac:dyDescent="0.3">
      <c r="A2217" s="1" t="str">
        <f>HYPERLINK("https://ipmanager.doe.gov/IPManager//ExternalLink.aspx?6ibkph2k9yi6F%2B0Vz7YoTvE8yjoHgvp6La1Z3pjMJDU%3D","Link")</f>
        <v>Link</v>
      </c>
      <c r="B2217" s="2" t="s">
        <v>7017</v>
      </c>
      <c r="C2217" s="2" t="s">
        <v>7018</v>
      </c>
      <c r="D2217" s="2" t="s">
        <v>8</v>
      </c>
      <c r="E2217" s="2" t="s">
        <v>7019</v>
      </c>
      <c r="F2217" s="2"/>
      <c r="G2217" s="2" t="s">
        <v>9</v>
      </c>
      <c r="H2217" s="2"/>
      <c r="I2217" s="2" t="s">
        <v>9</v>
      </c>
    </row>
    <row r="2218" spans="1:9" ht="52" x14ac:dyDescent="0.3">
      <c r="A2218" s="1" t="str">
        <f>HYPERLINK("https://ipmanager.doe.gov/IPManager//ExternalLink.aspx?6ibkph2k9yi6F%2B0Vz7YoTvE8yjoHgvp6XqqXRQGXM6o%3D","Link")</f>
        <v>Link</v>
      </c>
      <c r="B2218" s="2" t="s">
        <v>7020</v>
      </c>
      <c r="C2218" s="2" t="s">
        <v>7018</v>
      </c>
      <c r="D2218" s="2" t="s">
        <v>8</v>
      </c>
      <c r="E2218" s="2" t="s">
        <v>7021</v>
      </c>
      <c r="F2218" s="2"/>
      <c r="G2218" s="2" t="s">
        <v>9</v>
      </c>
      <c r="H2218" s="2"/>
      <c r="I2218" s="2" t="s">
        <v>9</v>
      </c>
    </row>
    <row r="2219" spans="1:9" ht="65" x14ac:dyDescent="0.3">
      <c r="A2219" s="1" t="str">
        <f>HYPERLINK("https://ipmanager.doe.gov/IPManager//ExternalLink.aspx?6ibkph2k9yi6F%2B0Vz7YoTvE8yjoHgvp65oBvWQjlPQM%3D","Link")</f>
        <v>Link</v>
      </c>
      <c r="B2219" s="2" t="s">
        <v>7022</v>
      </c>
      <c r="C2219" s="2" t="s">
        <v>7018</v>
      </c>
      <c r="D2219" s="2" t="s">
        <v>8</v>
      </c>
      <c r="E2219" s="2" t="s">
        <v>7023</v>
      </c>
      <c r="F2219" s="2"/>
      <c r="G2219" s="2" t="s">
        <v>9</v>
      </c>
      <c r="H2219" s="2"/>
      <c r="I2219" s="2" t="s">
        <v>9</v>
      </c>
    </row>
    <row r="2220" spans="1:9" ht="39" x14ac:dyDescent="0.3">
      <c r="A2220" s="1" t="str">
        <f>HYPERLINK("https://ipmanager.doe.gov/IPManager//ExternalLink.aspx?6ibkph2k9yi6F%2B0Vz7YoTvE8yjoHgvp6WmH0%2FNUNsvg%3D","Link")</f>
        <v>Link</v>
      </c>
      <c r="B2220" s="2" t="s">
        <v>7024</v>
      </c>
      <c r="C2220" s="2" t="s">
        <v>7018</v>
      </c>
      <c r="D2220" s="2" t="s">
        <v>8</v>
      </c>
      <c r="E2220" s="2" t="s">
        <v>7025</v>
      </c>
      <c r="F2220" s="2"/>
      <c r="G2220" s="2" t="s">
        <v>9</v>
      </c>
      <c r="H2220" s="2"/>
      <c r="I2220" s="2" t="s">
        <v>9</v>
      </c>
    </row>
    <row r="2221" spans="1:9" ht="39" x14ac:dyDescent="0.3">
      <c r="A2221" s="1" t="str">
        <f>HYPERLINK("https://ipmanager.doe.gov/IPManager//ExternalLink.aspx?6ibkph2k9yi6F%2B0Vz7YoTvE8yjoHgvp6doVN9MkdDrA%3D","Link")</f>
        <v>Link</v>
      </c>
      <c r="B2221" s="2" t="s">
        <v>7026</v>
      </c>
      <c r="C2221" s="2" t="s">
        <v>7018</v>
      </c>
      <c r="D2221" s="2" t="s">
        <v>8</v>
      </c>
      <c r="E2221" s="2" t="s">
        <v>7027</v>
      </c>
      <c r="F2221" s="2"/>
      <c r="G2221" s="2" t="s">
        <v>9</v>
      </c>
      <c r="H2221" s="2"/>
      <c r="I2221" s="2" t="s">
        <v>9</v>
      </c>
    </row>
    <row r="2222" spans="1:9" ht="39" x14ac:dyDescent="0.3">
      <c r="A2222" s="1" t="str">
        <f>HYPERLINK("https://ipmanager.doe.gov/IPManager//ExternalLink.aspx?6ibkph2k9yi6F%2B0Vz7YoTvE8yjoHgvp6zCUNZpcAXuM%3D","Link")</f>
        <v>Link</v>
      </c>
      <c r="B2222" s="2" t="s">
        <v>7028</v>
      </c>
      <c r="C2222" s="2" t="s">
        <v>7018</v>
      </c>
      <c r="D2222" s="2" t="s">
        <v>8</v>
      </c>
      <c r="E2222" s="2" t="s">
        <v>7029</v>
      </c>
      <c r="F2222" s="2"/>
      <c r="G2222" s="2" t="s">
        <v>9</v>
      </c>
      <c r="H2222" s="2"/>
      <c r="I2222" s="2" t="s">
        <v>9</v>
      </c>
    </row>
    <row r="2223" spans="1:9" ht="65" x14ac:dyDescent="0.3">
      <c r="A2223" s="1" t="str">
        <f>HYPERLINK("https://ipmanager.doe.gov/IPManager//ExternalLink.aspx?6ibkph2k9yi6F%2B0Vz7YoTvE8yjoHgvp6y%2Bair%2BlVcqk%3D","Link")</f>
        <v>Link</v>
      </c>
      <c r="B2223" s="2" t="s">
        <v>7030</v>
      </c>
      <c r="C2223" s="2" t="s">
        <v>7031</v>
      </c>
      <c r="D2223" s="2" t="s">
        <v>2316</v>
      </c>
      <c r="E2223" s="2" t="s">
        <v>7032</v>
      </c>
      <c r="F2223" s="2"/>
      <c r="G2223" s="2" t="s">
        <v>9</v>
      </c>
      <c r="H2223" s="2"/>
      <c r="I2223" s="2" t="s">
        <v>9</v>
      </c>
    </row>
    <row r="2224" spans="1:9" ht="52" x14ac:dyDescent="0.3">
      <c r="A2224" s="1" t="str">
        <f>HYPERLINK("https://ipmanager.doe.gov/IPManager//ExternalLink.aspx?6ibkph2k9yi6F%2B0Vz7YoTvE8yjoHgvp6%2F7qcIFaQ2Ig%3D","Link")</f>
        <v>Link</v>
      </c>
      <c r="B2224" s="2" t="s">
        <v>7033</v>
      </c>
      <c r="C2224" s="2" t="s">
        <v>7031</v>
      </c>
      <c r="D2224" s="2" t="s">
        <v>2316</v>
      </c>
      <c r="E2224" s="2" t="s">
        <v>7034</v>
      </c>
      <c r="F2224" s="2"/>
      <c r="G2224" s="2" t="s">
        <v>9</v>
      </c>
      <c r="H2224" s="2"/>
      <c r="I2224" s="2" t="s">
        <v>9</v>
      </c>
    </row>
    <row r="2225" spans="1:9" ht="52" x14ac:dyDescent="0.3">
      <c r="A2225" s="1" t="str">
        <f>HYPERLINK("https://ipmanager.doe.gov/IPManager//ExternalLink.aspx?6ibkph2k9yi6F%2B0Vz7YoThEBhkR3uHVrvlhRykHhDL4%3D","Link")</f>
        <v>Link</v>
      </c>
      <c r="B2225" s="2" t="s">
        <v>4904</v>
      </c>
      <c r="C2225" s="2" t="s">
        <v>7035</v>
      </c>
      <c r="D2225" s="2" t="s">
        <v>1891</v>
      </c>
      <c r="E2225" s="2" t="s">
        <v>7036</v>
      </c>
      <c r="F2225" s="2"/>
      <c r="G2225" s="2" t="s">
        <v>9</v>
      </c>
      <c r="H2225" s="2"/>
      <c r="I2225" s="2" t="s">
        <v>9</v>
      </c>
    </row>
    <row r="2226" spans="1:9" ht="26" x14ac:dyDescent="0.3">
      <c r="A2226" s="1" t="str">
        <f>HYPERLINK("https://ipmanager.doe.gov/IPManager//ExternalLink.aspx?6ibkph2k9yi6F%2B0Vz7YoTo7DPLa3%2F%2FGgomeg5TZUO%2BM%3D","Link")</f>
        <v>Link</v>
      </c>
      <c r="B2226" s="2" t="s">
        <v>6022</v>
      </c>
      <c r="C2226" s="2" t="s">
        <v>6018</v>
      </c>
      <c r="D2226" s="2" t="s">
        <v>4275</v>
      </c>
      <c r="E2226" s="2" t="s">
        <v>6023</v>
      </c>
      <c r="F2226" s="2" t="s">
        <v>6024</v>
      </c>
      <c r="G2226" s="2" t="s">
        <v>807</v>
      </c>
      <c r="H2226" s="2"/>
      <c r="I2226" s="2" t="s">
        <v>9</v>
      </c>
    </row>
    <row r="2227" spans="1:9" ht="39" x14ac:dyDescent="0.3">
      <c r="A2227" s="1" t="str">
        <f>HYPERLINK("https://ipmanager.doe.gov/IPManager//ExternalLink.aspx?6ibkph2k9yi6F%2B0Vz7YoTvPUg%2FVZPl3iMV1GUo2QG%2F4%3D","Link")</f>
        <v>Link</v>
      </c>
      <c r="B2227" s="2" t="s">
        <v>6150</v>
      </c>
      <c r="C2227" s="2" t="s">
        <v>6151</v>
      </c>
      <c r="D2227" s="2" t="s">
        <v>4275</v>
      </c>
      <c r="E2227" s="2" t="s">
        <v>6152</v>
      </c>
      <c r="F2227" s="2" t="s">
        <v>6153</v>
      </c>
      <c r="G2227" s="2" t="s">
        <v>6154</v>
      </c>
      <c r="H2227" s="2"/>
      <c r="I2227" s="2" t="s">
        <v>9</v>
      </c>
    </row>
    <row r="2228" spans="1:9" ht="39" x14ac:dyDescent="0.3">
      <c r="A2228" s="1" t="str">
        <f>HYPERLINK("https://ipmanager.doe.gov/IPManager//ExternalLink.aspx?6ibkph2k9yi6F%2B0Vz7YoTvE8yjoHgvp6MLL0hTtQdJY%3D","Link")</f>
        <v>Link</v>
      </c>
      <c r="B2228" s="2" t="s">
        <v>7207</v>
      </c>
      <c r="C2228" s="2" t="s">
        <v>7208</v>
      </c>
      <c r="D2228" s="2" t="s">
        <v>4275</v>
      </c>
      <c r="E2228" s="2" t="s">
        <v>7209</v>
      </c>
      <c r="F2228" s="2" t="s">
        <v>7210</v>
      </c>
      <c r="G2228" s="2" t="s">
        <v>1270</v>
      </c>
      <c r="H2228" s="2"/>
      <c r="I2228" s="2" t="s">
        <v>9</v>
      </c>
    </row>
    <row r="2229" spans="1:9" ht="65" x14ac:dyDescent="0.3">
      <c r="A2229" s="1" t="str">
        <f>HYPERLINK("https://ipmanager.doe.gov/IPManager//ExternalLink.aspx?6ibkph2k9yi6F%2B0Vz7YoTsTAnuFk5EoAhK4JEN5szwQ%3D","Link")</f>
        <v>Link</v>
      </c>
      <c r="B2229" s="2" t="s">
        <v>7047</v>
      </c>
      <c r="C2229" s="2" t="s">
        <v>7048</v>
      </c>
      <c r="D2229" s="2" t="s">
        <v>2957</v>
      </c>
      <c r="E2229" s="2" t="s">
        <v>7049</v>
      </c>
      <c r="F2229" s="2"/>
      <c r="G2229" s="2" t="s">
        <v>9</v>
      </c>
      <c r="H2229" s="2"/>
      <c r="I2229" s="2" t="s">
        <v>9</v>
      </c>
    </row>
    <row r="2230" spans="1:9" ht="52" x14ac:dyDescent="0.3">
      <c r="A2230" s="1" t="str">
        <f>HYPERLINK("https://ipmanager.doe.gov/IPManager//ExternalLink.aspx?6ibkph2k9yi6F%2B0Vz7YoThEBhkR3uHVrIzL2CbWDN7Q%3D","Link")</f>
        <v>Link</v>
      </c>
      <c r="B2230" s="2" t="s">
        <v>7050</v>
      </c>
      <c r="C2230" s="2" t="s">
        <v>7051</v>
      </c>
      <c r="D2230" s="2" t="s">
        <v>6175</v>
      </c>
      <c r="E2230" s="2" t="s">
        <v>7052</v>
      </c>
      <c r="F2230" s="2"/>
      <c r="G2230" s="2" t="s">
        <v>9</v>
      </c>
      <c r="H2230" s="2"/>
      <c r="I2230" s="2" t="s">
        <v>9</v>
      </c>
    </row>
    <row r="2231" spans="1:9" ht="52" x14ac:dyDescent="0.3">
      <c r="A2231" s="1" t="str">
        <f>HYPERLINK("https://ipmanager.doe.gov/IPManager//ExternalLink.aspx?6ibkph2k9yi6F%2B0Vz7YoTo7DPLa3%2F%2FGgR1nf2urBvbg%3D","Link")</f>
        <v>Link</v>
      </c>
      <c r="B2231" s="2" t="s">
        <v>7053</v>
      </c>
      <c r="C2231" s="2" t="s">
        <v>7054</v>
      </c>
      <c r="D2231" s="2" t="s">
        <v>3059</v>
      </c>
      <c r="E2231" s="2" t="s">
        <v>7055</v>
      </c>
      <c r="F2231" s="2"/>
      <c r="G2231" s="2" t="s">
        <v>9</v>
      </c>
      <c r="H2231" s="2"/>
      <c r="I2231" s="2" t="s">
        <v>9</v>
      </c>
    </row>
    <row r="2232" spans="1:9" ht="52" x14ac:dyDescent="0.3">
      <c r="A2232" s="1" t="str">
        <f>HYPERLINK("https://ipmanager.doe.gov/IPManager//ExternalLink.aspx?6ibkph2k9yi6F%2B0Vz7YoTvPUg%2FVZPl3i%2FbhVnudjw6A%3D","Link")</f>
        <v>Link</v>
      </c>
      <c r="B2232" s="2" t="s">
        <v>7056</v>
      </c>
      <c r="C2232" s="2" t="s">
        <v>7054</v>
      </c>
      <c r="D2232" s="2" t="s">
        <v>3062</v>
      </c>
      <c r="E2232" s="2" t="s">
        <v>7057</v>
      </c>
      <c r="F2232" s="2"/>
      <c r="G2232" s="2" t="s">
        <v>9</v>
      </c>
      <c r="H2232" s="2"/>
      <c r="I2232" s="2" t="s">
        <v>9</v>
      </c>
    </row>
    <row r="2233" spans="1:9" ht="52" x14ac:dyDescent="0.3">
      <c r="A2233" s="1" t="str">
        <f>HYPERLINK("https://ipmanager.doe.gov/IPManager//ExternalLink.aspx?6ibkph2k9yi6F%2B0Vz7YoTnXVN2REjGcWDNSo6Yrzn6E%3D","Link")</f>
        <v>Link</v>
      </c>
      <c r="B2233" s="2" t="s">
        <v>7058</v>
      </c>
      <c r="C2233" s="2" t="s">
        <v>7059</v>
      </c>
      <c r="D2233" s="2" t="s">
        <v>293</v>
      </c>
      <c r="E2233" s="2" t="s">
        <v>7060</v>
      </c>
      <c r="F2233" s="2"/>
      <c r="G2233" s="2" t="s">
        <v>9</v>
      </c>
      <c r="H2233" s="2"/>
      <c r="I2233" s="2" t="s">
        <v>9</v>
      </c>
    </row>
    <row r="2234" spans="1:9" ht="26" x14ac:dyDescent="0.3">
      <c r="A2234" s="1" t="str">
        <f>HYPERLINK("https://ipmanager.doe.gov/IPManager//ExternalLink.aspx?6ibkph2k9yi6F%2B0Vz7YoTjnDGhmGHGI7zr2Z2glC400%3D","Link")</f>
        <v>Link</v>
      </c>
      <c r="B2234" s="2" t="s">
        <v>2232</v>
      </c>
      <c r="C2234" s="2" t="s">
        <v>2229</v>
      </c>
      <c r="D2234" s="2" t="s">
        <v>2233</v>
      </c>
      <c r="E2234" s="2" t="s">
        <v>2234</v>
      </c>
      <c r="F2234" s="2" t="s">
        <v>2235</v>
      </c>
      <c r="G2234" s="2" t="s">
        <v>2236</v>
      </c>
      <c r="H2234" s="2"/>
      <c r="I2234" s="2" t="s">
        <v>9</v>
      </c>
    </row>
    <row r="2235" spans="1:9" ht="26" x14ac:dyDescent="0.3">
      <c r="A2235" s="1" t="str">
        <f>HYPERLINK("https://ipmanager.doe.gov/IPManager//ExternalLink.aspx?6ibkph2k9yi6F%2B0Vz7YoTvE8yjoHgvp6rHGlDlMXBpg%3D","Link")</f>
        <v>Link</v>
      </c>
      <c r="B2235" s="2" t="s">
        <v>7065</v>
      </c>
      <c r="C2235" s="2" t="s">
        <v>7066</v>
      </c>
      <c r="D2235" s="2" t="s">
        <v>4657</v>
      </c>
      <c r="E2235" s="2" t="s">
        <v>7067</v>
      </c>
      <c r="F2235" s="2"/>
      <c r="G2235" s="2" t="s">
        <v>9</v>
      </c>
      <c r="H2235" s="2"/>
      <c r="I2235" s="2" t="s">
        <v>9</v>
      </c>
    </row>
    <row r="2236" spans="1:9" ht="26" x14ac:dyDescent="0.3">
      <c r="A2236" s="1" t="str">
        <f>HYPERLINK("https://ipmanager.doe.gov/IPManager//ExternalLink.aspx?6ibkph2k9yi6F%2B0Vz7YoTvE8yjoHgvp6AxuyBFc8%2B7w%3D","Link")</f>
        <v>Link</v>
      </c>
      <c r="B2236" s="2" t="s">
        <v>7068</v>
      </c>
      <c r="C2236" s="2" t="s">
        <v>7066</v>
      </c>
      <c r="D2236" s="2" t="s">
        <v>4657</v>
      </c>
      <c r="E2236" s="2" t="s">
        <v>7067</v>
      </c>
      <c r="F2236" s="2"/>
      <c r="G2236" s="2" t="s">
        <v>9</v>
      </c>
      <c r="H2236" s="2"/>
      <c r="I2236" s="2" t="s">
        <v>9</v>
      </c>
    </row>
    <row r="2237" spans="1:9" ht="26" x14ac:dyDescent="0.3">
      <c r="A2237" s="1" t="str">
        <f>HYPERLINK("https://ipmanager.doe.gov/IPManager//ExternalLink.aspx?6ibkph2k9yi6F%2B0Vz7YoTsTAnuFk5EoAV9VZR%2BSuRAg%3D","Link")</f>
        <v>Link</v>
      </c>
      <c r="B2237" s="2" t="s">
        <v>7069</v>
      </c>
      <c r="C2237" s="2" t="s">
        <v>7066</v>
      </c>
      <c r="D2237" s="2" t="s">
        <v>4657</v>
      </c>
      <c r="E2237" s="2" t="s">
        <v>7067</v>
      </c>
      <c r="F2237" s="2"/>
      <c r="G2237" s="2" t="s">
        <v>9</v>
      </c>
      <c r="H2237" s="2"/>
      <c r="I2237" s="2" t="s">
        <v>9</v>
      </c>
    </row>
    <row r="2238" spans="1:9" ht="26" x14ac:dyDescent="0.3">
      <c r="A2238" s="1" t="str">
        <f>HYPERLINK("https://ipmanager.doe.gov/IPManager//ExternalLink.aspx?6ibkph2k9yi6F%2B0Vz7YoTipZ798QK%2BbPlKdB%2F8g8BRA%3D","Link")</f>
        <v>Link</v>
      </c>
      <c r="B2238" s="2" t="s">
        <v>2238</v>
      </c>
      <c r="C2238" s="2" t="s">
        <v>2229</v>
      </c>
      <c r="D2238" s="2" t="s">
        <v>2233</v>
      </c>
      <c r="E2238" s="2" t="s">
        <v>2234</v>
      </c>
      <c r="F2238" s="2" t="s">
        <v>2237</v>
      </c>
      <c r="G2238" s="2" t="s">
        <v>2239</v>
      </c>
      <c r="H2238" s="2"/>
      <c r="I2238" s="2" t="s">
        <v>9</v>
      </c>
    </row>
    <row r="2239" spans="1:9" ht="39" x14ac:dyDescent="0.3">
      <c r="A2239" s="1" t="str">
        <f>HYPERLINK("https://ipmanager.doe.gov/IPManager//ExternalLink.aspx?6ibkph2k9yi6F%2B0Vz7YoTvPUg%2FVZPl3i4aIfus%2BU2TU%3D","Link")</f>
        <v>Link</v>
      </c>
      <c r="B2239" s="2" t="s">
        <v>3475</v>
      </c>
      <c r="C2239" s="2" t="s">
        <v>3476</v>
      </c>
      <c r="D2239" s="2" t="s">
        <v>2233</v>
      </c>
      <c r="E2239" s="2" t="s">
        <v>3477</v>
      </c>
      <c r="F2239" s="2" t="s">
        <v>3478</v>
      </c>
      <c r="G2239" s="2" t="s">
        <v>2130</v>
      </c>
      <c r="H2239" s="2"/>
      <c r="I2239" s="2" t="s">
        <v>9</v>
      </c>
    </row>
    <row r="2240" spans="1:9" ht="39" x14ac:dyDescent="0.3">
      <c r="A2240" s="1" t="str">
        <f>HYPERLINK("https://ipmanager.doe.gov/IPManager//ExternalLink.aspx?6ibkph2k9yi6F%2B0Vz7YoTnXVN2REjGcWquLiEB9ECSk%3D","Link")</f>
        <v>Link</v>
      </c>
      <c r="B2240" s="2" t="s">
        <v>7070</v>
      </c>
      <c r="C2240" s="2" t="s">
        <v>7071</v>
      </c>
      <c r="D2240" s="2" t="s">
        <v>1474</v>
      </c>
      <c r="E2240" s="2" t="s">
        <v>7072</v>
      </c>
      <c r="F2240" s="2"/>
      <c r="G2240" s="2" t="s">
        <v>9</v>
      </c>
      <c r="H2240" s="2"/>
      <c r="I2240" s="2" t="s">
        <v>9</v>
      </c>
    </row>
    <row r="2241" spans="1:9" ht="26" x14ac:dyDescent="0.3">
      <c r="A2241" s="1" t="str">
        <f>HYPERLINK("https://ipmanager.doe.gov/IPManager//ExternalLink.aspx?6ibkph2k9yi6F%2B0Vz7YoTnXVN2REjGcW5VIulEA1vms%3D","Link")</f>
        <v>Link</v>
      </c>
      <c r="B2241" s="2" t="s">
        <v>7073</v>
      </c>
      <c r="C2241" s="2" t="s">
        <v>7071</v>
      </c>
      <c r="D2241" s="2" t="s">
        <v>1474</v>
      </c>
      <c r="E2241" s="2" t="s">
        <v>7074</v>
      </c>
      <c r="F2241" s="2"/>
      <c r="G2241" s="2" t="s">
        <v>9</v>
      </c>
      <c r="H2241" s="2"/>
      <c r="I2241" s="2" t="s">
        <v>9</v>
      </c>
    </row>
    <row r="2242" spans="1:9" ht="26" x14ac:dyDescent="0.3">
      <c r="A2242" s="1" t="str">
        <f>HYPERLINK("https://ipmanager.doe.gov/IPManager//ExternalLink.aspx?6ibkph2k9yi6F%2B0Vz7YoTnXVN2REjGcWVfHGppSMpMw%3D","Link")</f>
        <v>Link</v>
      </c>
      <c r="B2242" s="2" t="s">
        <v>7075</v>
      </c>
      <c r="C2242" s="2" t="s">
        <v>7076</v>
      </c>
      <c r="D2242" s="2" t="s">
        <v>5387</v>
      </c>
      <c r="E2242" s="2" t="s">
        <v>5388</v>
      </c>
      <c r="F2242" s="2"/>
      <c r="G2242" s="2" t="s">
        <v>9</v>
      </c>
      <c r="H2242" s="2"/>
      <c r="I2242" s="2" t="s">
        <v>9</v>
      </c>
    </row>
    <row r="2243" spans="1:9" ht="65" x14ac:dyDescent="0.3">
      <c r="A2243" s="1" t="str">
        <f>HYPERLINK("https://ipmanager.doe.gov/IPManager//ExternalLink.aspx?6ibkph2k9yi6F%2B0Vz7YoTu0g4zH%2BOsvywJJgB885HaA%3D","Link")</f>
        <v>Link</v>
      </c>
      <c r="B2243" s="2" t="s">
        <v>7077</v>
      </c>
      <c r="C2243" s="2" t="s">
        <v>7078</v>
      </c>
      <c r="D2243" s="2" t="s">
        <v>3406</v>
      </c>
      <c r="E2243" s="2" t="s">
        <v>7079</v>
      </c>
      <c r="F2243" s="2"/>
      <c r="G2243" s="2" t="s">
        <v>9</v>
      </c>
      <c r="H2243" s="2"/>
      <c r="I2243" s="2" t="s">
        <v>9</v>
      </c>
    </row>
    <row r="2244" spans="1:9" ht="52" x14ac:dyDescent="0.3">
      <c r="A2244" s="1" t="str">
        <f>HYPERLINK("https://ipmanager.doe.gov/IPManager//ExternalLink.aspx?6ibkph2k9yi6F%2B0Vz7YoTq6RR9BlGHHithff5zEfxro%3D","Link")</f>
        <v>Link</v>
      </c>
      <c r="B2244" s="2" t="s">
        <v>3483</v>
      </c>
      <c r="C2244" s="2" t="s">
        <v>3476</v>
      </c>
      <c r="D2244" s="2" t="s">
        <v>2233</v>
      </c>
      <c r="E2244" s="2" t="s">
        <v>3484</v>
      </c>
      <c r="F2244" s="2" t="s">
        <v>3485</v>
      </c>
      <c r="G2244" s="2" t="s">
        <v>3486</v>
      </c>
      <c r="H2244" s="2"/>
      <c r="I2244" s="2" t="s">
        <v>9</v>
      </c>
    </row>
    <row r="2245" spans="1:9" ht="52" x14ac:dyDescent="0.3">
      <c r="A2245" s="1" t="str">
        <f>HYPERLINK("https://ipmanager.doe.gov/IPManager//ExternalLink.aspx?6ibkph2k9yi6F%2B0Vz7YoTvPUg%2FVZPl3iQTODJ9NkKqA%3D","Link")</f>
        <v>Link</v>
      </c>
      <c r="B2245" s="2" t="s">
        <v>3488</v>
      </c>
      <c r="C2245" s="2" t="s">
        <v>3476</v>
      </c>
      <c r="D2245" s="2" t="s">
        <v>2233</v>
      </c>
      <c r="E2245" s="2" t="s">
        <v>3484</v>
      </c>
      <c r="F2245" s="2" t="s">
        <v>3489</v>
      </c>
      <c r="G2245" s="2" t="s">
        <v>3486</v>
      </c>
      <c r="H2245" s="2"/>
      <c r="I2245" s="2" t="s">
        <v>9</v>
      </c>
    </row>
    <row r="2246" spans="1:9" ht="52" x14ac:dyDescent="0.3">
      <c r="A2246" s="1" t="str">
        <f>HYPERLINK("https://ipmanager.doe.gov/IPManager//ExternalLink.aspx?6ibkph2k9yi6F%2B0Vz7YoTvPUg%2FVZPl3iEOy2HQc7Yo4%3D","Link")</f>
        <v>Link</v>
      </c>
      <c r="B2246" s="2" t="s">
        <v>3490</v>
      </c>
      <c r="C2246" s="2" t="s">
        <v>3476</v>
      </c>
      <c r="D2246" s="2" t="s">
        <v>2233</v>
      </c>
      <c r="E2246" s="2" t="s">
        <v>3484</v>
      </c>
      <c r="F2246" s="2" t="s">
        <v>3491</v>
      </c>
      <c r="G2246" s="2" t="s">
        <v>3492</v>
      </c>
      <c r="H2246" s="2"/>
      <c r="I2246" s="2" t="s">
        <v>9</v>
      </c>
    </row>
    <row r="2247" spans="1:9" ht="26" x14ac:dyDescent="0.3">
      <c r="A2247" s="1" t="str">
        <f>HYPERLINK("https://ipmanager.doe.gov/IPManager//ExternalLink.aspx?6ibkph2k9yi6F%2B0Vz7YoTgZwfmYxrNyKgu627q%2BZhvI%3D","Link")</f>
        <v>Link</v>
      </c>
      <c r="B2247" s="2" t="s">
        <v>5041</v>
      </c>
      <c r="C2247" s="2" t="s">
        <v>5042</v>
      </c>
      <c r="D2247" s="2" t="s">
        <v>5043</v>
      </c>
      <c r="E2247" s="2" t="s">
        <v>5044</v>
      </c>
      <c r="F2247" s="2" t="s">
        <v>5045</v>
      </c>
      <c r="G2247" s="2" t="s">
        <v>5046</v>
      </c>
      <c r="H2247" s="2"/>
      <c r="I2247" s="2" t="s">
        <v>9</v>
      </c>
    </row>
    <row r="2248" spans="1:9" ht="65" x14ac:dyDescent="0.3">
      <c r="A2248" s="1" t="str">
        <f>HYPERLINK("https://ipmanager.doe.gov/IPManager//ExternalLink.aspx?6ibkph2k9yi6F%2B0Vz7YoTu0g4zH%2BOsvy2kXR%2BfBYpu8%3D","Link")</f>
        <v>Link</v>
      </c>
      <c r="B2248" s="2" t="s">
        <v>7093</v>
      </c>
      <c r="C2248" s="2" t="s">
        <v>7089</v>
      </c>
      <c r="D2248" s="2" t="s">
        <v>903</v>
      </c>
      <c r="E2248" s="2" t="s">
        <v>7094</v>
      </c>
      <c r="F2248" s="2"/>
      <c r="G2248" s="2" t="s">
        <v>9</v>
      </c>
      <c r="H2248" s="2"/>
      <c r="I2248" s="2" t="s">
        <v>9</v>
      </c>
    </row>
    <row r="2249" spans="1:9" ht="39" x14ac:dyDescent="0.3">
      <c r="A2249" s="1" t="str">
        <f>HYPERLINK("https://ipmanager.doe.gov/IPManager//ExternalLink.aspx?6ibkph2k9yi6F%2B0Vz7YoTsTAnuFk5EoAnIXzMwqaiKc%3D","Link")</f>
        <v>Link</v>
      </c>
      <c r="B2249" s="2" t="s">
        <v>7095</v>
      </c>
      <c r="C2249" s="2" t="s">
        <v>7089</v>
      </c>
      <c r="D2249" s="2" t="s">
        <v>903</v>
      </c>
      <c r="E2249" s="2" t="s">
        <v>7096</v>
      </c>
      <c r="F2249" s="2"/>
      <c r="G2249" s="2" t="s">
        <v>9</v>
      </c>
      <c r="H2249" s="2"/>
      <c r="I2249" s="2" t="s">
        <v>9</v>
      </c>
    </row>
    <row r="2250" spans="1:9" ht="39" x14ac:dyDescent="0.3">
      <c r="A2250" s="1" t="str">
        <f>HYPERLINK("https://ipmanager.doe.gov/IPManager//ExternalLink.aspx?6ibkph2k9yi6F%2B0Vz7YoTvE8yjoHgvp6S3OiXvncalc%3D","Link")</f>
        <v>Link</v>
      </c>
      <c r="B2250" s="2" t="s">
        <v>3003</v>
      </c>
      <c r="C2250" s="2" t="s">
        <v>3004</v>
      </c>
      <c r="D2250" s="2" t="s">
        <v>3005</v>
      </c>
      <c r="E2250" s="2" t="s">
        <v>3006</v>
      </c>
      <c r="F2250" s="2" t="s">
        <v>3007</v>
      </c>
      <c r="G2250" s="2" t="s">
        <v>1672</v>
      </c>
      <c r="H2250" s="2"/>
      <c r="I2250" s="2" t="s">
        <v>9</v>
      </c>
    </row>
    <row r="2251" spans="1:9" ht="26" x14ac:dyDescent="0.3">
      <c r="A2251" s="1" t="str">
        <f>HYPERLINK("https://ipmanager.doe.gov/IPManager//ExternalLink.aspx?6ibkph2k9yi6F%2B0Vz7YoTlNm8snv%2FZpHy1IIMMr8rT0%3D","Link")</f>
        <v>Link</v>
      </c>
      <c r="B2251" s="2" t="s">
        <v>2517</v>
      </c>
      <c r="C2251" s="2" t="s">
        <v>2518</v>
      </c>
      <c r="D2251" s="2" t="s">
        <v>2519</v>
      </c>
      <c r="E2251" s="2" t="s">
        <v>2520</v>
      </c>
      <c r="F2251" s="2" t="s">
        <v>2521</v>
      </c>
      <c r="G2251" s="2" t="s">
        <v>2449</v>
      </c>
      <c r="H2251" s="2"/>
      <c r="I2251" s="2" t="s">
        <v>9</v>
      </c>
    </row>
    <row r="2252" spans="1:9" ht="39" x14ac:dyDescent="0.3">
      <c r="A2252" s="1" t="str">
        <f>HYPERLINK("https://ipmanager.doe.gov/IPManager//ExternalLink.aspx?6ibkph2k9yi6F%2B0Vz7YoTkqAgjuWMa9QpEptnITcWLw%3D","Link")</f>
        <v>Link</v>
      </c>
      <c r="B2252" s="2" t="s">
        <v>7106</v>
      </c>
      <c r="C2252" s="2" t="s">
        <v>7103</v>
      </c>
      <c r="D2252" s="2" t="s">
        <v>770</v>
      </c>
      <c r="E2252" s="2" t="s">
        <v>7107</v>
      </c>
      <c r="F2252" s="2"/>
      <c r="G2252" s="2" t="s">
        <v>9</v>
      </c>
      <c r="H2252" s="2" t="s">
        <v>793</v>
      </c>
      <c r="I2252" s="2" t="s">
        <v>794</v>
      </c>
    </row>
    <row r="2253" spans="1:9" ht="52" x14ac:dyDescent="0.3">
      <c r="A2253" s="1" t="str">
        <f>HYPERLINK("https://ipmanager.doe.gov/IPManager//ExternalLink.aspx?6ibkph2k9yi6F%2B0Vz7YoTp68px7nSN2g6aGTpico66Q%3D","Link")</f>
        <v>Link</v>
      </c>
      <c r="B2253" s="2" t="s">
        <v>7108</v>
      </c>
      <c r="C2253" s="2" t="s">
        <v>7109</v>
      </c>
      <c r="D2253" s="2" t="s">
        <v>4404</v>
      </c>
      <c r="E2253" s="2" t="s">
        <v>7110</v>
      </c>
      <c r="F2253" s="2"/>
      <c r="G2253" s="2" t="s">
        <v>9</v>
      </c>
      <c r="H2253" s="2"/>
      <c r="I2253" s="2" t="s">
        <v>9</v>
      </c>
    </row>
    <row r="2254" spans="1:9" ht="39" x14ac:dyDescent="0.3">
      <c r="A2254" s="1" t="str">
        <f>HYPERLINK("https://ipmanager.doe.gov/IPManager//ExternalLink.aspx?6ibkph2k9yi6F%2B0Vz7YoTu0g4zH%2BOsvyUd1qIso8XUI%3D","Link")</f>
        <v>Link</v>
      </c>
      <c r="B2254" s="2" t="s">
        <v>7111</v>
      </c>
      <c r="C2254" s="2" t="s">
        <v>7109</v>
      </c>
      <c r="D2254" s="2" t="s">
        <v>1336</v>
      </c>
      <c r="E2254" s="2" t="s">
        <v>7112</v>
      </c>
      <c r="F2254" s="2"/>
      <c r="G2254" s="2" t="s">
        <v>9</v>
      </c>
      <c r="H2254" s="2"/>
      <c r="I2254" s="2" t="s">
        <v>9</v>
      </c>
    </row>
    <row r="2255" spans="1:9" ht="39" x14ac:dyDescent="0.3">
      <c r="A2255" s="1" t="str">
        <f>HYPERLINK("https://ipmanager.doe.gov/IPManager//ExternalLink.aspx?6ibkph2k9yi6F%2B0Vz7YoTkqAgjuWMa9QX%2B2g1Rgi5zs%3D","Link")</f>
        <v>Link</v>
      </c>
      <c r="B2255" s="2" t="s">
        <v>7113</v>
      </c>
      <c r="C2255" s="2" t="s">
        <v>7114</v>
      </c>
      <c r="D2255" s="2" t="s">
        <v>1415</v>
      </c>
      <c r="E2255" s="2" t="s">
        <v>7115</v>
      </c>
      <c r="F2255" s="2"/>
      <c r="G2255" s="2" t="s">
        <v>9</v>
      </c>
      <c r="H2255" s="2"/>
      <c r="I2255" s="2" t="s">
        <v>9</v>
      </c>
    </row>
    <row r="2256" spans="1:9" ht="39" x14ac:dyDescent="0.3">
      <c r="A2256" s="1" t="str">
        <f>HYPERLINK("https://ipmanager.doe.gov/IPManager//ExternalLink.aspx?6ibkph2k9yi6F%2B0Vz7YoTk2BI6w%2FjZ2f8PvVf1RxOZE%3D","Link")</f>
        <v>Link</v>
      </c>
      <c r="B2256" s="2" t="s">
        <v>2522</v>
      </c>
      <c r="C2256" s="2" t="s">
        <v>2518</v>
      </c>
      <c r="D2256" s="2" t="s">
        <v>2519</v>
      </c>
      <c r="E2256" s="2" t="s">
        <v>2523</v>
      </c>
      <c r="F2256" s="2" t="s">
        <v>2524</v>
      </c>
      <c r="G2256" s="2" t="s">
        <v>688</v>
      </c>
      <c r="H2256" s="2"/>
      <c r="I2256" s="2" t="s">
        <v>9</v>
      </c>
    </row>
    <row r="2257" spans="1:9" ht="26" x14ac:dyDescent="0.3">
      <c r="A2257" s="1" t="str">
        <f>HYPERLINK("https://ipmanager.doe.gov/IPManager//ExternalLink.aspx?6ibkph2k9yi6F%2B0Vz7YoTr7J5I%2BY4foY1TVwhdbjvxs%3D","Link")</f>
        <v>Link</v>
      </c>
      <c r="B2257" s="2" t="s">
        <v>2529</v>
      </c>
      <c r="C2257" s="2" t="s">
        <v>2518</v>
      </c>
      <c r="D2257" s="2" t="s">
        <v>2519</v>
      </c>
      <c r="E2257" s="2" t="s">
        <v>2527</v>
      </c>
      <c r="F2257" s="2" t="s">
        <v>2530</v>
      </c>
      <c r="G2257" s="2" t="s">
        <v>2531</v>
      </c>
      <c r="H2257" s="2"/>
      <c r="I2257" s="2" t="s">
        <v>9</v>
      </c>
    </row>
    <row r="2258" spans="1:9" ht="39" x14ac:dyDescent="0.3">
      <c r="A2258" s="1" t="str">
        <f>HYPERLINK("https://ipmanager.doe.gov/IPManager//ExternalLink.aspx?6ibkph2k9yi6F%2B0Vz7YoTo7DPLa3%2F%2FGgK60kh3PcpNA%3D","Link")</f>
        <v>Link</v>
      </c>
      <c r="B2258" s="2" t="s">
        <v>2532</v>
      </c>
      <c r="C2258" s="2" t="s">
        <v>2518</v>
      </c>
      <c r="D2258" s="2" t="s">
        <v>2519</v>
      </c>
      <c r="E2258" s="2" t="s">
        <v>2533</v>
      </c>
      <c r="F2258" s="2" t="s">
        <v>2534</v>
      </c>
      <c r="G2258" s="2" t="s">
        <v>113</v>
      </c>
      <c r="H2258" s="2"/>
      <c r="I2258" s="2" t="s">
        <v>9</v>
      </c>
    </row>
    <row r="2259" spans="1:9" ht="39" x14ac:dyDescent="0.3">
      <c r="A2259" s="1" t="str">
        <f>HYPERLINK("https://ipmanager.doe.gov/IPManager//ExternalLink.aspx?6ibkph2k9yi6F%2B0Vz7YoTsTAnuFk5EoAYMj6PDas86Q%3D","Link")</f>
        <v>Link</v>
      </c>
      <c r="B2259" s="2" t="s">
        <v>7127</v>
      </c>
      <c r="C2259" s="2" t="s">
        <v>7128</v>
      </c>
      <c r="D2259" s="2" t="s">
        <v>2019</v>
      </c>
      <c r="E2259" s="2" t="s">
        <v>7129</v>
      </c>
      <c r="F2259" s="2"/>
      <c r="G2259" s="2" t="s">
        <v>9</v>
      </c>
      <c r="H2259" s="2"/>
      <c r="I2259" s="2" t="s">
        <v>9</v>
      </c>
    </row>
    <row r="2260" spans="1:9" ht="39" x14ac:dyDescent="0.3">
      <c r="A2260" s="1" t="str">
        <f>HYPERLINK("https://ipmanager.doe.gov/IPManager//ExternalLink.aspx?6ibkph2k9yi6F%2B0Vz7YoTsTAnuFk5EoABHbULKU%2Bz5w%3D","Link")</f>
        <v>Link</v>
      </c>
      <c r="B2260" s="2" t="s">
        <v>7130</v>
      </c>
      <c r="C2260" s="2" t="s">
        <v>7128</v>
      </c>
      <c r="D2260" s="2" t="s">
        <v>2019</v>
      </c>
      <c r="E2260" s="2" t="s">
        <v>7131</v>
      </c>
      <c r="F2260" s="2"/>
      <c r="G2260" s="2" t="s">
        <v>9</v>
      </c>
      <c r="H2260" s="2"/>
      <c r="I2260" s="2" t="s">
        <v>9</v>
      </c>
    </row>
    <row r="2261" spans="1:9" ht="65" x14ac:dyDescent="0.3">
      <c r="A2261" s="1" t="str">
        <f>HYPERLINK("https://ipmanager.doe.gov/IPManager//ExternalLink.aspx?6ibkph2k9yi6F%2B0Vz7YoTvPUg%2FVZPl3i3FamaX9bJ8Q%3D","Link")</f>
        <v>Link</v>
      </c>
      <c r="B2261" s="2" t="s">
        <v>7132</v>
      </c>
      <c r="C2261" s="2" t="s">
        <v>7128</v>
      </c>
      <c r="D2261" s="2" t="s">
        <v>2019</v>
      </c>
      <c r="E2261" s="2" t="s">
        <v>7133</v>
      </c>
      <c r="F2261" s="2"/>
      <c r="G2261" s="2" t="s">
        <v>9</v>
      </c>
      <c r="H2261" s="2"/>
      <c r="I2261" s="2" t="s">
        <v>9</v>
      </c>
    </row>
    <row r="2262" spans="1:9" ht="65" x14ac:dyDescent="0.3">
      <c r="A2262" s="1" t="str">
        <f>HYPERLINK("https://ipmanager.doe.gov/IPManager//ExternalLink.aspx?6ibkph2k9yi6F%2B0Vz7YoTvE8yjoHgvp6zWQlo2Llbuw%3D","Link")</f>
        <v>Link</v>
      </c>
      <c r="B2262" s="2" t="s">
        <v>7134</v>
      </c>
      <c r="C2262" s="2" t="s">
        <v>7128</v>
      </c>
      <c r="D2262" s="2" t="s">
        <v>2019</v>
      </c>
      <c r="E2262" s="2" t="s">
        <v>7135</v>
      </c>
      <c r="F2262" s="2"/>
      <c r="G2262" s="2" t="s">
        <v>9</v>
      </c>
      <c r="H2262" s="2"/>
      <c r="I2262" s="2" t="s">
        <v>9</v>
      </c>
    </row>
    <row r="2263" spans="1:9" ht="52" x14ac:dyDescent="0.3">
      <c r="A2263" s="1" t="str">
        <f>HYPERLINK("https://ipmanager.doe.gov/IPManager//ExternalLink.aspx?6ibkph2k9yi6F%2B0Vz7YoTkqAgjuWMa9QrB9OApYgdyU%3D","Link")</f>
        <v>Link</v>
      </c>
      <c r="B2263" s="2" t="s">
        <v>7136</v>
      </c>
      <c r="C2263" s="2" t="s">
        <v>7128</v>
      </c>
      <c r="D2263" s="2" t="s">
        <v>2019</v>
      </c>
      <c r="E2263" s="2" t="s">
        <v>7137</v>
      </c>
      <c r="F2263" s="2"/>
      <c r="G2263" s="2" t="s">
        <v>9</v>
      </c>
      <c r="H2263" s="2"/>
      <c r="I2263" s="2" t="s">
        <v>9</v>
      </c>
    </row>
    <row r="2264" spans="1:9" ht="26" x14ac:dyDescent="0.3">
      <c r="A2264" s="1" t="str">
        <f>HYPERLINK("https://ipmanager.doe.gov/IPManager//ExternalLink.aspx?6ibkph2k9yi6F%2B0Vz7YoTr7J5I%2BY4foYVw%2Bq%2Fvm91LQ%3D","Link")</f>
        <v>Link</v>
      </c>
      <c r="B2264" s="2" t="s">
        <v>2537</v>
      </c>
      <c r="C2264" s="2" t="s">
        <v>2518</v>
      </c>
      <c r="D2264" s="2" t="s">
        <v>2519</v>
      </c>
      <c r="E2264" s="2" t="s">
        <v>2538</v>
      </c>
      <c r="F2264" s="2" t="s">
        <v>2539</v>
      </c>
      <c r="G2264" s="2" t="s">
        <v>2540</v>
      </c>
      <c r="H2264" s="2"/>
      <c r="I2264" s="2" t="s">
        <v>9</v>
      </c>
    </row>
    <row r="2265" spans="1:9" ht="39" x14ac:dyDescent="0.3">
      <c r="A2265" s="1" t="str">
        <f>HYPERLINK("https://ipmanager.doe.gov/IPManager//ExternalLink.aspx?6ibkph2k9yi6F%2B0Vz7YoTkqAgjuWMa9QsU9RSTOylWE%3D","Link")</f>
        <v>Link</v>
      </c>
      <c r="B2265" s="2" t="s">
        <v>7142</v>
      </c>
      <c r="C2265" s="2" t="s">
        <v>7143</v>
      </c>
      <c r="D2265" s="2" t="s">
        <v>135</v>
      </c>
      <c r="E2265" s="2" t="s">
        <v>7144</v>
      </c>
      <c r="F2265" s="2"/>
      <c r="G2265" s="2" t="s">
        <v>9</v>
      </c>
      <c r="H2265" s="2"/>
      <c r="I2265" s="2" t="s">
        <v>9</v>
      </c>
    </row>
    <row r="2266" spans="1:9" ht="39" x14ac:dyDescent="0.3">
      <c r="A2266" s="1" t="str">
        <f>HYPERLINK("https://ipmanager.doe.gov/IPManager//ExternalLink.aspx?6ibkph2k9yi6F%2B0Vz7YoTkqAgjuWMa9Qnk2hxYPTXsE%3D","Link")</f>
        <v>Link</v>
      </c>
      <c r="B2266" s="2" t="s">
        <v>7145</v>
      </c>
      <c r="C2266" s="2" t="s">
        <v>7143</v>
      </c>
      <c r="D2266" s="2" t="s">
        <v>135</v>
      </c>
      <c r="E2266" s="2" t="s">
        <v>7146</v>
      </c>
      <c r="F2266" s="2"/>
      <c r="G2266" s="2" t="s">
        <v>9</v>
      </c>
      <c r="H2266" s="2"/>
      <c r="I2266" s="2" t="s">
        <v>9</v>
      </c>
    </row>
    <row r="2267" spans="1:9" ht="39" x14ac:dyDescent="0.3">
      <c r="A2267" s="1" t="str">
        <f>HYPERLINK("https://ipmanager.doe.gov/IPManager//ExternalLink.aspx?6ibkph2k9yi6F%2B0Vz7YoTkqAgjuWMa9Q81nhRddBl0g%3D","Link")</f>
        <v>Link</v>
      </c>
      <c r="B2267" s="2" t="s">
        <v>7147</v>
      </c>
      <c r="C2267" s="2" t="s">
        <v>7143</v>
      </c>
      <c r="D2267" s="2" t="s">
        <v>135</v>
      </c>
      <c r="E2267" s="2" t="s">
        <v>7148</v>
      </c>
      <c r="F2267" s="2"/>
      <c r="G2267" s="2" t="s">
        <v>9</v>
      </c>
      <c r="H2267" s="2"/>
      <c r="I2267" s="2" t="s">
        <v>9</v>
      </c>
    </row>
    <row r="2268" spans="1:9" ht="52" x14ac:dyDescent="0.3">
      <c r="A2268" s="1" t="str">
        <f>HYPERLINK("https://ipmanager.doe.gov/IPManager//ExternalLink.aspx?6ibkph2k9yi6F%2B0Vz7YoTsTAnuFk5EoA6y4xvHx7nRo%3D","Link")</f>
        <v>Link</v>
      </c>
      <c r="B2268" s="2" t="s">
        <v>7149</v>
      </c>
      <c r="C2268" s="2" t="s">
        <v>7143</v>
      </c>
      <c r="D2268" s="2" t="s">
        <v>135</v>
      </c>
      <c r="E2268" s="2" t="s">
        <v>7150</v>
      </c>
      <c r="F2268" s="2"/>
      <c r="G2268" s="2" t="s">
        <v>9</v>
      </c>
      <c r="H2268" s="2"/>
      <c r="I2268" s="2" t="s">
        <v>9</v>
      </c>
    </row>
    <row r="2269" spans="1:9" ht="52" x14ac:dyDescent="0.3">
      <c r="A2269" s="1" t="str">
        <f>HYPERLINK("https://ipmanager.doe.gov/IPManager//ExternalLink.aspx?6ibkph2k9yi6F%2B0Vz7YoTu0g4zH%2BOsvy2MArXZUx71k%3D","Link")</f>
        <v>Link</v>
      </c>
      <c r="B2269" s="2" t="s">
        <v>7151</v>
      </c>
      <c r="C2269" s="2" t="s">
        <v>7143</v>
      </c>
      <c r="D2269" s="2" t="s">
        <v>135</v>
      </c>
      <c r="E2269" s="2" t="s">
        <v>7152</v>
      </c>
      <c r="F2269" s="2"/>
      <c r="G2269" s="2" t="s">
        <v>9</v>
      </c>
      <c r="H2269" s="2"/>
      <c r="I2269" s="2" t="s">
        <v>9</v>
      </c>
    </row>
    <row r="2270" spans="1:9" ht="39" x14ac:dyDescent="0.3">
      <c r="A2270" s="1" t="str">
        <f>HYPERLINK("https://ipmanager.doe.gov/IPManager//ExternalLink.aspx?6ibkph2k9yi6F%2B0Vz7YoTu0g4zH%2BOsvy%2FGRT53H0v2U%3D","Link")</f>
        <v>Link</v>
      </c>
      <c r="B2270" s="2" t="s">
        <v>7153</v>
      </c>
      <c r="C2270" s="2" t="s">
        <v>7143</v>
      </c>
      <c r="D2270" s="2" t="s">
        <v>135</v>
      </c>
      <c r="E2270" s="2" t="s">
        <v>7154</v>
      </c>
      <c r="F2270" s="2"/>
      <c r="G2270" s="2" t="s">
        <v>9</v>
      </c>
      <c r="H2270" s="2"/>
      <c r="I2270" s="2" t="s">
        <v>9</v>
      </c>
    </row>
    <row r="2271" spans="1:9" ht="39" x14ac:dyDescent="0.3">
      <c r="A2271" s="1" t="str">
        <f>HYPERLINK("https://ipmanager.doe.gov/IPManager//ExternalLink.aspx?6ibkph2k9yi6F%2B0Vz7YoTvE8yjoHgvp62f%2FRVNfLZII%3D","Link")</f>
        <v>Link</v>
      </c>
      <c r="B2271" s="2" t="s">
        <v>7155</v>
      </c>
      <c r="C2271" s="2" t="s">
        <v>7143</v>
      </c>
      <c r="D2271" s="2" t="s">
        <v>135</v>
      </c>
      <c r="E2271" s="2" t="s">
        <v>6842</v>
      </c>
      <c r="F2271" s="2"/>
      <c r="G2271" s="2" t="s">
        <v>9</v>
      </c>
      <c r="H2271" s="2"/>
      <c r="I2271" s="2" t="s">
        <v>9</v>
      </c>
    </row>
    <row r="2272" spans="1:9" ht="65" x14ac:dyDescent="0.3">
      <c r="A2272" s="1" t="str">
        <f>HYPERLINK("https://ipmanager.doe.gov/IPManager//ExternalLink.aspx?6ibkph2k9yi6F%2B0Vz7YoTvE8yjoHgvp6vi9h6pHDg%2F4%3D","Link")</f>
        <v>Link</v>
      </c>
      <c r="B2272" s="2" t="s">
        <v>7156</v>
      </c>
      <c r="C2272" s="2" t="s">
        <v>7157</v>
      </c>
      <c r="D2272" s="2" t="s">
        <v>7158</v>
      </c>
      <c r="E2272" s="2" t="s">
        <v>7159</v>
      </c>
      <c r="F2272" s="2"/>
      <c r="G2272" s="2" t="s">
        <v>9</v>
      </c>
      <c r="H2272" s="2"/>
      <c r="I2272" s="2" t="s">
        <v>9</v>
      </c>
    </row>
    <row r="2273" spans="1:9" ht="39" x14ac:dyDescent="0.3">
      <c r="A2273" s="1" t="str">
        <f>HYPERLINK("https://ipmanager.doe.gov/IPManager//ExternalLink.aspx?6ibkph2k9yi6F%2B0Vz7YoTsTAnuFk5EoAtpFhhlfbqEQ%3D","Link")</f>
        <v>Link</v>
      </c>
      <c r="B2273" s="2" t="s">
        <v>7160</v>
      </c>
      <c r="C2273" s="2" t="s">
        <v>7161</v>
      </c>
      <c r="D2273" s="2" t="s">
        <v>7162</v>
      </c>
      <c r="E2273" s="2" t="s">
        <v>7163</v>
      </c>
      <c r="F2273" s="2"/>
      <c r="G2273" s="2" t="s">
        <v>9</v>
      </c>
      <c r="H2273" s="2"/>
      <c r="I2273" s="2" t="s">
        <v>9</v>
      </c>
    </row>
    <row r="2274" spans="1:9" ht="39" x14ac:dyDescent="0.3">
      <c r="A2274" s="1" t="str">
        <f>HYPERLINK("https://ipmanager.doe.gov/IPManager//ExternalLink.aspx?6ibkph2k9yi6F%2B0Vz7YoTkqAgjuWMa9Qm%2Fv6cMdFhLg%3D","Link")</f>
        <v>Link</v>
      </c>
      <c r="B2274" s="2" t="s">
        <v>7164</v>
      </c>
      <c r="C2274" s="2" t="s">
        <v>7161</v>
      </c>
      <c r="D2274" s="2" t="s">
        <v>7162</v>
      </c>
      <c r="E2274" s="2" t="s">
        <v>7165</v>
      </c>
      <c r="F2274" s="2"/>
      <c r="G2274" s="2" t="s">
        <v>9</v>
      </c>
      <c r="H2274" s="2"/>
      <c r="I2274" s="2" t="s">
        <v>9</v>
      </c>
    </row>
    <row r="2275" spans="1:9" ht="39" x14ac:dyDescent="0.3">
      <c r="A2275" s="1" t="str">
        <f>HYPERLINK("https://ipmanager.doe.gov/IPManager//ExternalLink.aspx?6ibkph2k9yi6F%2B0Vz7YoTvE8yjoHgvp6ft%2FoBDaCr9w%3D","Link")</f>
        <v>Link</v>
      </c>
      <c r="B2275" s="2" t="s">
        <v>7166</v>
      </c>
      <c r="C2275" s="2" t="s">
        <v>7167</v>
      </c>
      <c r="D2275" s="2" t="s">
        <v>1064</v>
      </c>
      <c r="E2275" s="2" t="s">
        <v>7168</v>
      </c>
      <c r="F2275" s="2"/>
      <c r="G2275" s="2" t="s">
        <v>9</v>
      </c>
      <c r="H2275" s="2"/>
      <c r="I2275" s="2" t="s">
        <v>9</v>
      </c>
    </row>
    <row r="2276" spans="1:9" ht="39" x14ac:dyDescent="0.3">
      <c r="A2276" s="1" t="str">
        <f>HYPERLINK("https://ipmanager.doe.gov/IPManager//ExternalLink.aspx?6ibkph2k9yi6F%2B0Vz7YoTsTAnuFk5EoAzwdJIbcyTwM%3D","Link")</f>
        <v>Link</v>
      </c>
      <c r="B2276" s="2" t="s">
        <v>7169</v>
      </c>
      <c r="C2276" s="2" t="s">
        <v>7170</v>
      </c>
      <c r="D2276" s="2" t="s">
        <v>6205</v>
      </c>
      <c r="E2276" s="2" t="s">
        <v>7171</v>
      </c>
      <c r="F2276" s="2"/>
      <c r="G2276" s="2" t="s">
        <v>9</v>
      </c>
      <c r="H2276" s="2"/>
      <c r="I2276" s="2" t="s">
        <v>9</v>
      </c>
    </row>
    <row r="2277" spans="1:9" ht="52" x14ac:dyDescent="0.3">
      <c r="A2277" s="1" t="str">
        <f>HYPERLINK("https://ipmanager.doe.gov/IPManager//ExternalLink.aspx?6ibkph2k9yi6F%2B0Vz7YoTkqAgjuWMa9QjG8oMj61gKk%3D","Link")</f>
        <v>Link</v>
      </c>
      <c r="B2277" s="2" t="s">
        <v>7172</v>
      </c>
      <c r="C2277" s="2" t="s">
        <v>7170</v>
      </c>
      <c r="D2277" s="2" t="s">
        <v>6205</v>
      </c>
      <c r="E2277" s="2" t="s">
        <v>7173</v>
      </c>
      <c r="F2277" s="2"/>
      <c r="G2277" s="2" t="s">
        <v>9</v>
      </c>
      <c r="H2277" s="2"/>
      <c r="I2277" s="2" t="s">
        <v>9</v>
      </c>
    </row>
    <row r="2278" spans="1:9" ht="39" x14ac:dyDescent="0.3">
      <c r="A2278" s="1" t="str">
        <f>HYPERLINK("https://ipmanager.doe.gov/IPManager//ExternalLink.aspx?6ibkph2k9yi6F%2B0Vz7YoTsTAnuFk5EoA9aBfiGhOIzQ%3D","Link")</f>
        <v>Link</v>
      </c>
      <c r="B2278" s="2" t="s">
        <v>7174</v>
      </c>
      <c r="C2278" s="2" t="s">
        <v>7170</v>
      </c>
      <c r="D2278" s="2" t="s">
        <v>6205</v>
      </c>
      <c r="E2278" s="2" t="s">
        <v>6063</v>
      </c>
      <c r="F2278" s="2"/>
      <c r="G2278" s="2" t="s">
        <v>9</v>
      </c>
      <c r="H2278" s="2"/>
      <c r="I2278" s="2" t="s">
        <v>9</v>
      </c>
    </row>
    <row r="2279" spans="1:9" ht="52" x14ac:dyDescent="0.3">
      <c r="A2279" s="1" t="str">
        <f>HYPERLINK("https://ipmanager.doe.gov/IPManager//ExternalLink.aspx?6ibkph2k9yi6F%2B0Vz7YoTp68px7nSN2gepeimcJRHqw%3D","Link")</f>
        <v>Link</v>
      </c>
      <c r="B2279" s="2" t="s">
        <v>6673</v>
      </c>
      <c r="C2279" s="2" t="s">
        <v>6674</v>
      </c>
      <c r="D2279" s="2" t="s">
        <v>2519</v>
      </c>
      <c r="E2279" s="2" t="s">
        <v>6675</v>
      </c>
      <c r="F2279" s="2" t="s">
        <v>6676</v>
      </c>
      <c r="G2279" s="2" t="s">
        <v>4628</v>
      </c>
      <c r="H2279" s="2"/>
      <c r="I2279" s="2" t="s">
        <v>9</v>
      </c>
    </row>
    <row r="2280" spans="1:9" ht="65" x14ac:dyDescent="0.3">
      <c r="A2280" s="1" t="str">
        <f>HYPERLINK("https://ipmanager.doe.gov/IPManager//ExternalLink.aspx?6ibkph2k9yi6F%2B0Vz7YoTsTAnuFk5EoAH9HEzQsOB9c%3D","Link")</f>
        <v>Link</v>
      </c>
      <c r="B2280" s="2" t="s">
        <v>7179</v>
      </c>
      <c r="C2280" s="2" t="s">
        <v>7170</v>
      </c>
      <c r="D2280" s="2" t="s">
        <v>6205</v>
      </c>
      <c r="E2280" s="2" t="s">
        <v>7180</v>
      </c>
      <c r="F2280" s="2"/>
      <c r="G2280" s="2" t="s">
        <v>9</v>
      </c>
      <c r="H2280" s="2"/>
      <c r="I2280" s="2" t="s">
        <v>9</v>
      </c>
    </row>
    <row r="2281" spans="1:9" ht="65" x14ac:dyDescent="0.3">
      <c r="A2281" s="1" t="str">
        <f>HYPERLINK("https://ipmanager.doe.gov/IPManager//ExternalLink.aspx?6ibkph2k9yi6F%2B0Vz7YoTsTAnuFk5EoAF4vdfQHoN7I%3D","Link")</f>
        <v>Link</v>
      </c>
      <c r="B2281" s="2" t="s">
        <v>7181</v>
      </c>
      <c r="C2281" s="2" t="s">
        <v>7182</v>
      </c>
      <c r="D2281" s="2" t="s">
        <v>348</v>
      </c>
      <c r="E2281" s="2" t="s">
        <v>7183</v>
      </c>
      <c r="F2281" s="2"/>
      <c r="G2281" s="2" t="s">
        <v>9</v>
      </c>
      <c r="H2281" s="2"/>
      <c r="I2281" s="2" t="s">
        <v>9</v>
      </c>
    </row>
    <row r="2282" spans="1:9" ht="65" x14ac:dyDescent="0.3">
      <c r="A2282" s="1" t="str">
        <f>HYPERLINK("https://ipmanager.doe.gov/IPManager//ExternalLink.aspx?6ibkph2k9yi6F%2B0Vz7YoThEBhkR3uHVrY0MjR0DjiDo%3D","Link")</f>
        <v>Link</v>
      </c>
      <c r="B2282" s="2" t="s">
        <v>6677</v>
      </c>
      <c r="C2282" s="2" t="s">
        <v>6674</v>
      </c>
      <c r="D2282" s="2" t="s">
        <v>2519</v>
      </c>
      <c r="E2282" s="2" t="s">
        <v>6678</v>
      </c>
      <c r="F2282" s="2" t="s">
        <v>6679</v>
      </c>
      <c r="G2282" s="2" t="s">
        <v>6680</v>
      </c>
      <c r="H2282" s="2"/>
      <c r="I2282" s="2" t="s">
        <v>9</v>
      </c>
    </row>
    <row r="2283" spans="1:9" ht="52" x14ac:dyDescent="0.3">
      <c r="A2283" s="1" t="str">
        <f>HYPERLINK("https://ipmanager.doe.gov/IPManager//ExternalLink.aspx?6ibkph2k9yi6F%2B0Vz7YoTkqAgjuWMa9Qpgxjm%2BCK6ok%3D","Link")</f>
        <v>Link</v>
      </c>
      <c r="B2283" s="2" t="s">
        <v>6681</v>
      </c>
      <c r="C2283" s="2" t="s">
        <v>6674</v>
      </c>
      <c r="D2283" s="2" t="s">
        <v>2519</v>
      </c>
      <c r="E2283" s="2" t="s">
        <v>6675</v>
      </c>
      <c r="F2283" s="2" t="s">
        <v>6682</v>
      </c>
      <c r="G2283" s="2" t="s">
        <v>6179</v>
      </c>
      <c r="H2283" s="2"/>
      <c r="I2283" s="2" t="s">
        <v>9</v>
      </c>
    </row>
    <row r="2284" spans="1:9" ht="65" x14ac:dyDescent="0.3">
      <c r="A2284" s="1" t="str">
        <f>HYPERLINK("https://ipmanager.doe.gov/IPManager//ExternalLink.aspx?6ibkph2k9yi6F%2B0Vz7YoTsTAnuFk5EoAWiFG40cPJko%3D","Link")</f>
        <v>Link</v>
      </c>
      <c r="B2284" s="2" t="s">
        <v>7193</v>
      </c>
      <c r="C2284" s="2" t="s">
        <v>7194</v>
      </c>
      <c r="D2284" s="2" t="s">
        <v>2019</v>
      </c>
      <c r="E2284" s="2" t="s">
        <v>7195</v>
      </c>
      <c r="F2284" s="2"/>
      <c r="G2284" s="2" t="s">
        <v>9</v>
      </c>
      <c r="H2284" s="2"/>
      <c r="I2284" s="2" t="s">
        <v>9</v>
      </c>
    </row>
    <row r="2285" spans="1:9" ht="39" x14ac:dyDescent="0.3">
      <c r="A2285" s="1" t="str">
        <f>HYPERLINK("https://ipmanager.doe.gov/IPManager//ExternalLink.aspx?6ibkph2k9yi6F%2B0Vz7YoTr7J5I%2BY4foY60jOhGKP2GY%3D","Link")</f>
        <v>Link</v>
      </c>
      <c r="B2285" s="2" t="s">
        <v>2541</v>
      </c>
      <c r="C2285" s="2" t="s">
        <v>2518</v>
      </c>
      <c r="D2285" s="2" t="s">
        <v>2542</v>
      </c>
      <c r="E2285" s="2" t="s">
        <v>2536</v>
      </c>
      <c r="F2285" s="2" t="s">
        <v>2524</v>
      </c>
      <c r="G2285" s="2" t="s">
        <v>2513</v>
      </c>
      <c r="H2285" s="2"/>
      <c r="I2285" s="2" t="s">
        <v>9</v>
      </c>
    </row>
    <row r="2286" spans="1:9" ht="65" x14ac:dyDescent="0.3">
      <c r="A2286" s="1" t="str">
        <f>HYPERLINK("https://ipmanager.doe.gov/IPManager//ExternalLink.aspx?6ibkph2k9yi6F%2B0Vz7YoTvE8yjoHgvp6IAS3WjnCpgU%3D","Link")</f>
        <v>Link</v>
      </c>
      <c r="B2286" s="2" t="s">
        <v>7202</v>
      </c>
      <c r="C2286" s="2" t="s">
        <v>7203</v>
      </c>
      <c r="D2286" s="2" t="s">
        <v>2019</v>
      </c>
      <c r="E2286" s="2" t="s">
        <v>7204</v>
      </c>
      <c r="F2286" s="2"/>
      <c r="G2286" s="2" t="s">
        <v>9</v>
      </c>
      <c r="H2286" s="2"/>
      <c r="I2286" s="2" t="s">
        <v>9</v>
      </c>
    </row>
    <row r="2287" spans="1:9" ht="65" x14ac:dyDescent="0.3">
      <c r="A2287" s="1" t="str">
        <f>HYPERLINK("https://ipmanager.doe.gov/IPManager//ExternalLink.aspx?6ibkph2k9yi6F%2B0Vz7YoTvE8yjoHgvp6iw6QZHHnUp4%3D","Link")</f>
        <v>Link</v>
      </c>
      <c r="B2287" s="2" t="s">
        <v>7205</v>
      </c>
      <c r="C2287" s="2" t="s">
        <v>7203</v>
      </c>
      <c r="D2287" s="2" t="s">
        <v>2019</v>
      </c>
      <c r="E2287" s="2" t="s">
        <v>7206</v>
      </c>
      <c r="F2287" s="2"/>
      <c r="G2287" s="2" t="s">
        <v>9</v>
      </c>
      <c r="H2287" s="2"/>
      <c r="I2287" s="2" t="s">
        <v>9</v>
      </c>
    </row>
    <row r="2288" spans="1:9" ht="52" x14ac:dyDescent="0.3">
      <c r="A2288" s="1" t="str">
        <f>HYPERLINK("https://ipmanager.doe.gov/IPManager//ExternalLink.aspx?6ibkph2k9yi6F%2B0Vz7YoTvPUg%2FVZPl3ik14sllJUxXo%3D","Link")</f>
        <v>Link</v>
      </c>
      <c r="B2288" s="2" t="s">
        <v>2878</v>
      </c>
      <c r="C2288" s="2" t="s">
        <v>2879</v>
      </c>
      <c r="D2288" s="2" t="s">
        <v>2880</v>
      </c>
      <c r="E2288" s="2" t="s">
        <v>2881</v>
      </c>
      <c r="F2288" s="2" t="s">
        <v>2882</v>
      </c>
      <c r="G2288" s="2" t="s">
        <v>317</v>
      </c>
      <c r="H2288" s="2"/>
      <c r="I2288" s="2" t="s">
        <v>9</v>
      </c>
    </row>
    <row r="2289" spans="1:9" ht="26" x14ac:dyDescent="0.3">
      <c r="A2289" s="1" t="str">
        <f>HYPERLINK("https://ipmanager.doe.gov/IPManager//ExternalLink.aspx?6ibkph2k9yi6F%2B0Vz7YoTkqAgjuWMa9Q64Pd9rUVytE%3D","Link")</f>
        <v>Link</v>
      </c>
      <c r="B2289" s="2" t="s">
        <v>7211</v>
      </c>
      <c r="C2289" s="2" t="s">
        <v>7212</v>
      </c>
      <c r="D2289" s="2" t="s">
        <v>3238</v>
      </c>
      <c r="E2289" s="2" t="s">
        <v>7213</v>
      </c>
      <c r="F2289" s="2"/>
      <c r="G2289" s="2" t="s">
        <v>9</v>
      </c>
      <c r="H2289" s="2"/>
      <c r="I2289" s="2" t="s">
        <v>9</v>
      </c>
    </row>
    <row r="2290" spans="1:9" ht="39" x14ac:dyDescent="0.3">
      <c r="A2290" s="1" t="str">
        <f>HYPERLINK("https://ipmanager.doe.gov/IPManager//ExternalLink.aspx?6ibkph2k9yi6F%2B0Vz7YoTkqAgjuWMa9QcfTQgYvS8j0%3D","Link")</f>
        <v>Link</v>
      </c>
      <c r="B2290" s="2" t="s">
        <v>7214</v>
      </c>
      <c r="C2290" s="2" t="s">
        <v>7212</v>
      </c>
      <c r="D2290" s="2" t="s">
        <v>1246</v>
      </c>
      <c r="E2290" s="2" t="s">
        <v>7215</v>
      </c>
      <c r="F2290" s="2"/>
      <c r="G2290" s="2" t="s">
        <v>9</v>
      </c>
      <c r="H2290" s="2"/>
      <c r="I2290" s="2" t="s">
        <v>9</v>
      </c>
    </row>
    <row r="2291" spans="1:9" ht="52" x14ac:dyDescent="0.3">
      <c r="A2291" s="1" t="str">
        <f>HYPERLINK("https://ipmanager.doe.gov/IPManager//ExternalLink.aspx?6ibkph2k9yi6F%2B0Vz7YoTo7DPLa3%2F%2FGgWwEv3Daj4eY%3D","Link")</f>
        <v>Link</v>
      </c>
      <c r="B2291" s="2" t="s">
        <v>2883</v>
      </c>
      <c r="C2291" s="2" t="s">
        <v>2879</v>
      </c>
      <c r="D2291" s="2" t="s">
        <v>2880</v>
      </c>
      <c r="E2291" s="2" t="s">
        <v>2881</v>
      </c>
      <c r="F2291" s="2" t="s">
        <v>2884</v>
      </c>
      <c r="G2291" s="2" t="s">
        <v>2885</v>
      </c>
      <c r="H2291" s="2"/>
      <c r="I2291" s="2" t="s">
        <v>9</v>
      </c>
    </row>
    <row r="2292" spans="1:9" ht="26" x14ac:dyDescent="0.3">
      <c r="A2292" s="1" t="str">
        <f>HYPERLINK("https://ipmanager.doe.gov/IPManager//ExternalLink.aspx?6ibkph2k9yi6F%2B0Vz7YoTvE8yjoHgvp6bxXaFb89NT4%3D","Link")</f>
        <v>Link</v>
      </c>
      <c r="B2292" s="2" t="s">
        <v>7221</v>
      </c>
      <c r="C2292" s="2" t="s">
        <v>7217</v>
      </c>
      <c r="D2292" s="2" t="s">
        <v>1474</v>
      </c>
      <c r="E2292" s="2" t="s">
        <v>7218</v>
      </c>
      <c r="F2292" s="2"/>
      <c r="G2292" s="2" t="s">
        <v>9</v>
      </c>
      <c r="H2292" s="2"/>
      <c r="I2292" s="2" t="s">
        <v>9</v>
      </c>
    </row>
    <row r="2293" spans="1:9" ht="52" x14ac:dyDescent="0.3">
      <c r="A2293" s="1" t="str">
        <f>HYPERLINK("https://ipmanager.doe.gov/IPManager//ExternalLink.aspx?6ibkph2k9yi6F%2B0Vz7YoTvE8yjoHgvp6MilMT2gPze4%3D","Link")</f>
        <v>Link</v>
      </c>
      <c r="B2293" s="2" t="s">
        <v>7222</v>
      </c>
      <c r="C2293" s="2" t="s">
        <v>7223</v>
      </c>
      <c r="D2293" s="2" t="s">
        <v>4173</v>
      </c>
      <c r="E2293" s="2" t="s">
        <v>7224</v>
      </c>
      <c r="F2293" s="2"/>
      <c r="G2293" s="2" t="s">
        <v>9</v>
      </c>
      <c r="H2293" s="2"/>
      <c r="I2293" s="2" t="s">
        <v>9</v>
      </c>
    </row>
    <row r="2294" spans="1:9" ht="26" x14ac:dyDescent="0.3">
      <c r="A2294" s="1" t="str">
        <f>HYPERLINK("https://ipmanager.doe.gov/IPManager//ExternalLink.aspx?6ibkph2k9yi6F%2B0Vz7YoTvPUg%2FVZPl3i5l3HplwkVJI%3D","Link")</f>
        <v>Link</v>
      </c>
      <c r="B2294" s="2" t="s">
        <v>7225</v>
      </c>
      <c r="C2294" s="2" t="s">
        <v>7226</v>
      </c>
      <c r="D2294" s="2" t="s">
        <v>7227</v>
      </c>
      <c r="E2294" s="2" t="s">
        <v>7228</v>
      </c>
      <c r="F2294" s="2"/>
      <c r="G2294" s="2" t="s">
        <v>9</v>
      </c>
      <c r="H2294" s="2"/>
      <c r="I2294" s="2" t="s">
        <v>9</v>
      </c>
    </row>
    <row r="2295" spans="1:9" ht="26" x14ac:dyDescent="0.3">
      <c r="A2295" s="1" t="str">
        <f>HYPERLINK("https://ipmanager.doe.gov/IPManager//ExternalLink.aspx?6ibkph2k9yi6F%2B0Vz7YoThEBhkR3uHVrSRtLZ57nlgk%3D","Link")</f>
        <v>Link</v>
      </c>
      <c r="B2295" s="2" t="s">
        <v>7229</v>
      </c>
      <c r="C2295" s="2" t="s">
        <v>7230</v>
      </c>
      <c r="D2295" s="2" t="s">
        <v>1952</v>
      </c>
      <c r="E2295" s="2" t="s">
        <v>7231</v>
      </c>
      <c r="F2295" s="2"/>
      <c r="G2295" s="2" t="s">
        <v>9</v>
      </c>
      <c r="H2295" s="2"/>
      <c r="I2295" s="2" t="s">
        <v>9</v>
      </c>
    </row>
    <row r="2296" spans="1:9" ht="39" x14ac:dyDescent="0.3">
      <c r="A2296" s="1" t="str">
        <f>HYPERLINK("https://ipmanager.doe.gov/IPManager//ExternalLink.aspx?6ibkph2k9yi6F%2B0Vz7YoThEBhkR3uHVrp2CmegMQrG8%3D","Link")</f>
        <v>Link</v>
      </c>
      <c r="B2296" s="2" t="s">
        <v>7232</v>
      </c>
      <c r="C2296" s="2" t="s">
        <v>7233</v>
      </c>
      <c r="D2296" s="2" t="s">
        <v>3062</v>
      </c>
      <c r="E2296" s="2" t="s">
        <v>7234</v>
      </c>
      <c r="F2296" s="2"/>
      <c r="G2296" s="2" t="s">
        <v>9</v>
      </c>
      <c r="H2296" s="2"/>
      <c r="I2296" s="2" t="s">
        <v>9</v>
      </c>
    </row>
    <row r="2297" spans="1:9" ht="39" x14ac:dyDescent="0.3">
      <c r="A2297" s="1" t="str">
        <f>HYPERLINK("https://ipmanager.doe.gov/IPManager//ExternalLink.aspx?6ibkph2k9yi6F%2B0Vz7YoTipZ798QK%2BbPkmpCMNwUOOs%3D","Link")</f>
        <v>Link</v>
      </c>
      <c r="B2297" s="2" t="s">
        <v>3581</v>
      </c>
      <c r="C2297" s="2" t="s">
        <v>3582</v>
      </c>
      <c r="D2297" s="2" t="s">
        <v>3583</v>
      </c>
      <c r="E2297" s="2" t="s">
        <v>3584</v>
      </c>
      <c r="F2297" s="2" t="s">
        <v>3585</v>
      </c>
      <c r="G2297" s="2" t="s">
        <v>1313</v>
      </c>
      <c r="H2297" s="2"/>
      <c r="I2297" s="2" t="s">
        <v>9</v>
      </c>
    </row>
    <row r="2298" spans="1:9" ht="52" x14ac:dyDescent="0.3">
      <c r="A2298" s="1" t="str">
        <f>HYPERLINK("https://ipmanager.doe.gov/IPManager//ExternalLink.aspx?6ibkph2k9yi6F%2B0Vz7YoTipZ798QK%2BbP6PGh8AXSj74%3D","Link")</f>
        <v>Link</v>
      </c>
      <c r="B2298" s="2" t="s">
        <v>3586</v>
      </c>
      <c r="C2298" s="2" t="s">
        <v>3582</v>
      </c>
      <c r="D2298" s="2" t="s">
        <v>3583</v>
      </c>
      <c r="E2298" s="2" t="s">
        <v>3587</v>
      </c>
      <c r="F2298" s="2" t="s">
        <v>3588</v>
      </c>
      <c r="G2298" s="2" t="s">
        <v>3589</v>
      </c>
      <c r="H2298" s="2"/>
      <c r="I2298" s="2" t="s">
        <v>9</v>
      </c>
    </row>
    <row r="2299" spans="1:9" ht="65" x14ac:dyDescent="0.3">
      <c r="A2299" s="1" t="str">
        <f>HYPERLINK("https://ipmanager.doe.gov/IPManager//ExternalLink.aspx?6ibkph2k9yi6F%2B0Vz7YoTipZ798QK%2BbPckOhsBnkcjc%3D","Link")</f>
        <v>Link</v>
      </c>
      <c r="B2299" s="2" t="s">
        <v>3590</v>
      </c>
      <c r="C2299" s="2" t="s">
        <v>3582</v>
      </c>
      <c r="D2299" s="2" t="s">
        <v>3583</v>
      </c>
      <c r="E2299" s="2" t="s">
        <v>3591</v>
      </c>
      <c r="F2299" s="2" t="s">
        <v>3592</v>
      </c>
      <c r="G2299" s="2" t="s">
        <v>3593</v>
      </c>
      <c r="H2299" s="2"/>
      <c r="I2299" s="2" t="s">
        <v>9</v>
      </c>
    </row>
    <row r="2300" spans="1:9" ht="52" x14ac:dyDescent="0.3">
      <c r="A2300" s="1" t="str">
        <f>HYPERLINK("https://ipmanager.doe.gov/IPManager//ExternalLink.aspx?6ibkph2k9yi6F%2B0Vz7YoTgZwfmYxrNyKKsX9JR9yrO8%3D","Link")</f>
        <v>Link</v>
      </c>
      <c r="B2300" s="2" t="s">
        <v>3594</v>
      </c>
      <c r="C2300" s="2" t="s">
        <v>3582</v>
      </c>
      <c r="D2300" s="2" t="s">
        <v>3583</v>
      </c>
      <c r="E2300" s="2" t="s">
        <v>3587</v>
      </c>
      <c r="F2300" s="2" t="s">
        <v>3595</v>
      </c>
      <c r="G2300" s="2" t="s">
        <v>2790</v>
      </c>
      <c r="H2300" s="2"/>
      <c r="I2300" s="2" t="s">
        <v>9</v>
      </c>
    </row>
    <row r="2301" spans="1:9" ht="65" x14ac:dyDescent="0.3">
      <c r="A2301" s="1" t="str">
        <f>HYPERLINK("https://ipmanager.doe.gov/IPManager//ExternalLink.aspx?6ibkph2k9yi6F%2B0Vz7YoTvPUg%2FVZPl3i16avejj%2B9iQ%3D","Link")</f>
        <v>Link</v>
      </c>
      <c r="B2301" s="2" t="s">
        <v>3598</v>
      </c>
      <c r="C2301" s="2" t="s">
        <v>3582</v>
      </c>
      <c r="D2301" s="2" t="s">
        <v>3583</v>
      </c>
      <c r="E2301" s="2" t="s">
        <v>3599</v>
      </c>
      <c r="F2301" s="2" t="s">
        <v>3600</v>
      </c>
      <c r="G2301" s="2" t="s">
        <v>3601</v>
      </c>
      <c r="H2301" s="2"/>
      <c r="I2301" s="2" t="s">
        <v>9</v>
      </c>
    </row>
    <row r="2302" spans="1:9" ht="65" x14ac:dyDescent="0.3">
      <c r="A2302" s="1" t="str">
        <f>HYPERLINK("https://ipmanager.doe.gov/IPManager//ExternalLink.aspx?6ibkph2k9yi6F%2B0Vz7YoTvE8yjoHgvp6Fwp%2FKS%2B5ptA%3D","Link")</f>
        <v>Link</v>
      </c>
      <c r="B2302" s="2" t="s">
        <v>7254</v>
      </c>
      <c r="C2302" s="2" t="s">
        <v>7255</v>
      </c>
      <c r="D2302" s="2" t="s">
        <v>3768</v>
      </c>
      <c r="E2302" s="2" t="s">
        <v>7256</v>
      </c>
      <c r="F2302" s="2"/>
      <c r="G2302" s="2" t="s">
        <v>9</v>
      </c>
      <c r="H2302" s="2"/>
      <c r="I2302" s="2" t="s">
        <v>9</v>
      </c>
    </row>
    <row r="2303" spans="1:9" ht="78" x14ac:dyDescent="0.3">
      <c r="A2303" s="1" t="str">
        <f>HYPERLINK("https://ipmanager.doe.gov/IPManager//ExternalLink.aspx?6ibkph2k9yi6F%2B0Vz7YoTkqAgjuWMa9QIKKTPOxRlYY%3D","Link")</f>
        <v>Link</v>
      </c>
      <c r="B2303" s="2" t="s">
        <v>7257</v>
      </c>
      <c r="C2303" s="2" t="s">
        <v>7255</v>
      </c>
      <c r="D2303" s="2" t="s">
        <v>3768</v>
      </c>
      <c r="E2303" s="2" t="s">
        <v>7258</v>
      </c>
      <c r="F2303" s="2"/>
      <c r="G2303" s="2" t="s">
        <v>9</v>
      </c>
      <c r="H2303" s="2"/>
      <c r="I2303" s="2" t="s">
        <v>9</v>
      </c>
    </row>
    <row r="2304" spans="1:9" ht="78" x14ac:dyDescent="0.3">
      <c r="A2304" s="1" t="str">
        <f>HYPERLINK("https://ipmanager.doe.gov/IPManager//ExternalLink.aspx?6ibkph2k9yi6F%2B0Vz7YoTp68px7nSN2gHSu1DXm%2BKc0%3D","Link")</f>
        <v>Link</v>
      </c>
      <c r="B2304" s="2" t="s">
        <v>7259</v>
      </c>
      <c r="C2304" s="2" t="s">
        <v>7255</v>
      </c>
      <c r="D2304" s="2" t="s">
        <v>3768</v>
      </c>
      <c r="E2304" s="2" t="s">
        <v>7260</v>
      </c>
      <c r="F2304" s="2"/>
      <c r="G2304" s="2" t="s">
        <v>9</v>
      </c>
      <c r="H2304" s="2"/>
      <c r="I2304" s="2" t="s">
        <v>9</v>
      </c>
    </row>
    <row r="2305" spans="1:9" ht="52" x14ac:dyDescent="0.3">
      <c r="A2305" s="1" t="str">
        <f>HYPERLINK("https://ipmanager.doe.gov/IPManager//ExternalLink.aspx?6ibkph2k9yi6F%2B0Vz7YoTvE8yjoHgvp6XHypT0fzPqk%3D","Link")</f>
        <v>Link</v>
      </c>
      <c r="B2305" s="2" t="s">
        <v>7261</v>
      </c>
      <c r="C2305" s="2" t="s">
        <v>7262</v>
      </c>
      <c r="D2305" s="2" t="s">
        <v>1336</v>
      </c>
      <c r="E2305" s="2" t="s">
        <v>7263</v>
      </c>
      <c r="F2305" s="2"/>
      <c r="G2305" s="2" t="s">
        <v>9</v>
      </c>
      <c r="H2305" s="2"/>
      <c r="I2305" s="2" t="s">
        <v>9</v>
      </c>
    </row>
    <row r="2306" spans="1:9" x14ac:dyDescent="0.3">
      <c r="A2306" s="1" t="str">
        <f>HYPERLINK("https://ipmanager.doe.gov/IPManager//ExternalLink.aspx?6ibkph2k9yi6F%2B0Vz7YoTsTAnuFk5EoAjc4xw4P3g%2FQ%3D","Link")</f>
        <v>Link</v>
      </c>
      <c r="B2306" s="2" t="s">
        <v>7264</v>
      </c>
      <c r="C2306" s="2" t="s">
        <v>7265</v>
      </c>
      <c r="D2306" s="2" t="s">
        <v>3066</v>
      </c>
      <c r="E2306" s="2" t="s">
        <v>7266</v>
      </c>
      <c r="F2306" s="2"/>
      <c r="G2306" s="2" t="s">
        <v>9</v>
      </c>
      <c r="H2306" s="2"/>
      <c r="I2306" s="2" t="s">
        <v>9</v>
      </c>
    </row>
    <row r="2307" spans="1:9" ht="52" x14ac:dyDescent="0.3">
      <c r="A2307" s="1" t="str">
        <f>HYPERLINK("https://ipmanager.doe.gov/IPManager//ExternalLink.aspx?6ibkph2k9yi6F%2B0Vz7YoTsTAnuFk5EoA6Qz0md1Azkw%3D","Link")</f>
        <v>Link</v>
      </c>
      <c r="B2307" s="2" t="s">
        <v>7267</v>
      </c>
      <c r="C2307" s="2" t="s">
        <v>7268</v>
      </c>
      <c r="D2307" s="2" t="s">
        <v>6925</v>
      </c>
      <c r="E2307" s="2" t="s">
        <v>7269</v>
      </c>
      <c r="F2307" s="2"/>
      <c r="G2307" s="2" t="s">
        <v>9</v>
      </c>
      <c r="H2307" s="2"/>
      <c r="I2307" s="2" t="s">
        <v>9</v>
      </c>
    </row>
    <row r="2308" spans="1:9" ht="39" x14ac:dyDescent="0.3">
      <c r="A2308" s="1" t="str">
        <f>HYPERLINK("https://ipmanager.doe.gov/IPManager//ExternalLink.aspx?6ibkph2k9yi6F%2B0Vz7YoTvE8yjoHgvp6cXWbJNOoSM8%3D","Link")</f>
        <v>Link</v>
      </c>
      <c r="B2308" s="2" t="s">
        <v>7270</v>
      </c>
      <c r="C2308" s="2" t="s">
        <v>7268</v>
      </c>
      <c r="D2308" s="2" t="s">
        <v>6925</v>
      </c>
      <c r="E2308" s="2" t="s">
        <v>6926</v>
      </c>
      <c r="F2308" s="2"/>
      <c r="G2308" s="2" t="s">
        <v>9</v>
      </c>
      <c r="H2308" s="2"/>
      <c r="I2308" s="2" t="s">
        <v>9</v>
      </c>
    </row>
    <row r="2309" spans="1:9" ht="65" x14ac:dyDescent="0.3">
      <c r="A2309" s="1" t="str">
        <f>HYPERLINK("https://ipmanager.doe.gov/IPManager//ExternalLink.aspx?6ibkph2k9yi6F%2B0Vz7YoTvE8yjoHgvp6E7%2BqhQTHjuw%3D","Link")</f>
        <v>Link</v>
      </c>
      <c r="B2309" s="2" t="s">
        <v>7271</v>
      </c>
      <c r="C2309" s="2" t="s">
        <v>7268</v>
      </c>
      <c r="D2309" s="2" t="s">
        <v>6925</v>
      </c>
      <c r="E2309" s="2" t="s">
        <v>7272</v>
      </c>
      <c r="F2309" s="2"/>
      <c r="G2309" s="2" t="s">
        <v>9</v>
      </c>
      <c r="H2309" s="2"/>
      <c r="I2309" s="2" t="s">
        <v>9</v>
      </c>
    </row>
    <row r="2310" spans="1:9" ht="65" x14ac:dyDescent="0.3">
      <c r="A2310" s="1" t="str">
        <f>HYPERLINK("https://ipmanager.doe.gov/IPManager//ExternalLink.aspx?6ibkph2k9yi6F%2B0Vz7YoTsTAnuFk5EoAfiQReCjR9Pg%3D","Link")</f>
        <v>Link</v>
      </c>
      <c r="B2310" s="2" t="s">
        <v>7273</v>
      </c>
      <c r="C2310" s="2" t="s">
        <v>7268</v>
      </c>
      <c r="D2310" s="2" t="s">
        <v>6925</v>
      </c>
      <c r="E2310" s="2" t="s">
        <v>7274</v>
      </c>
      <c r="F2310" s="2"/>
      <c r="G2310" s="2" t="s">
        <v>9</v>
      </c>
      <c r="H2310" s="2"/>
      <c r="I2310" s="2" t="s">
        <v>9</v>
      </c>
    </row>
    <row r="2311" spans="1:9" ht="39" x14ac:dyDescent="0.3">
      <c r="A2311" s="1" t="str">
        <f>HYPERLINK("https://ipmanager.doe.gov/IPManager//ExternalLink.aspx?6ibkph2k9yi6F%2B0Vz7YoTvE8yjoHgvp6rqnsWT9iV0Y%3D","Link")</f>
        <v>Link</v>
      </c>
      <c r="B2311" s="2" t="s">
        <v>7275</v>
      </c>
      <c r="C2311" s="2" t="s">
        <v>7268</v>
      </c>
      <c r="D2311" s="2" t="s">
        <v>6925</v>
      </c>
      <c r="E2311" s="2" t="s">
        <v>7276</v>
      </c>
      <c r="F2311" s="2"/>
      <c r="G2311" s="2" t="s">
        <v>9</v>
      </c>
      <c r="H2311" s="2"/>
      <c r="I2311" s="2" t="s">
        <v>9</v>
      </c>
    </row>
    <row r="2312" spans="1:9" ht="52" x14ac:dyDescent="0.3">
      <c r="A2312" s="1" t="str">
        <f>HYPERLINK("https://ipmanager.doe.gov/IPManager//ExternalLink.aspx?6ibkph2k9yi6F%2B0Vz7YoTq6RR9BlGHHisgrzo7gGJR8%3D","Link")</f>
        <v>Link</v>
      </c>
      <c r="B2312" s="2" t="s">
        <v>3602</v>
      </c>
      <c r="C2312" s="2" t="s">
        <v>3582</v>
      </c>
      <c r="D2312" s="2" t="s">
        <v>3583</v>
      </c>
      <c r="E2312" s="2" t="s">
        <v>3603</v>
      </c>
      <c r="F2312" s="2" t="s">
        <v>3604</v>
      </c>
      <c r="G2312" s="2" t="s">
        <v>3605</v>
      </c>
      <c r="H2312" s="2"/>
      <c r="I2312" s="2" t="s">
        <v>9</v>
      </c>
    </row>
    <row r="2313" spans="1:9" ht="26" x14ac:dyDescent="0.3">
      <c r="A2313" s="1" t="str">
        <f>HYPERLINK("https://ipmanager.doe.gov/IPManager//ExternalLink.aspx?6ibkph2k9yi6F%2B0Vz7YoTvE8yjoHgvp67iK5ujQQ97E%3D","Link")</f>
        <v>Link</v>
      </c>
      <c r="B2313" s="2" t="s">
        <v>7281</v>
      </c>
      <c r="C2313" s="2" t="s">
        <v>7282</v>
      </c>
      <c r="D2313" s="2" t="s">
        <v>7283</v>
      </c>
      <c r="E2313" s="2" t="s">
        <v>7284</v>
      </c>
      <c r="F2313" s="2"/>
      <c r="G2313" s="2" t="s">
        <v>9</v>
      </c>
      <c r="H2313" s="2"/>
      <c r="I2313" s="2" t="s">
        <v>9</v>
      </c>
    </row>
    <row r="2314" spans="1:9" ht="52" x14ac:dyDescent="0.3">
      <c r="A2314" s="1" t="str">
        <f>HYPERLINK("https://ipmanager.doe.gov/IPManager//ExternalLink.aspx?6ibkph2k9yi6F%2B0Vz7YoTkqAgjuWMa9QVSoFscW5FLI%3D","Link")</f>
        <v>Link</v>
      </c>
      <c r="B2314" s="2" t="s">
        <v>6798</v>
      </c>
      <c r="C2314" s="2" t="s">
        <v>6799</v>
      </c>
      <c r="D2314" s="2" t="s">
        <v>3583</v>
      </c>
      <c r="E2314" s="2" t="s">
        <v>6800</v>
      </c>
      <c r="F2314" s="2" t="s">
        <v>6801</v>
      </c>
      <c r="G2314" s="2" t="s">
        <v>6586</v>
      </c>
      <c r="H2314" s="2"/>
      <c r="I2314" s="2" t="s">
        <v>9</v>
      </c>
    </row>
    <row r="2315" spans="1:9" ht="52" x14ac:dyDescent="0.3">
      <c r="A2315" s="1" t="str">
        <f>HYPERLINK("https://ipmanager.doe.gov/IPManager//ExternalLink.aspx?6ibkph2k9yi6F%2B0Vz7YoTkqAgjuWMa9QHSgK5DxqvKg%3D","Link")</f>
        <v>Link</v>
      </c>
      <c r="B2315" s="2" t="s">
        <v>6803</v>
      </c>
      <c r="C2315" s="2" t="s">
        <v>6799</v>
      </c>
      <c r="D2315" s="2" t="s">
        <v>3583</v>
      </c>
      <c r="E2315" s="2" t="s">
        <v>6800</v>
      </c>
      <c r="F2315" s="2" t="s">
        <v>6802</v>
      </c>
      <c r="G2315" s="2" t="s">
        <v>6804</v>
      </c>
      <c r="H2315" s="2"/>
      <c r="I2315" s="2" t="s">
        <v>9</v>
      </c>
    </row>
    <row r="2316" spans="1:9" ht="52" x14ac:dyDescent="0.3">
      <c r="A2316" s="1" t="str">
        <f>HYPERLINK("https://ipmanager.doe.gov/IPManager//ExternalLink.aspx?6ibkph2k9yi6F%2B0Vz7YoTkqAgjuWMa9QrgkE8A6PiaU%3D","Link")</f>
        <v>Link</v>
      </c>
      <c r="B2316" s="2" t="s">
        <v>7294</v>
      </c>
      <c r="C2316" s="2" t="s">
        <v>7295</v>
      </c>
      <c r="D2316" s="2" t="s">
        <v>3285</v>
      </c>
      <c r="E2316" s="2" t="s">
        <v>7296</v>
      </c>
      <c r="F2316" s="2"/>
      <c r="G2316" s="2" t="s">
        <v>9</v>
      </c>
      <c r="H2316" s="2"/>
      <c r="I2316" s="2" t="s">
        <v>9</v>
      </c>
    </row>
    <row r="2317" spans="1:9" ht="39" x14ac:dyDescent="0.3">
      <c r="A2317" s="1" t="str">
        <f>HYPERLINK("https://ipmanager.doe.gov/IPManager//ExternalLink.aspx?6ibkph2k9yi6F%2B0Vz7YoTp68px7nSN2gCG1Ucou1H1k%3D","Link")</f>
        <v>Link</v>
      </c>
      <c r="B2317" s="2" t="s">
        <v>7297</v>
      </c>
      <c r="C2317" s="2" t="s">
        <v>7298</v>
      </c>
      <c r="D2317" s="2" t="s">
        <v>4404</v>
      </c>
      <c r="E2317" s="2" t="s">
        <v>7299</v>
      </c>
      <c r="F2317" s="2"/>
      <c r="G2317" s="2" t="s">
        <v>9</v>
      </c>
      <c r="H2317" s="2"/>
      <c r="I2317" s="2" t="s">
        <v>9</v>
      </c>
    </row>
    <row r="2318" spans="1:9" ht="52" x14ac:dyDescent="0.3">
      <c r="A2318" s="1" t="str">
        <f>HYPERLINK("https://ipmanager.doe.gov/IPManager//ExternalLink.aspx?6ibkph2k9yi6F%2B0Vz7YoTp68px7nSN2gH%2B82k8brm%2FE%3D","Link")</f>
        <v>Link</v>
      </c>
      <c r="B2318" s="2" t="s">
        <v>7300</v>
      </c>
      <c r="C2318" s="2" t="s">
        <v>7301</v>
      </c>
      <c r="D2318" s="2" t="s">
        <v>1474</v>
      </c>
      <c r="E2318" s="2" t="s">
        <v>7302</v>
      </c>
      <c r="F2318" s="2"/>
      <c r="G2318" s="2" t="s">
        <v>9</v>
      </c>
      <c r="H2318" s="2"/>
      <c r="I2318" s="2" t="s">
        <v>9</v>
      </c>
    </row>
    <row r="2319" spans="1:9" ht="39" x14ac:dyDescent="0.3">
      <c r="A2319" s="1" t="str">
        <f>HYPERLINK("https://ipmanager.doe.gov/IPManager//ExternalLink.aspx?6ibkph2k9yi6F%2B0Vz7YoTp68px7nSN2gL8nRF5KVjOc%3D","Link")</f>
        <v>Link</v>
      </c>
      <c r="B2319" s="2" t="s">
        <v>6805</v>
      </c>
      <c r="C2319" s="2" t="s">
        <v>6799</v>
      </c>
      <c r="D2319" s="2" t="s">
        <v>3583</v>
      </c>
      <c r="E2319" s="2" t="s">
        <v>6806</v>
      </c>
      <c r="F2319" s="2" t="s">
        <v>6807</v>
      </c>
      <c r="G2319" s="2" t="s">
        <v>4594</v>
      </c>
      <c r="H2319" s="2"/>
      <c r="I2319" s="2" t="s">
        <v>9</v>
      </c>
    </row>
    <row r="2320" spans="1:9" ht="65" x14ac:dyDescent="0.3">
      <c r="A2320" s="1" t="str">
        <f>HYPERLINK("https://ipmanager.doe.gov/IPManager//ExternalLink.aspx?6ibkph2k9yi6F%2B0Vz7YoTp68px7nSN2guY87Gkjavu4%3D","Link")</f>
        <v>Link</v>
      </c>
      <c r="B2320" s="2" t="s">
        <v>6808</v>
      </c>
      <c r="C2320" s="2" t="s">
        <v>6799</v>
      </c>
      <c r="D2320" s="2" t="s">
        <v>3583</v>
      </c>
      <c r="E2320" s="2" t="s">
        <v>6809</v>
      </c>
      <c r="F2320" s="2" t="s">
        <v>6810</v>
      </c>
      <c r="G2320" s="2" t="s">
        <v>6811</v>
      </c>
      <c r="H2320" s="2"/>
      <c r="I2320" s="2" t="s">
        <v>9</v>
      </c>
    </row>
  </sheetData>
  <conditionalFormatting sqref="H4:H26">
    <cfRule type="duplicateValues" dxfId="0" priority="1"/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I312"/>
  <sheetViews>
    <sheetView workbookViewId="0">
      <selection activeCell="A6" sqref="A6:A33"/>
    </sheetView>
  </sheetViews>
  <sheetFormatPr defaultRowHeight="13" x14ac:dyDescent="0.3"/>
  <cols>
    <col min="1" max="1" width="15" customWidth="1"/>
    <col min="2" max="2" width="14.59765625" customWidth="1"/>
    <col min="3" max="3" width="58.296875" customWidth="1"/>
    <col min="4" max="4" width="19.8984375" customWidth="1"/>
    <col min="5" max="5" width="15.69921875" customWidth="1"/>
    <col min="6" max="6" width="32.09765625" customWidth="1"/>
    <col min="7" max="7" width="26" customWidth="1"/>
    <col min="8" max="8" width="22.3984375" customWidth="1"/>
    <col min="9" max="9" width="28.59765625" bestFit="1" customWidth="1"/>
  </cols>
  <sheetData>
    <row r="6" spans="1:9" x14ac:dyDescent="0.3">
      <c r="A6" s="9" t="s">
        <v>7972</v>
      </c>
      <c r="B6" s="9" t="s">
        <v>1</v>
      </c>
      <c r="C6" s="9" t="s">
        <v>2</v>
      </c>
      <c r="D6" s="9" t="s">
        <v>4</v>
      </c>
      <c r="E6" s="9" t="s">
        <v>6</v>
      </c>
      <c r="F6" s="9" t="s">
        <v>7330</v>
      </c>
      <c r="G6" s="9" t="s">
        <v>7668</v>
      </c>
      <c r="H6" s="9" t="s">
        <v>7428</v>
      </c>
      <c r="I6" s="9" t="s">
        <v>7976</v>
      </c>
    </row>
    <row r="7" spans="1:9" x14ac:dyDescent="0.3">
      <c r="A7" t="s">
        <v>2810</v>
      </c>
      <c r="B7" t="s">
        <v>2786</v>
      </c>
      <c r="C7" t="s">
        <v>154</v>
      </c>
      <c r="D7" t="s">
        <v>2811</v>
      </c>
      <c r="E7" t="s">
        <v>7974</v>
      </c>
      <c r="F7" t="s">
        <v>2811</v>
      </c>
      <c r="G7" t="s">
        <v>7721</v>
      </c>
      <c r="H7" t="s">
        <v>8546</v>
      </c>
      <c r="I7" t="s">
        <v>8086</v>
      </c>
    </row>
    <row r="8" spans="1:9" x14ac:dyDescent="0.3">
      <c r="A8" t="s">
        <v>450</v>
      </c>
      <c r="B8" t="s">
        <v>442</v>
      </c>
      <c r="C8" t="s">
        <v>443</v>
      </c>
      <c r="D8" t="s">
        <v>7974</v>
      </c>
      <c r="E8" t="s">
        <v>7974</v>
      </c>
      <c r="F8" t="s">
        <v>2998</v>
      </c>
      <c r="G8" t="s">
        <v>7691</v>
      </c>
      <c r="H8" t="s">
        <v>8400</v>
      </c>
      <c r="I8" t="s">
        <v>8404</v>
      </c>
    </row>
    <row r="9" spans="1:9" x14ac:dyDescent="0.3">
      <c r="A9" t="s">
        <v>650</v>
      </c>
      <c r="B9" t="s">
        <v>579</v>
      </c>
      <c r="C9" t="s">
        <v>580</v>
      </c>
      <c r="D9" t="s">
        <v>7974</v>
      </c>
      <c r="E9" t="s">
        <v>7974</v>
      </c>
      <c r="F9" t="s">
        <v>4234</v>
      </c>
      <c r="G9" t="s">
        <v>7723</v>
      </c>
      <c r="H9" t="s">
        <v>8463</v>
      </c>
      <c r="I9" t="s">
        <v>8001</v>
      </c>
    </row>
    <row r="10" spans="1:9" x14ac:dyDescent="0.3">
      <c r="A10" t="s">
        <v>448</v>
      </c>
      <c r="B10" t="s">
        <v>442</v>
      </c>
      <c r="C10" t="s">
        <v>443</v>
      </c>
      <c r="D10" t="s">
        <v>7974</v>
      </c>
      <c r="E10" t="s">
        <v>7974</v>
      </c>
      <c r="F10" t="s">
        <v>4257</v>
      </c>
      <c r="G10" t="s">
        <v>7690</v>
      </c>
      <c r="H10" t="s">
        <v>8400</v>
      </c>
      <c r="I10" t="s">
        <v>8404</v>
      </c>
    </row>
    <row r="11" spans="1:9" x14ac:dyDescent="0.3">
      <c r="A11" t="s">
        <v>1001</v>
      </c>
      <c r="B11" t="s">
        <v>970</v>
      </c>
      <c r="C11" t="s">
        <v>971</v>
      </c>
      <c r="D11" t="s">
        <v>1003</v>
      </c>
      <c r="E11" t="s">
        <v>7974</v>
      </c>
      <c r="F11" t="s">
        <v>5902</v>
      </c>
      <c r="G11" t="s">
        <v>7771</v>
      </c>
      <c r="H11" t="s">
        <v>8471</v>
      </c>
      <c r="I11" t="s">
        <v>8009</v>
      </c>
    </row>
    <row r="12" spans="1:9" x14ac:dyDescent="0.3">
      <c r="A12" t="s">
        <v>1027</v>
      </c>
      <c r="B12" t="s">
        <v>970</v>
      </c>
      <c r="C12" t="s">
        <v>971</v>
      </c>
      <c r="D12" t="s">
        <v>1029</v>
      </c>
      <c r="E12" t="s">
        <v>7974</v>
      </c>
      <c r="F12" t="s">
        <v>3657</v>
      </c>
      <c r="G12" t="s">
        <v>7775</v>
      </c>
      <c r="H12" t="s">
        <v>8471</v>
      </c>
      <c r="I12" t="s">
        <v>8009</v>
      </c>
    </row>
    <row r="13" spans="1:9" x14ac:dyDescent="0.3">
      <c r="A13" t="s">
        <v>991</v>
      </c>
      <c r="B13" t="s">
        <v>970</v>
      </c>
      <c r="C13" t="s">
        <v>971</v>
      </c>
      <c r="D13" t="s">
        <v>973</v>
      </c>
      <c r="E13" t="s">
        <v>7974</v>
      </c>
      <c r="F13" t="s">
        <v>4389</v>
      </c>
      <c r="G13" t="s">
        <v>7770</v>
      </c>
      <c r="H13" t="s">
        <v>8471</v>
      </c>
      <c r="I13" t="s">
        <v>8009</v>
      </c>
    </row>
    <row r="14" spans="1:9" x14ac:dyDescent="0.3">
      <c r="A14" t="s">
        <v>1152</v>
      </c>
      <c r="B14" t="s">
        <v>1145</v>
      </c>
      <c r="C14" t="s">
        <v>1146</v>
      </c>
      <c r="D14" t="s">
        <v>1154</v>
      </c>
      <c r="E14" t="s">
        <v>7974</v>
      </c>
      <c r="F14" t="s">
        <v>7443</v>
      </c>
      <c r="G14" t="s">
        <v>7789</v>
      </c>
      <c r="H14" t="s">
        <v>8476</v>
      </c>
      <c r="I14" t="s">
        <v>8014</v>
      </c>
    </row>
    <row r="15" spans="1:9" x14ac:dyDescent="0.3">
      <c r="A15" t="s">
        <v>1011</v>
      </c>
      <c r="B15" t="s">
        <v>970</v>
      </c>
      <c r="C15" t="s">
        <v>971</v>
      </c>
      <c r="D15" t="s">
        <v>973</v>
      </c>
      <c r="E15" t="s">
        <v>7974</v>
      </c>
      <c r="F15" t="s">
        <v>7664</v>
      </c>
      <c r="G15" t="s">
        <v>7772</v>
      </c>
      <c r="H15" t="s">
        <v>8471</v>
      </c>
      <c r="I15" t="s">
        <v>8009</v>
      </c>
    </row>
    <row r="16" spans="1:9" x14ac:dyDescent="0.3">
      <c r="A16" t="s">
        <v>1015</v>
      </c>
      <c r="B16" t="s">
        <v>970</v>
      </c>
      <c r="C16" t="s">
        <v>971</v>
      </c>
      <c r="D16" t="s">
        <v>973</v>
      </c>
      <c r="E16" t="s">
        <v>7974</v>
      </c>
      <c r="F16" t="s">
        <v>6845</v>
      </c>
      <c r="G16" t="s">
        <v>7773</v>
      </c>
      <c r="H16" t="s">
        <v>8471</v>
      </c>
      <c r="I16" t="s">
        <v>8009</v>
      </c>
    </row>
    <row r="17" spans="1:9" x14ac:dyDescent="0.3">
      <c r="A17" t="s">
        <v>1017</v>
      </c>
      <c r="B17" t="s">
        <v>970</v>
      </c>
      <c r="C17" t="s">
        <v>971</v>
      </c>
      <c r="D17" t="s">
        <v>1019</v>
      </c>
      <c r="E17" t="s">
        <v>7974</v>
      </c>
      <c r="F17" t="s">
        <v>3648</v>
      </c>
      <c r="G17" t="s">
        <v>7774</v>
      </c>
      <c r="H17" t="s">
        <v>8471</v>
      </c>
      <c r="I17" t="s">
        <v>8009</v>
      </c>
    </row>
    <row r="18" spans="1:9" x14ac:dyDescent="0.3">
      <c r="A18" t="s">
        <v>986</v>
      </c>
      <c r="B18" t="s">
        <v>970</v>
      </c>
      <c r="C18" t="s">
        <v>971</v>
      </c>
      <c r="D18" t="s">
        <v>988</v>
      </c>
      <c r="E18" t="s">
        <v>7974</v>
      </c>
      <c r="F18" t="s">
        <v>4500</v>
      </c>
      <c r="G18" t="s">
        <v>7769</v>
      </c>
      <c r="H18" t="s">
        <v>8471</v>
      </c>
      <c r="I18" t="s">
        <v>8009</v>
      </c>
    </row>
    <row r="19" spans="1:9" x14ac:dyDescent="0.3">
      <c r="A19" t="s">
        <v>456</v>
      </c>
      <c r="B19" t="s">
        <v>457</v>
      </c>
      <c r="C19" t="s">
        <v>458</v>
      </c>
      <c r="D19" t="s">
        <v>7606</v>
      </c>
      <c r="E19" t="s">
        <v>7974</v>
      </c>
      <c r="F19" t="s">
        <v>5249</v>
      </c>
      <c r="G19" t="s">
        <v>7692</v>
      </c>
      <c r="H19" t="s">
        <v>8459</v>
      </c>
      <c r="I19" t="s">
        <v>7997</v>
      </c>
    </row>
    <row r="20" spans="1:9" x14ac:dyDescent="0.3">
      <c r="A20" t="s">
        <v>2109</v>
      </c>
      <c r="B20" t="s">
        <v>2046</v>
      </c>
      <c r="C20" t="s">
        <v>2019</v>
      </c>
      <c r="D20" t="s">
        <v>2110</v>
      </c>
      <c r="E20" t="s">
        <v>7974</v>
      </c>
      <c r="F20" t="s">
        <v>7534</v>
      </c>
      <c r="G20" t="s">
        <v>7858</v>
      </c>
      <c r="H20" t="s">
        <v>8520</v>
      </c>
      <c r="I20" t="s">
        <v>8058</v>
      </c>
    </row>
    <row r="21" spans="1:9" x14ac:dyDescent="0.3">
      <c r="A21" t="s">
        <v>51</v>
      </c>
      <c r="B21" t="s">
        <v>26</v>
      </c>
      <c r="C21" t="s">
        <v>27</v>
      </c>
      <c r="D21" t="s">
        <v>53</v>
      </c>
      <c r="E21" t="s">
        <v>7974</v>
      </c>
      <c r="F21" t="s">
        <v>7339</v>
      </c>
      <c r="G21" t="s">
        <v>7334</v>
      </c>
      <c r="H21" t="s">
        <v>8398</v>
      </c>
      <c r="I21" t="s">
        <v>8397</v>
      </c>
    </row>
    <row r="22" spans="1:9" x14ac:dyDescent="0.3">
      <c r="A22" t="s">
        <v>72</v>
      </c>
      <c r="B22" t="s">
        <v>26</v>
      </c>
      <c r="C22" t="s">
        <v>57</v>
      </c>
      <c r="D22" t="s">
        <v>74</v>
      </c>
      <c r="E22" t="s">
        <v>7974</v>
      </c>
      <c r="F22" t="s">
        <v>7337</v>
      </c>
      <c r="G22" t="s">
        <v>7336</v>
      </c>
      <c r="H22" t="s">
        <v>8398</v>
      </c>
      <c r="I22" t="s">
        <v>8397</v>
      </c>
    </row>
    <row r="23" spans="1:9" x14ac:dyDescent="0.3">
      <c r="A23" t="s">
        <v>76</v>
      </c>
      <c r="B23" t="s">
        <v>26</v>
      </c>
      <c r="C23" t="s">
        <v>57</v>
      </c>
      <c r="D23" t="s">
        <v>78</v>
      </c>
      <c r="E23" t="s">
        <v>7974</v>
      </c>
      <c r="F23" t="s">
        <v>7344</v>
      </c>
      <c r="G23" t="s">
        <v>7346</v>
      </c>
      <c r="H23" t="s">
        <v>8398</v>
      </c>
      <c r="I23" t="s">
        <v>8397</v>
      </c>
    </row>
    <row r="24" spans="1:9" x14ac:dyDescent="0.3">
      <c r="A24" t="s">
        <v>61</v>
      </c>
      <c r="B24" t="s">
        <v>26</v>
      </c>
      <c r="C24" t="s">
        <v>57</v>
      </c>
      <c r="D24" t="s">
        <v>63</v>
      </c>
      <c r="E24" t="s">
        <v>7974</v>
      </c>
      <c r="F24" t="s">
        <v>7338</v>
      </c>
      <c r="G24" t="s">
        <v>7681</v>
      </c>
      <c r="H24" t="s">
        <v>8398</v>
      </c>
      <c r="I24" t="s">
        <v>8397</v>
      </c>
    </row>
    <row r="25" spans="1:9" x14ac:dyDescent="0.3">
      <c r="A25" t="s">
        <v>56</v>
      </c>
      <c r="B25" t="s">
        <v>26</v>
      </c>
      <c r="C25" t="s">
        <v>57</v>
      </c>
      <c r="D25" t="s">
        <v>59</v>
      </c>
      <c r="E25" t="s">
        <v>7974</v>
      </c>
      <c r="F25" t="s">
        <v>7343</v>
      </c>
      <c r="G25" t="s">
        <v>7335</v>
      </c>
      <c r="H25" t="s">
        <v>8398</v>
      </c>
      <c r="I25" t="s">
        <v>8397</v>
      </c>
    </row>
    <row r="26" spans="1:9" x14ac:dyDescent="0.3">
      <c r="A26" t="s">
        <v>1397</v>
      </c>
      <c r="B26" t="s">
        <v>1392</v>
      </c>
      <c r="C26" t="s">
        <v>1393</v>
      </c>
      <c r="D26" t="s">
        <v>1399</v>
      </c>
      <c r="E26" t="s">
        <v>7974</v>
      </c>
      <c r="F26" t="s">
        <v>1399</v>
      </c>
      <c r="G26" t="s">
        <v>7670</v>
      </c>
      <c r="H26" t="s">
        <v>8487</v>
      </c>
      <c r="I26" t="s">
        <v>8025</v>
      </c>
    </row>
    <row r="27" spans="1:9" x14ac:dyDescent="0.3">
      <c r="A27" t="s">
        <v>616</v>
      </c>
      <c r="B27" t="s">
        <v>579</v>
      </c>
      <c r="C27" t="s">
        <v>580</v>
      </c>
      <c r="D27" t="s">
        <v>618</v>
      </c>
      <c r="E27" t="s">
        <v>7974</v>
      </c>
      <c r="F27" t="s">
        <v>2925</v>
      </c>
      <c r="G27" t="s">
        <v>7719</v>
      </c>
      <c r="H27" t="s">
        <v>8463</v>
      </c>
      <c r="I27" t="s">
        <v>8001</v>
      </c>
    </row>
    <row r="28" spans="1:9" x14ac:dyDescent="0.3">
      <c r="A28" t="s">
        <v>462</v>
      </c>
      <c r="B28" t="s">
        <v>463</v>
      </c>
      <c r="C28" t="s">
        <v>464</v>
      </c>
      <c r="D28" t="s">
        <v>7974</v>
      </c>
      <c r="E28" t="s">
        <v>7974</v>
      </c>
      <c r="F28" t="s">
        <v>6207</v>
      </c>
      <c r="G28" t="s">
        <v>7693</v>
      </c>
      <c r="H28" t="s">
        <v>8460</v>
      </c>
      <c r="I28" t="s">
        <v>7998</v>
      </c>
    </row>
    <row r="29" spans="1:9" x14ac:dyDescent="0.3">
      <c r="A29" t="s">
        <v>174</v>
      </c>
      <c r="B29" t="s">
        <v>171</v>
      </c>
      <c r="C29" t="s">
        <v>172</v>
      </c>
      <c r="D29" t="s">
        <v>176</v>
      </c>
      <c r="E29" t="s">
        <v>7974</v>
      </c>
      <c r="F29" t="s">
        <v>7353</v>
      </c>
      <c r="G29" t="s">
        <v>7352</v>
      </c>
      <c r="H29" t="s">
        <v>8446</v>
      </c>
      <c r="I29" t="s">
        <v>7984</v>
      </c>
    </row>
    <row r="30" spans="1:9" x14ac:dyDescent="0.3">
      <c r="A30" t="s">
        <v>178</v>
      </c>
      <c r="B30" t="s">
        <v>171</v>
      </c>
      <c r="C30" t="s">
        <v>172</v>
      </c>
      <c r="D30" t="s">
        <v>179</v>
      </c>
      <c r="E30" t="s">
        <v>7974</v>
      </c>
      <c r="F30" t="s">
        <v>7353</v>
      </c>
      <c r="G30" t="s">
        <v>7352</v>
      </c>
      <c r="H30" t="s">
        <v>8446</v>
      </c>
      <c r="I30" t="s">
        <v>7984</v>
      </c>
    </row>
    <row r="31" spans="1:9" x14ac:dyDescent="0.3">
      <c r="A31" t="s">
        <v>979</v>
      </c>
      <c r="B31" t="s">
        <v>970</v>
      </c>
      <c r="C31" t="s">
        <v>971</v>
      </c>
      <c r="D31" t="s">
        <v>977</v>
      </c>
      <c r="E31" t="s">
        <v>7974</v>
      </c>
      <c r="F31" t="s">
        <v>5109</v>
      </c>
      <c r="G31" t="s">
        <v>7768</v>
      </c>
      <c r="H31" t="s">
        <v>8471</v>
      </c>
      <c r="I31" t="s">
        <v>8009</v>
      </c>
    </row>
    <row r="32" spans="1:9" x14ac:dyDescent="0.3">
      <c r="A32" t="s">
        <v>969</v>
      </c>
      <c r="B32" t="s">
        <v>970</v>
      </c>
      <c r="C32" t="s">
        <v>971</v>
      </c>
      <c r="D32" t="s">
        <v>973</v>
      </c>
      <c r="E32" t="s">
        <v>7974</v>
      </c>
      <c r="F32" t="s">
        <v>4209</v>
      </c>
      <c r="G32" t="s">
        <v>7766</v>
      </c>
      <c r="H32" t="s">
        <v>8471</v>
      </c>
      <c r="I32" t="s">
        <v>8009</v>
      </c>
    </row>
    <row r="33" spans="1:9" x14ac:dyDescent="0.3">
      <c r="A33" t="s">
        <v>1617</v>
      </c>
      <c r="B33" t="s">
        <v>1558</v>
      </c>
      <c r="C33" t="s">
        <v>1559</v>
      </c>
      <c r="D33" t="s">
        <v>1618</v>
      </c>
      <c r="E33" t="s">
        <v>7974</v>
      </c>
      <c r="F33" t="s">
        <v>7530</v>
      </c>
      <c r="G33" t="s">
        <v>7823</v>
      </c>
      <c r="H33" t="s">
        <v>8494</v>
      </c>
      <c r="I33" t="s">
        <v>8032</v>
      </c>
    </row>
    <row r="34" spans="1:9" x14ac:dyDescent="0.3">
      <c r="D34" t="s">
        <v>1620</v>
      </c>
      <c r="E34" t="s">
        <v>7974</v>
      </c>
      <c r="F34" t="s">
        <v>7530</v>
      </c>
      <c r="G34" t="s">
        <v>7823</v>
      </c>
      <c r="H34" t="s">
        <v>8494</v>
      </c>
      <c r="I34" t="s">
        <v>8032</v>
      </c>
    </row>
    <row r="35" spans="1:9" x14ac:dyDescent="0.3">
      <c r="A35" t="s">
        <v>88</v>
      </c>
      <c r="B35" t="s">
        <v>85</v>
      </c>
      <c r="C35" t="s">
        <v>86</v>
      </c>
      <c r="D35" t="s">
        <v>89</v>
      </c>
      <c r="E35" t="s">
        <v>7974</v>
      </c>
      <c r="F35" t="s">
        <v>7345</v>
      </c>
      <c r="G35" t="s">
        <v>7682</v>
      </c>
      <c r="H35" t="s">
        <v>8442</v>
      </c>
      <c r="I35" t="s">
        <v>7980</v>
      </c>
    </row>
    <row r="36" spans="1:9" x14ac:dyDescent="0.3">
      <c r="A36" t="s">
        <v>1985</v>
      </c>
      <c r="B36" t="s">
        <v>1986</v>
      </c>
      <c r="C36" t="s">
        <v>1987</v>
      </c>
      <c r="D36" t="s">
        <v>1989</v>
      </c>
      <c r="E36" t="s">
        <v>7974</v>
      </c>
      <c r="F36" t="s">
        <v>7533</v>
      </c>
      <c r="G36" t="s">
        <v>7853</v>
      </c>
      <c r="H36" t="s">
        <v>8517</v>
      </c>
      <c r="I36" t="s">
        <v>8055</v>
      </c>
    </row>
    <row r="37" spans="1:9" x14ac:dyDescent="0.3">
      <c r="A37" t="s">
        <v>4025</v>
      </c>
      <c r="B37" t="s">
        <v>4007</v>
      </c>
      <c r="C37" t="s">
        <v>4008</v>
      </c>
      <c r="D37" t="s">
        <v>4027</v>
      </c>
      <c r="E37" t="s">
        <v>7974</v>
      </c>
      <c r="F37" t="s">
        <v>7559</v>
      </c>
      <c r="G37" t="s">
        <v>7940</v>
      </c>
      <c r="H37" t="s">
        <v>8594</v>
      </c>
      <c r="I37" t="s">
        <v>8136</v>
      </c>
    </row>
    <row r="38" spans="1:9" x14ac:dyDescent="0.3">
      <c r="A38" t="s">
        <v>4028</v>
      </c>
      <c r="B38" t="s">
        <v>4007</v>
      </c>
      <c r="C38" t="s">
        <v>4008</v>
      </c>
      <c r="D38" t="s">
        <v>4030</v>
      </c>
      <c r="E38" t="s">
        <v>7974</v>
      </c>
      <c r="F38" t="s">
        <v>5249</v>
      </c>
      <c r="G38" t="s">
        <v>7692</v>
      </c>
      <c r="H38" t="s">
        <v>8594</v>
      </c>
      <c r="I38" t="s">
        <v>8136</v>
      </c>
    </row>
    <row r="39" spans="1:9" x14ac:dyDescent="0.3">
      <c r="A39" t="s">
        <v>975</v>
      </c>
      <c r="B39" t="s">
        <v>970</v>
      </c>
      <c r="C39" t="s">
        <v>971</v>
      </c>
      <c r="D39" t="s">
        <v>977</v>
      </c>
      <c r="E39" t="s">
        <v>7974</v>
      </c>
      <c r="F39" t="s">
        <v>4693</v>
      </c>
      <c r="G39" t="s">
        <v>7767</v>
      </c>
      <c r="H39" t="s">
        <v>8471</v>
      </c>
      <c r="I39" t="s">
        <v>8009</v>
      </c>
    </row>
    <row r="40" spans="1:9" x14ac:dyDescent="0.3">
      <c r="A40" t="s">
        <v>3615</v>
      </c>
      <c r="B40" t="s">
        <v>3609</v>
      </c>
      <c r="C40" t="s">
        <v>3610</v>
      </c>
      <c r="D40" t="s">
        <v>3617</v>
      </c>
      <c r="E40" t="s">
        <v>7974</v>
      </c>
      <c r="F40" t="s">
        <v>7548</v>
      </c>
      <c r="G40" t="s">
        <v>7929</v>
      </c>
      <c r="H40" t="s">
        <v>8583</v>
      </c>
      <c r="I40" t="s">
        <v>8125</v>
      </c>
    </row>
    <row r="41" spans="1:9" x14ac:dyDescent="0.3">
      <c r="A41" t="s">
        <v>1068</v>
      </c>
      <c r="B41" t="s">
        <v>1069</v>
      </c>
      <c r="C41" t="s">
        <v>1070</v>
      </c>
      <c r="D41" t="s">
        <v>1072</v>
      </c>
      <c r="E41" t="s">
        <v>7974</v>
      </c>
      <c r="F41" t="s">
        <v>7522</v>
      </c>
      <c r="G41" t="s">
        <v>7780</v>
      </c>
      <c r="H41" t="s">
        <v>8473</v>
      </c>
      <c r="I41" t="s">
        <v>8011</v>
      </c>
    </row>
    <row r="42" spans="1:9" x14ac:dyDescent="0.3">
      <c r="A42" t="s">
        <v>777</v>
      </c>
      <c r="B42" t="s">
        <v>769</v>
      </c>
      <c r="C42" t="s">
        <v>778</v>
      </c>
      <c r="D42" t="s">
        <v>7974</v>
      </c>
      <c r="E42" t="s">
        <v>7974</v>
      </c>
      <c r="F42" t="s">
        <v>5142</v>
      </c>
      <c r="G42" t="s">
        <v>7743</v>
      </c>
      <c r="H42" t="s">
        <v>8465</v>
      </c>
      <c r="I42" t="s">
        <v>8003</v>
      </c>
    </row>
    <row r="43" spans="1:9" x14ac:dyDescent="0.3">
      <c r="A43" t="s">
        <v>3085</v>
      </c>
      <c r="B43" t="s">
        <v>3074</v>
      </c>
      <c r="C43" t="s">
        <v>3075</v>
      </c>
      <c r="D43" t="s">
        <v>3086</v>
      </c>
      <c r="E43" t="s">
        <v>7974</v>
      </c>
      <c r="F43" t="s">
        <v>3086</v>
      </c>
      <c r="G43" t="s">
        <v>7739</v>
      </c>
      <c r="H43" t="s">
        <v>8478</v>
      </c>
      <c r="I43" t="s">
        <v>8106</v>
      </c>
    </row>
    <row r="44" spans="1:9" x14ac:dyDescent="0.3">
      <c r="A44" t="s">
        <v>780</v>
      </c>
      <c r="B44" t="s">
        <v>769</v>
      </c>
      <c r="C44" t="s">
        <v>135</v>
      </c>
      <c r="D44" t="s">
        <v>7974</v>
      </c>
      <c r="E44" t="s">
        <v>7974</v>
      </c>
      <c r="F44" t="s">
        <v>5465</v>
      </c>
      <c r="G44" t="s">
        <v>7744</v>
      </c>
      <c r="H44" t="s">
        <v>8465</v>
      </c>
      <c r="I44" t="s">
        <v>8003</v>
      </c>
    </row>
    <row r="45" spans="1:9" x14ac:dyDescent="0.3">
      <c r="A45" t="s">
        <v>2336</v>
      </c>
      <c r="B45" t="s">
        <v>2315</v>
      </c>
      <c r="C45" t="s">
        <v>2316</v>
      </c>
      <c r="D45" t="s">
        <v>2338</v>
      </c>
      <c r="E45" t="s">
        <v>7974</v>
      </c>
      <c r="F45" t="s">
        <v>2338</v>
      </c>
      <c r="G45" t="s">
        <v>7756</v>
      </c>
      <c r="H45" t="s">
        <v>8532</v>
      </c>
      <c r="I45" t="s">
        <v>8071</v>
      </c>
    </row>
    <row r="46" spans="1:9" x14ac:dyDescent="0.3">
      <c r="A46" t="s">
        <v>2634</v>
      </c>
      <c r="B46" t="s">
        <v>2573</v>
      </c>
      <c r="C46" t="s">
        <v>2316</v>
      </c>
      <c r="D46" t="s">
        <v>2636</v>
      </c>
      <c r="E46" t="s">
        <v>7974</v>
      </c>
      <c r="F46" t="s">
        <v>2636</v>
      </c>
      <c r="G46" t="s">
        <v>7888</v>
      </c>
      <c r="H46" t="s">
        <v>8541</v>
      </c>
      <c r="I46" t="s">
        <v>8080</v>
      </c>
    </row>
    <row r="47" spans="1:9" x14ac:dyDescent="0.3">
      <c r="A47" t="s">
        <v>809</v>
      </c>
      <c r="B47" t="s">
        <v>769</v>
      </c>
      <c r="C47" t="s">
        <v>770</v>
      </c>
      <c r="D47" t="s">
        <v>810</v>
      </c>
      <c r="E47" t="s">
        <v>7974</v>
      </c>
      <c r="F47" t="s">
        <v>810</v>
      </c>
      <c r="G47" t="s">
        <v>7710</v>
      </c>
      <c r="H47" t="s">
        <v>8465</v>
      </c>
      <c r="I47" t="s">
        <v>8003</v>
      </c>
    </row>
    <row r="48" spans="1:9" x14ac:dyDescent="0.3">
      <c r="A48" t="s">
        <v>890</v>
      </c>
      <c r="B48" t="s">
        <v>877</v>
      </c>
      <c r="C48" t="s">
        <v>878</v>
      </c>
      <c r="D48" t="s">
        <v>892</v>
      </c>
      <c r="E48" t="s">
        <v>7974</v>
      </c>
      <c r="F48" t="s">
        <v>892</v>
      </c>
      <c r="G48" t="s">
        <v>7695</v>
      </c>
      <c r="H48" t="s">
        <v>8468</v>
      </c>
      <c r="I48" t="s">
        <v>8006</v>
      </c>
    </row>
    <row r="49" spans="1:9" x14ac:dyDescent="0.3">
      <c r="A49" t="s">
        <v>887</v>
      </c>
      <c r="B49" t="s">
        <v>877</v>
      </c>
      <c r="C49" t="s">
        <v>878</v>
      </c>
      <c r="D49" t="s">
        <v>889</v>
      </c>
      <c r="E49" t="s">
        <v>7974</v>
      </c>
      <c r="F49" t="s">
        <v>889</v>
      </c>
      <c r="G49" t="s">
        <v>7694</v>
      </c>
      <c r="H49" t="s">
        <v>8468</v>
      </c>
      <c r="I49" t="s">
        <v>8006</v>
      </c>
    </row>
    <row r="50" spans="1:9" x14ac:dyDescent="0.3">
      <c r="A50" t="s">
        <v>222</v>
      </c>
      <c r="B50" t="s">
        <v>223</v>
      </c>
      <c r="C50" t="s">
        <v>8</v>
      </c>
      <c r="D50" t="s">
        <v>7603</v>
      </c>
      <c r="E50" t="s">
        <v>7974</v>
      </c>
      <c r="F50" t="s">
        <v>1463</v>
      </c>
      <c r="G50" t="s">
        <v>7683</v>
      </c>
      <c r="H50" t="s">
        <v>8448</v>
      </c>
      <c r="I50" t="s">
        <v>7986</v>
      </c>
    </row>
    <row r="51" spans="1:9" x14ac:dyDescent="0.3">
      <c r="A51" t="s">
        <v>1803</v>
      </c>
      <c r="B51" t="s">
        <v>1799</v>
      </c>
      <c r="C51" t="s">
        <v>1433</v>
      </c>
      <c r="D51" t="s">
        <v>1804</v>
      </c>
      <c r="E51" t="s">
        <v>7974</v>
      </c>
      <c r="F51" t="s">
        <v>1804</v>
      </c>
      <c r="G51" t="s">
        <v>7842</v>
      </c>
      <c r="H51" t="s">
        <v>8506</v>
      </c>
      <c r="I51" t="s">
        <v>8044</v>
      </c>
    </row>
    <row r="52" spans="1:9" x14ac:dyDescent="0.3">
      <c r="A52" t="s">
        <v>226</v>
      </c>
      <c r="B52" t="s">
        <v>223</v>
      </c>
      <c r="C52" t="s">
        <v>8</v>
      </c>
      <c r="D52" t="s">
        <v>228</v>
      </c>
      <c r="E52" t="s">
        <v>7974</v>
      </c>
      <c r="F52" t="s">
        <v>5563</v>
      </c>
      <c r="G52" t="s">
        <v>7684</v>
      </c>
      <c r="H52" t="s">
        <v>8448</v>
      </c>
      <c r="I52" t="s">
        <v>7986</v>
      </c>
    </row>
    <row r="53" spans="1:9" x14ac:dyDescent="0.3">
      <c r="A53" t="s">
        <v>235</v>
      </c>
      <c r="B53" t="s">
        <v>232</v>
      </c>
      <c r="C53" t="s">
        <v>233</v>
      </c>
      <c r="D53" t="s">
        <v>237</v>
      </c>
      <c r="E53" t="s">
        <v>7974</v>
      </c>
      <c r="F53" t="s">
        <v>7379</v>
      </c>
      <c r="G53" t="s">
        <v>7389</v>
      </c>
      <c r="H53" t="s">
        <v>8449</v>
      </c>
      <c r="I53" t="s">
        <v>7987</v>
      </c>
    </row>
    <row r="54" spans="1:9" x14ac:dyDescent="0.3">
      <c r="A54" t="s">
        <v>106</v>
      </c>
      <c r="B54" t="s">
        <v>94</v>
      </c>
      <c r="C54" t="s">
        <v>95</v>
      </c>
      <c r="D54" t="s">
        <v>107</v>
      </c>
      <c r="E54" t="s">
        <v>7974</v>
      </c>
      <c r="F54" t="s">
        <v>7347</v>
      </c>
      <c r="G54" t="s">
        <v>7333</v>
      </c>
      <c r="H54" t="s">
        <v>8443</v>
      </c>
      <c r="I54" t="s">
        <v>7981</v>
      </c>
    </row>
    <row r="55" spans="1:9" x14ac:dyDescent="0.3">
      <c r="A55" t="s">
        <v>859</v>
      </c>
      <c r="B55" t="s">
        <v>831</v>
      </c>
      <c r="C55" t="s">
        <v>770</v>
      </c>
      <c r="D55" t="s">
        <v>861</v>
      </c>
      <c r="E55" t="s">
        <v>7974</v>
      </c>
      <c r="F55" t="s">
        <v>861</v>
      </c>
      <c r="G55" t="s">
        <v>7712</v>
      </c>
      <c r="H55" t="s">
        <v>8467</v>
      </c>
      <c r="I55" t="s">
        <v>8005</v>
      </c>
    </row>
    <row r="56" spans="1:9" x14ac:dyDescent="0.3">
      <c r="A56" t="s">
        <v>115</v>
      </c>
      <c r="B56" t="s">
        <v>116</v>
      </c>
      <c r="C56" t="s">
        <v>117</v>
      </c>
      <c r="D56" t="s">
        <v>119</v>
      </c>
      <c r="E56" t="s">
        <v>7974</v>
      </c>
      <c r="F56" t="s">
        <v>7350</v>
      </c>
      <c r="G56" t="s">
        <v>7349</v>
      </c>
      <c r="H56" t="s">
        <v>8444</v>
      </c>
      <c r="I56" t="s">
        <v>7982</v>
      </c>
    </row>
    <row r="57" spans="1:9" x14ac:dyDescent="0.3">
      <c r="A57" t="s">
        <v>1847</v>
      </c>
      <c r="B57" t="s">
        <v>1818</v>
      </c>
      <c r="C57" t="s">
        <v>770</v>
      </c>
      <c r="D57" t="s">
        <v>1849</v>
      </c>
      <c r="E57" t="s">
        <v>7974</v>
      </c>
      <c r="F57" t="s">
        <v>1849</v>
      </c>
      <c r="G57" t="s">
        <v>7848</v>
      </c>
      <c r="H57" t="s">
        <v>8507</v>
      </c>
      <c r="I57" t="s">
        <v>8045</v>
      </c>
    </row>
    <row r="58" spans="1:9" x14ac:dyDescent="0.3">
      <c r="A58" t="s">
        <v>1051</v>
      </c>
      <c r="B58" t="s">
        <v>1037</v>
      </c>
      <c r="C58" t="s">
        <v>770</v>
      </c>
      <c r="D58" t="s">
        <v>1053</v>
      </c>
      <c r="E58" t="s">
        <v>7974</v>
      </c>
      <c r="F58" t="s">
        <v>1053</v>
      </c>
      <c r="G58" t="s">
        <v>7715</v>
      </c>
      <c r="H58" t="s">
        <v>8408</v>
      </c>
      <c r="I58" t="s">
        <v>8410</v>
      </c>
    </row>
    <row r="59" spans="1:9" x14ac:dyDescent="0.3">
      <c r="A59" t="s">
        <v>1886</v>
      </c>
      <c r="B59" t="s">
        <v>1879</v>
      </c>
      <c r="C59" t="s">
        <v>1880</v>
      </c>
      <c r="D59" t="s">
        <v>1888</v>
      </c>
      <c r="E59" t="s">
        <v>7974</v>
      </c>
      <c r="F59" t="s">
        <v>2338</v>
      </c>
      <c r="G59" t="s">
        <v>7756</v>
      </c>
      <c r="H59" t="s">
        <v>8510</v>
      </c>
      <c r="I59" t="s">
        <v>8048</v>
      </c>
    </row>
    <row r="60" spans="1:9" x14ac:dyDescent="0.3">
      <c r="A60" t="s">
        <v>786</v>
      </c>
      <c r="B60" t="s">
        <v>769</v>
      </c>
      <c r="C60" t="s">
        <v>770</v>
      </c>
      <c r="D60" t="s">
        <v>7974</v>
      </c>
      <c r="E60" t="s">
        <v>7974</v>
      </c>
      <c r="F60" t="s">
        <v>3115</v>
      </c>
      <c r="G60" t="s">
        <v>7746</v>
      </c>
      <c r="H60" t="s">
        <v>8465</v>
      </c>
      <c r="I60" t="s">
        <v>8003</v>
      </c>
    </row>
    <row r="61" spans="1:9" x14ac:dyDescent="0.3">
      <c r="A61" t="s">
        <v>799</v>
      </c>
      <c r="B61" t="s">
        <v>769</v>
      </c>
      <c r="C61" t="s">
        <v>770</v>
      </c>
      <c r="D61" t="s">
        <v>815</v>
      </c>
      <c r="E61" t="s">
        <v>7974</v>
      </c>
      <c r="F61" t="s">
        <v>815</v>
      </c>
      <c r="G61" t="s">
        <v>7748</v>
      </c>
      <c r="H61" t="s">
        <v>8465</v>
      </c>
      <c r="I61" t="s">
        <v>8003</v>
      </c>
    </row>
    <row r="62" spans="1:9" x14ac:dyDescent="0.3">
      <c r="A62" t="s">
        <v>3114</v>
      </c>
      <c r="B62" t="s">
        <v>3099</v>
      </c>
      <c r="C62" t="s">
        <v>1336</v>
      </c>
      <c r="D62" t="s">
        <v>3115</v>
      </c>
      <c r="E62" t="s">
        <v>7974</v>
      </c>
      <c r="F62" t="s">
        <v>3115</v>
      </c>
      <c r="G62" t="s">
        <v>7746</v>
      </c>
      <c r="H62" t="s">
        <v>8565</v>
      </c>
      <c r="I62" t="s">
        <v>8107</v>
      </c>
    </row>
    <row r="63" spans="1:9" x14ac:dyDescent="0.3">
      <c r="A63" t="s">
        <v>1202</v>
      </c>
      <c r="B63" t="s">
        <v>1187</v>
      </c>
      <c r="C63" t="s">
        <v>1188</v>
      </c>
      <c r="D63" t="s">
        <v>1203</v>
      </c>
      <c r="E63" t="s">
        <v>7974</v>
      </c>
      <c r="F63" t="s">
        <v>1203</v>
      </c>
      <c r="G63" t="s">
        <v>7741</v>
      </c>
      <c r="H63" t="s">
        <v>8478</v>
      </c>
      <c r="I63" t="s">
        <v>8016</v>
      </c>
    </row>
    <row r="64" spans="1:9" x14ac:dyDescent="0.3">
      <c r="A64" t="s">
        <v>862</v>
      </c>
      <c r="B64" t="s">
        <v>831</v>
      </c>
      <c r="C64" t="s">
        <v>770</v>
      </c>
      <c r="D64" t="s">
        <v>863</v>
      </c>
      <c r="E64" t="s">
        <v>7974</v>
      </c>
      <c r="F64" t="s">
        <v>863</v>
      </c>
      <c r="G64" t="s">
        <v>7713</v>
      </c>
      <c r="H64" t="s">
        <v>8467</v>
      </c>
      <c r="I64" t="s">
        <v>8005</v>
      </c>
    </row>
    <row r="65" spans="1:9" x14ac:dyDescent="0.3">
      <c r="A65" t="s">
        <v>864</v>
      </c>
      <c r="B65" t="s">
        <v>831</v>
      </c>
      <c r="C65" t="s">
        <v>770</v>
      </c>
      <c r="D65" t="s">
        <v>865</v>
      </c>
      <c r="E65" t="s">
        <v>7974</v>
      </c>
      <c r="F65" t="s">
        <v>865</v>
      </c>
      <c r="G65" t="s">
        <v>7669</v>
      </c>
      <c r="H65" t="s">
        <v>8467</v>
      </c>
      <c r="I65" t="s">
        <v>8005</v>
      </c>
    </row>
    <row r="66" spans="1:9" x14ac:dyDescent="0.3">
      <c r="A66" t="s">
        <v>2454</v>
      </c>
      <c r="B66" t="s">
        <v>2425</v>
      </c>
      <c r="C66" t="s">
        <v>770</v>
      </c>
      <c r="D66" t="s">
        <v>2456</v>
      </c>
      <c r="E66" t="s">
        <v>7974</v>
      </c>
      <c r="F66" t="s">
        <v>2456</v>
      </c>
      <c r="G66" t="s">
        <v>7873</v>
      </c>
      <c r="H66" t="s">
        <v>8535</v>
      </c>
      <c r="I66" t="s">
        <v>8074</v>
      </c>
    </row>
    <row r="67" spans="1:9" x14ac:dyDescent="0.3">
      <c r="A67" t="s">
        <v>1817</v>
      </c>
      <c r="B67" t="s">
        <v>1818</v>
      </c>
      <c r="C67" t="s">
        <v>770</v>
      </c>
      <c r="D67" t="s">
        <v>1851</v>
      </c>
      <c r="E67" t="s">
        <v>7974</v>
      </c>
      <c r="F67" t="s">
        <v>7494</v>
      </c>
      <c r="G67" t="s">
        <v>7845</v>
      </c>
      <c r="H67" t="s">
        <v>8507</v>
      </c>
      <c r="I67" t="s">
        <v>8045</v>
      </c>
    </row>
    <row r="68" spans="1:9" x14ac:dyDescent="0.3">
      <c r="A68" t="s">
        <v>514</v>
      </c>
      <c r="B68" t="s">
        <v>463</v>
      </c>
      <c r="C68" t="s">
        <v>135</v>
      </c>
      <c r="D68" t="s">
        <v>515</v>
      </c>
      <c r="E68" t="s">
        <v>7974</v>
      </c>
      <c r="F68" t="s">
        <v>1485</v>
      </c>
      <c r="G68" t="s">
        <v>7703</v>
      </c>
      <c r="H68" t="s">
        <v>8460</v>
      </c>
      <c r="I68" t="s">
        <v>7998</v>
      </c>
    </row>
    <row r="69" spans="1:9" x14ac:dyDescent="0.3">
      <c r="A69" t="s">
        <v>516</v>
      </c>
      <c r="B69" t="s">
        <v>463</v>
      </c>
      <c r="C69" t="s">
        <v>135</v>
      </c>
      <c r="D69" t="s">
        <v>517</v>
      </c>
      <c r="E69" t="s">
        <v>7974</v>
      </c>
      <c r="F69" t="s">
        <v>517</v>
      </c>
      <c r="G69" t="s">
        <v>7687</v>
      </c>
      <c r="H69" t="s">
        <v>8460</v>
      </c>
      <c r="I69" t="s">
        <v>7998</v>
      </c>
    </row>
    <row r="70" spans="1:9" x14ac:dyDescent="0.3">
      <c r="A70" t="s">
        <v>291</v>
      </c>
      <c r="B70" t="s">
        <v>292</v>
      </c>
      <c r="C70" t="s">
        <v>293</v>
      </c>
      <c r="D70" t="s">
        <v>295</v>
      </c>
      <c r="E70" t="s">
        <v>7974</v>
      </c>
      <c r="F70" t="s">
        <v>7395</v>
      </c>
      <c r="G70" t="s">
        <v>7399</v>
      </c>
      <c r="H70" t="s">
        <v>8452</v>
      </c>
      <c r="I70" t="s">
        <v>7990</v>
      </c>
    </row>
    <row r="71" spans="1:9" x14ac:dyDescent="0.3">
      <c r="A71" t="s">
        <v>1437</v>
      </c>
      <c r="B71" t="s">
        <v>1432</v>
      </c>
      <c r="C71" t="s">
        <v>1433</v>
      </c>
      <c r="D71" t="s">
        <v>1438</v>
      </c>
      <c r="E71" t="s">
        <v>7974</v>
      </c>
      <c r="F71" t="s">
        <v>1438</v>
      </c>
      <c r="G71" t="s">
        <v>7810</v>
      </c>
      <c r="H71" t="s">
        <v>8489</v>
      </c>
      <c r="I71" t="s">
        <v>8027</v>
      </c>
    </row>
    <row r="72" spans="1:9" x14ac:dyDescent="0.3">
      <c r="A72" t="s">
        <v>2899</v>
      </c>
      <c r="B72" t="s">
        <v>2891</v>
      </c>
      <c r="C72" t="s">
        <v>2758</v>
      </c>
      <c r="D72" t="s">
        <v>2901</v>
      </c>
      <c r="E72" t="s">
        <v>7974</v>
      </c>
      <c r="F72" t="s">
        <v>7541</v>
      </c>
      <c r="G72" t="s">
        <v>7900</v>
      </c>
      <c r="H72" t="s">
        <v>8553</v>
      </c>
      <c r="I72" t="s">
        <v>8093</v>
      </c>
    </row>
    <row r="73" spans="1:9" x14ac:dyDescent="0.3">
      <c r="A73" t="s">
        <v>1186</v>
      </c>
      <c r="B73" t="s">
        <v>1187</v>
      </c>
      <c r="C73" t="s">
        <v>1188</v>
      </c>
      <c r="D73" t="s">
        <v>1190</v>
      </c>
      <c r="E73" t="s">
        <v>7974</v>
      </c>
      <c r="F73" t="s">
        <v>1190</v>
      </c>
      <c r="G73" t="s">
        <v>7740</v>
      </c>
      <c r="H73" t="s">
        <v>8478</v>
      </c>
      <c r="I73" t="s">
        <v>8016</v>
      </c>
    </row>
    <row r="74" spans="1:9" x14ac:dyDescent="0.3">
      <c r="A74" t="s">
        <v>1204</v>
      </c>
      <c r="B74" t="s">
        <v>1187</v>
      </c>
      <c r="C74" t="s">
        <v>1188</v>
      </c>
      <c r="D74" t="s">
        <v>1205</v>
      </c>
      <c r="E74" t="s">
        <v>7974</v>
      </c>
      <c r="F74" t="s">
        <v>1205</v>
      </c>
      <c r="G74" t="s">
        <v>7742</v>
      </c>
      <c r="H74" t="s">
        <v>8478</v>
      </c>
      <c r="I74" t="s">
        <v>8016</v>
      </c>
    </row>
    <row r="75" spans="1:9" x14ac:dyDescent="0.3">
      <c r="A75" t="s">
        <v>1382</v>
      </c>
      <c r="B75" t="s">
        <v>1374</v>
      </c>
      <c r="C75" t="s">
        <v>1380</v>
      </c>
      <c r="D75" t="s">
        <v>1384</v>
      </c>
      <c r="E75" t="s">
        <v>7974</v>
      </c>
      <c r="F75" t="s">
        <v>7528</v>
      </c>
      <c r="G75" t="s">
        <v>7805</v>
      </c>
      <c r="H75" t="s">
        <v>8486</v>
      </c>
      <c r="I75" t="s">
        <v>8024</v>
      </c>
    </row>
    <row r="76" spans="1:9" x14ac:dyDescent="0.3">
      <c r="D76" t="s">
        <v>1389</v>
      </c>
      <c r="E76" t="s">
        <v>7974</v>
      </c>
      <c r="F76" t="s">
        <v>7528</v>
      </c>
      <c r="G76" t="s">
        <v>7805</v>
      </c>
      <c r="H76" t="s">
        <v>8486</v>
      </c>
      <c r="I76" t="s">
        <v>8024</v>
      </c>
    </row>
    <row r="77" spans="1:9" x14ac:dyDescent="0.3">
      <c r="A77" t="s">
        <v>824</v>
      </c>
      <c r="B77" t="s">
        <v>820</v>
      </c>
      <c r="C77" t="s">
        <v>12</v>
      </c>
      <c r="D77" t="s">
        <v>7974</v>
      </c>
      <c r="E77" t="s">
        <v>7974</v>
      </c>
      <c r="F77" t="s">
        <v>6514</v>
      </c>
      <c r="G77" t="s">
        <v>7749</v>
      </c>
      <c r="H77" t="s">
        <v>8466</v>
      </c>
      <c r="I77" t="s">
        <v>8004</v>
      </c>
    </row>
    <row r="78" spans="1:9" x14ac:dyDescent="0.3">
      <c r="A78" t="s">
        <v>819</v>
      </c>
      <c r="B78" t="s">
        <v>820</v>
      </c>
      <c r="C78" t="s">
        <v>12</v>
      </c>
      <c r="D78" t="s">
        <v>822</v>
      </c>
      <c r="E78" t="s">
        <v>7974</v>
      </c>
      <c r="F78" t="s">
        <v>6514</v>
      </c>
      <c r="G78" t="s">
        <v>7749</v>
      </c>
      <c r="H78" t="s">
        <v>8466</v>
      </c>
      <c r="I78" t="s">
        <v>8004</v>
      </c>
    </row>
    <row r="79" spans="1:9" x14ac:dyDescent="0.3">
      <c r="A79" t="s">
        <v>4207</v>
      </c>
      <c r="B79" t="s">
        <v>4201</v>
      </c>
      <c r="C79" t="s">
        <v>1891</v>
      </c>
      <c r="D79" t="s">
        <v>4209</v>
      </c>
      <c r="E79" t="s">
        <v>7974</v>
      </c>
      <c r="F79" t="s">
        <v>4209</v>
      </c>
      <c r="G79" t="s">
        <v>7766</v>
      </c>
      <c r="H79" t="s">
        <v>8428</v>
      </c>
      <c r="I79" t="s">
        <v>8429</v>
      </c>
    </row>
    <row r="80" spans="1:9" x14ac:dyDescent="0.3">
      <c r="A80" t="s">
        <v>782</v>
      </c>
      <c r="B80" t="s">
        <v>769</v>
      </c>
      <c r="C80" t="s">
        <v>770</v>
      </c>
      <c r="D80" t="s">
        <v>784</v>
      </c>
      <c r="E80" t="s">
        <v>7974</v>
      </c>
      <c r="F80" t="s">
        <v>2089</v>
      </c>
      <c r="G80" t="s">
        <v>7745</v>
      </c>
      <c r="H80" t="s">
        <v>8465</v>
      </c>
      <c r="I80" t="s">
        <v>8003</v>
      </c>
    </row>
    <row r="81" spans="1:9" x14ac:dyDescent="0.3">
      <c r="A81" t="s">
        <v>1460</v>
      </c>
      <c r="B81" t="s">
        <v>1440</v>
      </c>
      <c r="C81" t="s">
        <v>1461</v>
      </c>
      <c r="D81" t="s">
        <v>1463</v>
      </c>
      <c r="E81" t="s">
        <v>7974</v>
      </c>
      <c r="F81" t="s">
        <v>1463</v>
      </c>
      <c r="G81" t="s">
        <v>7683</v>
      </c>
      <c r="H81" t="s">
        <v>8490</v>
      </c>
      <c r="I81" t="s">
        <v>8028</v>
      </c>
    </row>
    <row r="82" spans="1:9" x14ac:dyDescent="0.3">
      <c r="A82" t="s">
        <v>1465</v>
      </c>
      <c r="B82" t="s">
        <v>1440</v>
      </c>
      <c r="C82" t="s">
        <v>8</v>
      </c>
      <c r="D82" t="s">
        <v>1455</v>
      </c>
      <c r="E82" t="s">
        <v>7974</v>
      </c>
      <c r="F82" t="s">
        <v>1395</v>
      </c>
      <c r="G82" t="s">
        <v>7808</v>
      </c>
      <c r="H82" t="s">
        <v>8490</v>
      </c>
      <c r="I82" t="s">
        <v>8028</v>
      </c>
    </row>
    <row r="83" spans="1:9" x14ac:dyDescent="0.3">
      <c r="A83" t="s">
        <v>1449</v>
      </c>
      <c r="B83" t="s">
        <v>1440</v>
      </c>
      <c r="C83" t="s">
        <v>8</v>
      </c>
      <c r="D83" t="s">
        <v>1451</v>
      </c>
      <c r="E83" t="s">
        <v>7974</v>
      </c>
      <c r="F83" t="s">
        <v>1505</v>
      </c>
      <c r="G83" t="s">
        <v>7812</v>
      </c>
      <c r="H83" t="s">
        <v>8490</v>
      </c>
      <c r="I83" t="s">
        <v>8028</v>
      </c>
    </row>
    <row r="84" spans="1:9" x14ac:dyDescent="0.3">
      <c r="A84" t="s">
        <v>1453</v>
      </c>
      <c r="B84" t="s">
        <v>1440</v>
      </c>
      <c r="C84" t="s">
        <v>8</v>
      </c>
      <c r="D84" t="s">
        <v>1454</v>
      </c>
      <c r="E84" t="s">
        <v>7974</v>
      </c>
      <c r="F84" t="s">
        <v>1454</v>
      </c>
      <c r="G84" t="s">
        <v>7813</v>
      </c>
      <c r="H84" t="s">
        <v>8490</v>
      </c>
      <c r="I84" t="s">
        <v>8028</v>
      </c>
    </row>
    <row r="85" spans="1:9" x14ac:dyDescent="0.3">
      <c r="A85" t="s">
        <v>5127</v>
      </c>
      <c r="B85" t="s">
        <v>5113</v>
      </c>
      <c r="C85" t="s">
        <v>95</v>
      </c>
      <c r="D85" t="s">
        <v>5129</v>
      </c>
      <c r="E85" t="s">
        <v>7974</v>
      </c>
      <c r="F85" t="s">
        <v>7567</v>
      </c>
      <c r="G85" t="s">
        <v>7959</v>
      </c>
      <c r="H85" t="s">
        <v>8661</v>
      </c>
      <c r="I85" t="s">
        <v>8201</v>
      </c>
    </row>
    <row r="86" spans="1:9" x14ac:dyDescent="0.3">
      <c r="A86" t="s">
        <v>2450</v>
      </c>
      <c r="B86" t="s">
        <v>2425</v>
      </c>
      <c r="C86" t="s">
        <v>770</v>
      </c>
      <c r="D86" t="s">
        <v>2452</v>
      </c>
      <c r="E86" t="s">
        <v>7974</v>
      </c>
      <c r="F86" t="s">
        <v>7536</v>
      </c>
      <c r="G86" t="s">
        <v>7871</v>
      </c>
      <c r="H86" t="s">
        <v>8535</v>
      </c>
      <c r="I86" t="s">
        <v>8074</v>
      </c>
    </row>
    <row r="87" spans="1:9" x14ac:dyDescent="0.3">
      <c r="D87" t="s">
        <v>2456</v>
      </c>
      <c r="E87" t="s">
        <v>7974</v>
      </c>
      <c r="F87" t="s">
        <v>7536</v>
      </c>
      <c r="G87" t="s">
        <v>7871</v>
      </c>
      <c r="H87" t="s">
        <v>8535</v>
      </c>
      <c r="I87" t="s">
        <v>8074</v>
      </c>
    </row>
    <row r="88" spans="1:9" x14ac:dyDescent="0.3">
      <c r="A88" t="s">
        <v>2443</v>
      </c>
      <c r="B88" t="s">
        <v>2425</v>
      </c>
      <c r="C88" t="s">
        <v>770</v>
      </c>
      <c r="D88" t="s">
        <v>2445</v>
      </c>
      <c r="E88" t="s">
        <v>7974</v>
      </c>
      <c r="F88" t="s">
        <v>7535</v>
      </c>
      <c r="G88" t="s">
        <v>7870</v>
      </c>
      <c r="H88" t="s">
        <v>8535</v>
      </c>
      <c r="I88" t="s">
        <v>8074</v>
      </c>
    </row>
    <row r="89" spans="1:9" x14ac:dyDescent="0.3">
      <c r="A89" t="s">
        <v>2457</v>
      </c>
      <c r="B89" t="s">
        <v>2425</v>
      </c>
      <c r="C89" t="s">
        <v>770</v>
      </c>
      <c r="D89" t="s">
        <v>2458</v>
      </c>
      <c r="E89" t="s">
        <v>7974</v>
      </c>
      <c r="F89" t="s">
        <v>2458</v>
      </c>
      <c r="G89" t="s">
        <v>7672</v>
      </c>
      <c r="H89" t="s">
        <v>8535</v>
      </c>
      <c r="I89" t="s">
        <v>8074</v>
      </c>
    </row>
    <row r="90" spans="1:9" x14ac:dyDescent="0.3">
      <c r="A90" t="s">
        <v>4370</v>
      </c>
      <c r="B90" t="s">
        <v>4363</v>
      </c>
      <c r="C90" t="s">
        <v>308</v>
      </c>
      <c r="D90" t="s">
        <v>4371</v>
      </c>
      <c r="E90" t="s">
        <v>7974</v>
      </c>
      <c r="F90" t="s">
        <v>4371</v>
      </c>
      <c r="G90" t="s">
        <v>7702</v>
      </c>
      <c r="H90" t="s">
        <v>8617</v>
      </c>
      <c r="I90" t="s">
        <v>8158</v>
      </c>
    </row>
    <row r="91" spans="1:9" x14ac:dyDescent="0.3">
      <c r="A91" t="s">
        <v>2551</v>
      </c>
      <c r="B91" t="s">
        <v>2546</v>
      </c>
      <c r="C91" t="s">
        <v>2547</v>
      </c>
      <c r="D91" t="s">
        <v>2552</v>
      </c>
      <c r="E91" t="s">
        <v>7974</v>
      </c>
      <c r="F91" t="s">
        <v>2552</v>
      </c>
      <c r="G91" t="s">
        <v>7811</v>
      </c>
      <c r="H91" t="s">
        <v>8540</v>
      </c>
      <c r="I91" t="s">
        <v>8079</v>
      </c>
    </row>
    <row r="92" spans="1:9" x14ac:dyDescent="0.3">
      <c r="A92" t="s">
        <v>2676</v>
      </c>
      <c r="B92" t="s">
        <v>2659</v>
      </c>
      <c r="C92" t="s">
        <v>1343</v>
      </c>
      <c r="D92" t="s">
        <v>2678</v>
      </c>
      <c r="E92" t="s">
        <v>7974</v>
      </c>
      <c r="F92" t="s">
        <v>2678</v>
      </c>
      <c r="G92" t="s">
        <v>7890</v>
      </c>
      <c r="H92" t="s">
        <v>8542</v>
      </c>
      <c r="I92" t="s">
        <v>8081</v>
      </c>
    </row>
    <row r="93" spans="1:9" x14ac:dyDescent="0.3">
      <c r="A93" t="s">
        <v>10</v>
      </c>
      <c r="B93" t="s">
        <v>11</v>
      </c>
      <c r="C93" t="s">
        <v>12</v>
      </c>
      <c r="D93" t="s">
        <v>14</v>
      </c>
      <c r="E93" t="s">
        <v>7974</v>
      </c>
      <c r="F93" t="s">
        <v>7341</v>
      </c>
      <c r="G93" t="s">
        <v>7340</v>
      </c>
      <c r="H93" t="s">
        <v>8440</v>
      </c>
      <c r="I93" t="s">
        <v>7977</v>
      </c>
    </row>
    <row r="94" spans="1:9" x14ac:dyDescent="0.3">
      <c r="A94" t="s">
        <v>2424</v>
      </c>
      <c r="B94" t="s">
        <v>2425</v>
      </c>
      <c r="C94" t="s">
        <v>770</v>
      </c>
      <c r="D94" t="s">
        <v>2427</v>
      </c>
      <c r="E94" t="s">
        <v>7974</v>
      </c>
      <c r="F94" t="s">
        <v>2427</v>
      </c>
      <c r="G94" t="s">
        <v>7872</v>
      </c>
      <c r="H94" t="s">
        <v>8535</v>
      </c>
      <c r="I94" t="s">
        <v>8074</v>
      </c>
    </row>
    <row r="95" spans="1:9" x14ac:dyDescent="0.3">
      <c r="A95" t="s">
        <v>4273</v>
      </c>
      <c r="B95" t="s">
        <v>4274</v>
      </c>
      <c r="C95" t="s">
        <v>4275</v>
      </c>
      <c r="D95" t="s">
        <v>4277</v>
      </c>
      <c r="E95" t="s">
        <v>7974</v>
      </c>
      <c r="F95" t="s">
        <v>7561</v>
      </c>
      <c r="G95" t="s">
        <v>7942</v>
      </c>
      <c r="H95" t="s">
        <v>8609</v>
      </c>
      <c r="I95" t="s">
        <v>8150</v>
      </c>
    </row>
    <row r="96" spans="1:9" x14ac:dyDescent="0.3">
      <c r="A96" t="s">
        <v>1294</v>
      </c>
      <c r="B96" t="s">
        <v>1284</v>
      </c>
      <c r="C96" t="s">
        <v>1285</v>
      </c>
      <c r="D96" t="s">
        <v>1296</v>
      </c>
      <c r="E96" t="s">
        <v>7974</v>
      </c>
      <c r="F96" t="s">
        <v>7527</v>
      </c>
      <c r="G96" t="s">
        <v>7798</v>
      </c>
      <c r="H96" t="s">
        <v>8483</v>
      </c>
      <c r="I96" t="s">
        <v>8021</v>
      </c>
    </row>
    <row r="97" spans="1:9" x14ac:dyDescent="0.3">
      <c r="A97" t="s">
        <v>1563</v>
      </c>
      <c r="B97" t="s">
        <v>1558</v>
      </c>
      <c r="C97" t="s">
        <v>1559</v>
      </c>
      <c r="D97" t="s">
        <v>1629</v>
      </c>
      <c r="E97" t="s">
        <v>7974</v>
      </c>
      <c r="F97" t="s">
        <v>1629</v>
      </c>
      <c r="G97" t="s">
        <v>7671</v>
      </c>
      <c r="H97" t="s">
        <v>8494</v>
      </c>
      <c r="I97" t="s">
        <v>8032</v>
      </c>
    </row>
    <row r="98" spans="1:9" x14ac:dyDescent="0.3">
      <c r="A98" t="s">
        <v>4461</v>
      </c>
      <c r="B98" t="s">
        <v>4453</v>
      </c>
      <c r="C98" t="s">
        <v>4454</v>
      </c>
      <c r="D98" t="s">
        <v>4462</v>
      </c>
      <c r="E98" t="s">
        <v>7974</v>
      </c>
      <c r="F98" t="s">
        <v>4462</v>
      </c>
      <c r="G98" t="s">
        <v>7908</v>
      </c>
      <c r="H98" t="s">
        <v>8622</v>
      </c>
      <c r="I98" t="s">
        <v>8162</v>
      </c>
    </row>
    <row r="99" spans="1:9" x14ac:dyDescent="0.3">
      <c r="A99" t="s">
        <v>1621</v>
      </c>
      <c r="B99" t="s">
        <v>1558</v>
      </c>
      <c r="C99" t="s">
        <v>1559</v>
      </c>
      <c r="D99" t="s">
        <v>1636</v>
      </c>
      <c r="E99" t="s">
        <v>7974</v>
      </c>
      <c r="F99" t="s">
        <v>1636</v>
      </c>
      <c r="G99" t="s">
        <v>7818</v>
      </c>
      <c r="H99" t="s">
        <v>8494</v>
      </c>
      <c r="I99" t="s">
        <v>8032</v>
      </c>
    </row>
    <row r="100" spans="1:9" x14ac:dyDescent="0.3">
      <c r="A100" t="s">
        <v>1609</v>
      </c>
      <c r="B100" t="s">
        <v>1558</v>
      </c>
      <c r="C100" t="s">
        <v>1559</v>
      </c>
      <c r="D100" t="s">
        <v>1622</v>
      </c>
      <c r="E100" t="s">
        <v>7974</v>
      </c>
      <c r="F100" t="s">
        <v>7468</v>
      </c>
      <c r="G100" t="s">
        <v>7821</v>
      </c>
      <c r="H100" t="s">
        <v>8494</v>
      </c>
      <c r="I100" t="s">
        <v>8032</v>
      </c>
    </row>
    <row r="101" spans="1:9" x14ac:dyDescent="0.3">
      <c r="A101" t="s">
        <v>3724</v>
      </c>
      <c r="B101" t="s">
        <v>3718</v>
      </c>
      <c r="C101" t="s">
        <v>3719</v>
      </c>
      <c r="D101" t="s">
        <v>3726</v>
      </c>
      <c r="E101" t="s">
        <v>7974</v>
      </c>
      <c r="F101" t="s">
        <v>7551</v>
      </c>
      <c r="G101" t="s">
        <v>7933</v>
      </c>
      <c r="H101" t="s">
        <v>8589</v>
      </c>
      <c r="I101" t="s">
        <v>8131</v>
      </c>
    </row>
    <row r="102" spans="1:9" x14ac:dyDescent="0.3">
      <c r="A102" t="s">
        <v>4919</v>
      </c>
      <c r="B102" t="s">
        <v>4920</v>
      </c>
      <c r="C102" t="s">
        <v>1415</v>
      </c>
      <c r="D102" t="s">
        <v>4922</v>
      </c>
      <c r="E102" t="s">
        <v>7974</v>
      </c>
      <c r="F102" t="s">
        <v>4983</v>
      </c>
      <c r="G102" t="s">
        <v>7954</v>
      </c>
      <c r="H102" t="s">
        <v>8643</v>
      </c>
      <c r="I102" t="s">
        <v>8184</v>
      </c>
    </row>
    <row r="103" spans="1:9" x14ac:dyDescent="0.3">
      <c r="A103" t="s">
        <v>5338</v>
      </c>
      <c r="B103" t="s">
        <v>5335</v>
      </c>
      <c r="C103" t="s">
        <v>135</v>
      </c>
      <c r="D103" t="s">
        <v>5340</v>
      </c>
      <c r="E103" t="s">
        <v>7974</v>
      </c>
      <c r="F103" t="s">
        <v>7569</v>
      </c>
      <c r="G103" t="s">
        <v>7963</v>
      </c>
      <c r="H103" t="s">
        <v>8460</v>
      </c>
      <c r="I103" t="s">
        <v>7998</v>
      </c>
    </row>
    <row r="104" spans="1:9" x14ac:dyDescent="0.3">
      <c r="A104" t="s">
        <v>2463</v>
      </c>
      <c r="B104" t="s">
        <v>2425</v>
      </c>
      <c r="C104" t="s">
        <v>770</v>
      </c>
      <c r="D104" t="s">
        <v>2465</v>
      </c>
      <c r="E104" t="s">
        <v>7974</v>
      </c>
      <c r="F104" t="s">
        <v>2465</v>
      </c>
      <c r="G104" t="s">
        <v>7717</v>
      </c>
      <c r="H104" t="s">
        <v>8535</v>
      </c>
      <c r="I104" t="s">
        <v>8074</v>
      </c>
    </row>
    <row r="105" spans="1:9" x14ac:dyDescent="0.3">
      <c r="A105" t="s">
        <v>2232</v>
      </c>
      <c r="B105" t="s">
        <v>2229</v>
      </c>
      <c r="C105" t="s">
        <v>2233</v>
      </c>
      <c r="D105" t="s">
        <v>2235</v>
      </c>
      <c r="E105" t="s">
        <v>7974</v>
      </c>
      <c r="F105" t="s">
        <v>2235</v>
      </c>
      <c r="G105" t="s">
        <v>7761</v>
      </c>
      <c r="H105" t="s">
        <v>8526</v>
      </c>
      <c r="I105" t="s">
        <v>8065</v>
      </c>
    </row>
    <row r="106" spans="1:9" x14ac:dyDescent="0.3">
      <c r="A106" t="s">
        <v>871</v>
      </c>
      <c r="B106" t="s">
        <v>831</v>
      </c>
      <c r="C106" t="s">
        <v>770</v>
      </c>
      <c r="D106" t="s">
        <v>873</v>
      </c>
      <c r="E106" t="s">
        <v>7974</v>
      </c>
      <c r="F106" t="s">
        <v>873</v>
      </c>
      <c r="G106" t="s">
        <v>7714</v>
      </c>
      <c r="H106" t="s">
        <v>8467</v>
      </c>
      <c r="I106" t="s">
        <v>8005</v>
      </c>
    </row>
    <row r="107" spans="1:9" x14ac:dyDescent="0.3">
      <c r="A107" t="s">
        <v>4874</v>
      </c>
      <c r="B107" t="s">
        <v>4870</v>
      </c>
      <c r="C107" t="s">
        <v>2483</v>
      </c>
      <c r="D107" t="s">
        <v>4876</v>
      </c>
      <c r="E107" t="s">
        <v>7974</v>
      </c>
      <c r="F107" t="s">
        <v>7563</v>
      </c>
      <c r="G107" t="s">
        <v>7953</v>
      </c>
      <c r="H107" t="s">
        <v>8641</v>
      </c>
      <c r="I107" t="s">
        <v>8182</v>
      </c>
    </row>
    <row r="108" spans="1:9" x14ac:dyDescent="0.3">
      <c r="A108" t="s">
        <v>4881</v>
      </c>
      <c r="B108" t="s">
        <v>4870</v>
      </c>
      <c r="C108" t="s">
        <v>2483</v>
      </c>
      <c r="D108" t="s">
        <v>4882</v>
      </c>
      <c r="E108" t="s">
        <v>7974</v>
      </c>
      <c r="F108" t="s">
        <v>4882</v>
      </c>
      <c r="G108" t="s">
        <v>7685</v>
      </c>
      <c r="H108" t="s">
        <v>8641</v>
      </c>
      <c r="I108" t="s">
        <v>8182</v>
      </c>
    </row>
    <row r="109" spans="1:9" x14ac:dyDescent="0.3">
      <c r="A109" t="s">
        <v>4869</v>
      </c>
      <c r="B109" t="s">
        <v>4870</v>
      </c>
      <c r="C109" t="s">
        <v>2483</v>
      </c>
      <c r="D109" t="s">
        <v>4872</v>
      </c>
      <c r="E109" t="s">
        <v>7974</v>
      </c>
      <c r="F109" t="s">
        <v>815</v>
      </c>
      <c r="G109" t="s">
        <v>7748</v>
      </c>
      <c r="H109" t="s">
        <v>8641</v>
      </c>
      <c r="I109" t="s">
        <v>8182</v>
      </c>
    </row>
    <row r="110" spans="1:9" x14ac:dyDescent="0.3">
      <c r="A110" t="s">
        <v>4884</v>
      </c>
      <c r="B110" t="s">
        <v>4870</v>
      </c>
      <c r="C110" t="s">
        <v>2483</v>
      </c>
      <c r="D110" t="s">
        <v>4885</v>
      </c>
      <c r="E110" t="s">
        <v>7974</v>
      </c>
      <c r="F110" t="s">
        <v>4885</v>
      </c>
      <c r="G110" t="s">
        <v>7950</v>
      </c>
      <c r="H110" t="s">
        <v>8641</v>
      </c>
      <c r="I110" t="s">
        <v>8182</v>
      </c>
    </row>
    <row r="111" spans="1:9" x14ac:dyDescent="0.3">
      <c r="A111" t="s">
        <v>5341</v>
      </c>
      <c r="B111" t="s">
        <v>5335</v>
      </c>
      <c r="C111" t="s">
        <v>135</v>
      </c>
      <c r="D111" t="s">
        <v>5342</v>
      </c>
      <c r="E111" t="s">
        <v>7974</v>
      </c>
      <c r="F111" t="s">
        <v>6222</v>
      </c>
      <c r="G111" t="s">
        <v>7962</v>
      </c>
      <c r="H111" t="s">
        <v>8460</v>
      </c>
      <c r="I111" t="s">
        <v>7998</v>
      </c>
    </row>
    <row r="112" spans="1:9" x14ac:dyDescent="0.3">
      <c r="A112" t="s">
        <v>1405</v>
      </c>
      <c r="B112" t="s">
        <v>1392</v>
      </c>
      <c r="C112" t="s">
        <v>1393</v>
      </c>
      <c r="D112" t="s">
        <v>1406</v>
      </c>
      <c r="E112" t="s">
        <v>7974</v>
      </c>
      <c r="F112" t="s">
        <v>7529</v>
      </c>
      <c r="G112" t="s">
        <v>7806</v>
      </c>
      <c r="H112" t="s">
        <v>8487</v>
      </c>
      <c r="I112" t="s">
        <v>8025</v>
      </c>
    </row>
    <row r="113" spans="1:9" x14ac:dyDescent="0.3">
      <c r="A113" t="s">
        <v>1391</v>
      </c>
      <c r="B113" t="s">
        <v>1392</v>
      </c>
      <c r="C113" t="s">
        <v>1393</v>
      </c>
      <c r="D113" t="s">
        <v>1395</v>
      </c>
      <c r="E113" t="s">
        <v>7974</v>
      </c>
      <c r="F113" t="s">
        <v>1395</v>
      </c>
      <c r="G113" t="s">
        <v>7808</v>
      </c>
      <c r="H113" t="s">
        <v>8487</v>
      </c>
      <c r="I113" t="s">
        <v>8025</v>
      </c>
    </row>
    <row r="114" spans="1:9" x14ac:dyDescent="0.3">
      <c r="A114" t="s">
        <v>2576</v>
      </c>
      <c r="B114" t="s">
        <v>2573</v>
      </c>
      <c r="C114" t="s">
        <v>2316</v>
      </c>
      <c r="D114" t="s">
        <v>2578</v>
      </c>
      <c r="E114" t="s">
        <v>7974</v>
      </c>
      <c r="F114" t="s">
        <v>7539</v>
      </c>
      <c r="G114" t="s">
        <v>7883</v>
      </c>
      <c r="H114" t="s">
        <v>8541</v>
      </c>
      <c r="I114" t="s">
        <v>8080</v>
      </c>
    </row>
    <row r="115" spans="1:9" x14ac:dyDescent="0.3">
      <c r="A115" t="s">
        <v>4355</v>
      </c>
      <c r="B115" t="s">
        <v>4351</v>
      </c>
      <c r="C115" t="s">
        <v>2316</v>
      </c>
      <c r="D115" t="s">
        <v>4357</v>
      </c>
      <c r="E115" t="s">
        <v>7974</v>
      </c>
      <c r="F115" t="s">
        <v>7562</v>
      </c>
      <c r="G115" t="s">
        <v>7943</v>
      </c>
      <c r="H115" t="s">
        <v>8616</v>
      </c>
      <c r="I115" t="s">
        <v>8157</v>
      </c>
    </row>
    <row r="116" spans="1:9" x14ac:dyDescent="0.3">
      <c r="A116" t="s">
        <v>2624</v>
      </c>
      <c r="B116" t="s">
        <v>2573</v>
      </c>
      <c r="C116" t="s">
        <v>2316</v>
      </c>
      <c r="D116" t="s">
        <v>2338</v>
      </c>
      <c r="E116" t="s">
        <v>7974</v>
      </c>
      <c r="F116" t="s">
        <v>2338</v>
      </c>
      <c r="G116" t="s">
        <v>7756</v>
      </c>
      <c r="H116" t="s">
        <v>8541</v>
      </c>
      <c r="I116" t="s">
        <v>8080</v>
      </c>
    </row>
    <row r="117" spans="1:9" x14ac:dyDescent="0.3">
      <c r="A117" t="s">
        <v>2749</v>
      </c>
      <c r="B117" t="s">
        <v>2750</v>
      </c>
      <c r="C117" t="s">
        <v>2751</v>
      </c>
      <c r="D117" t="s">
        <v>2753</v>
      </c>
      <c r="E117" t="s">
        <v>7974</v>
      </c>
      <c r="F117" t="s">
        <v>7540</v>
      </c>
      <c r="G117" t="s">
        <v>7895</v>
      </c>
      <c r="H117" t="s">
        <v>8545</v>
      </c>
      <c r="I117" t="s">
        <v>8085</v>
      </c>
    </row>
    <row r="118" spans="1:9" x14ac:dyDescent="0.3">
      <c r="A118" t="s">
        <v>3079</v>
      </c>
      <c r="B118" t="s">
        <v>3074</v>
      </c>
      <c r="C118" t="s">
        <v>1188</v>
      </c>
      <c r="D118" t="s">
        <v>3081</v>
      </c>
      <c r="E118" t="s">
        <v>7974</v>
      </c>
      <c r="F118" t="s">
        <v>7543</v>
      </c>
      <c r="G118" t="s">
        <v>7911</v>
      </c>
      <c r="H118" t="s">
        <v>8478</v>
      </c>
      <c r="I118" t="s">
        <v>8106</v>
      </c>
    </row>
    <row r="119" spans="1:9" x14ac:dyDescent="0.3">
      <c r="A119" t="s">
        <v>3083</v>
      </c>
      <c r="B119" t="s">
        <v>3074</v>
      </c>
      <c r="C119" t="s">
        <v>1188</v>
      </c>
      <c r="D119" t="s">
        <v>3084</v>
      </c>
      <c r="E119" t="s">
        <v>7974</v>
      </c>
      <c r="F119" t="s">
        <v>3084</v>
      </c>
      <c r="G119" t="s">
        <v>7673</v>
      </c>
      <c r="H119" t="s">
        <v>8478</v>
      </c>
      <c r="I119" t="s">
        <v>8106</v>
      </c>
    </row>
    <row r="120" spans="1:9" x14ac:dyDescent="0.3">
      <c r="A120" t="s">
        <v>830</v>
      </c>
      <c r="B120" t="s">
        <v>831</v>
      </c>
      <c r="C120" t="s">
        <v>770</v>
      </c>
      <c r="D120" t="s">
        <v>7974</v>
      </c>
      <c r="E120" t="s">
        <v>7974</v>
      </c>
      <c r="F120" t="s">
        <v>5137</v>
      </c>
      <c r="G120" t="s">
        <v>7751</v>
      </c>
      <c r="H120" t="s">
        <v>8467</v>
      </c>
      <c r="I120" t="s">
        <v>8005</v>
      </c>
    </row>
    <row r="121" spans="1:9" x14ac:dyDescent="0.3">
      <c r="A121" t="s">
        <v>2731</v>
      </c>
      <c r="B121" t="s">
        <v>2720</v>
      </c>
      <c r="C121" t="s">
        <v>2726</v>
      </c>
      <c r="D121" t="s">
        <v>2732</v>
      </c>
      <c r="E121" t="s">
        <v>7974</v>
      </c>
      <c r="F121" t="s">
        <v>2732</v>
      </c>
      <c r="G121" t="s">
        <v>7738</v>
      </c>
      <c r="H121" t="s">
        <v>8544</v>
      </c>
      <c r="I121" t="s">
        <v>8084</v>
      </c>
    </row>
    <row r="122" spans="1:9" x14ac:dyDescent="0.3">
      <c r="A122" t="s">
        <v>5502</v>
      </c>
      <c r="B122" t="s">
        <v>5483</v>
      </c>
      <c r="C122" t="s">
        <v>5484</v>
      </c>
      <c r="D122" t="s">
        <v>5503</v>
      </c>
      <c r="E122" t="s">
        <v>7974</v>
      </c>
      <c r="F122" t="s">
        <v>5503</v>
      </c>
      <c r="G122" t="s">
        <v>7758</v>
      </c>
      <c r="H122" t="s">
        <v>8688</v>
      </c>
      <c r="I122" t="s">
        <v>8228</v>
      </c>
    </row>
    <row r="123" spans="1:9" x14ac:dyDescent="0.3">
      <c r="A123" t="s">
        <v>4108</v>
      </c>
      <c r="B123" t="s">
        <v>4073</v>
      </c>
      <c r="C123" t="s">
        <v>2019</v>
      </c>
      <c r="D123" t="s">
        <v>4110</v>
      </c>
      <c r="E123" t="s">
        <v>7974</v>
      </c>
      <c r="F123" t="s">
        <v>7560</v>
      </c>
      <c r="G123" t="s">
        <v>7941</v>
      </c>
      <c r="H123" t="s">
        <v>8598</v>
      </c>
      <c r="I123" t="s">
        <v>8140</v>
      </c>
    </row>
    <row r="124" spans="1:9" x14ac:dyDescent="0.3">
      <c r="A124" t="s">
        <v>560</v>
      </c>
      <c r="B124" t="s">
        <v>561</v>
      </c>
      <c r="C124" t="s">
        <v>562</v>
      </c>
      <c r="D124" t="s">
        <v>7974</v>
      </c>
      <c r="E124" t="s">
        <v>7974</v>
      </c>
      <c r="F124" t="s">
        <v>810</v>
      </c>
      <c r="G124" t="s">
        <v>7710</v>
      </c>
      <c r="H124" t="s">
        <v>8461</v>
      </c>
      <c r="I124" t="s">
        <v>7999</v>
      </c>
    </row>
    <row r="125" spans="1:9" x14ac:dyDescent="0.3">
      <c r="A125" t="s">
        <v>5185</v>
      </c>
      <c r="B125" t="s">
        <v>5183</v>
      </c>
      <c r="C125" t="s">
        <v>3285</v>
      </c>
      <c r="D125" t="s">
        <v>5187</v>
      </c>
      <c r="E125" t="s">
        <v>7974</v>
      </c>
      <c r="F125" t="s">
        <v>5187</v>
      </c>
      <c r="G125" t="s">
        <v>7875</v>
      </c>
      <c r="H125" t="s">
        <v>8664</v>
      </c>
      <c r="I125" t="s">
        <v>8204</v>
      </c>
    </row>
    <row r="126" spans="1:9" x14ac:dyDescent="0.3">
      <c r="A126" t="s">
        <v>1445</v>
      </c>
      <c r="B126" t="s">
        <v>1440</v>
      </c>
      <c r="C126" t="s">
        <v>8</v>
      </c>
      <c r="D126" t="s">
        <v>1447</v>
      </c>
      <c r="E126" t="s">
        <v>7974</v>
      </c>
      <c r="F126" t="s">
        <v>2552</v>
      </c>
      <c r="G126" t="s">
        <v>7811</v>
      </c>
      <c r="H126" t="s">
        <v>8490</v>
      </c>
      <c r="I126" t="s">
        <v>8028</v>
      </c>
    </row>
    <row r="127" spans="1:9" x14ac:dyDescent="0.3">
      <c r="A127" t="s">
        <v>1457</v>
      </c>
      <c r="B127" t="s">
        <v>1440</v>
      </c>
      <c r="C127" t="s">
        <v>8</v>
      </c>
      <c r="D127" t="s">
        <v>1458</v>
      </c>
      <c r="E127" t="s">
        <v>7974</v>
      </c>
      <c r="F127" t="s">
        <v>1458</v>
      </c>
      <c r="G127" t="s">
        <v>7814</v>
      </c>
      <c r="H127" t="s">
        <v>8490</v>
      </c>
      <c r="I127" t="s">
        <v>8028</v>
      </c>
    </row>
    <row r="128" spans="1:9" x14ac:dyDescent="0.3">
      <c r="A128" t="s">
        <v>2529</v>
      </c>
      <c r="B128" t="s">
        <v>2518</v>
      </c>
      <c r="C128" t="s">
        <v>2519</v>
      </c>
      <c r="D128" t="s">
        <v>2530</v>
      </c>
      <c r="E128" t="s">
        <v>7974</v>
      </c>
      <c r="F128" t="s">
        <v>2530</v>
      </c>
      <c r="G128" t="s">
        <v>7762</v>
      </c>
      <c r="H128" t="s">
        <v>8539</v>
      </c>
      <c r="I128" t="s">
        <v>8078</v>
      </c>
    </row>
    <row r="129" spans="1:9" x14ac:dyDescent="0.3">
      <c r="A129" t="s">
        <v>3230</v>
      </c>
      <c r="B129" t="s">
        <v>3223</v>
      </c>
      <c r="C129" t="s">
        <v>2271</v>
      </c>
      <c r="D129" t="s">
        <v>3231</v>
      </c>
      <c r="E129" t="s">
        <v>7974</v>
      </c>
      <c r="F129" t="s">
        <v>3231</v>
      </c>
      <c r="G129" t="s">
        <v>7921</v>
      </c>
      <c r="H129" t="s">
        <v>8570</v>
      </c>
      <c r="I129" t="s">
        <v>8112</v>
      </c>
    </row>
    <row r="130" spans="1:9" x14ac:dyDescent="0.3">
      <c r="A130" t="s">
        <v>3227</v>
      </c>
      <c r="B130" t="s">
        <v>3223</v>
      </c>
      <c r="C130" t="s">
        <v>2271</v>
      </c>
      <c r="D130" t="s">
        <v>3228</v>
      </c>
      <c r="E130" t="s">
        <v>7974</v>
      </c>
      <c r="F130" t="s">
        <v>3228</v>
      </c>
      <c r="G130" t="s">
        <v>7920</v>
      </c>
      <c r="H130" t="s">
        <v>8570</v>
      </c>
      <c r="I130" t="s">
        <v>8112</v>
      </c>
    </row>
    <row r="131" spans="1:9" x14ac:dyDescent="0.3">
      <c r="A131" t="s">
        <v>1878</v>
      </c>
      <c r="B131" t="s">
        <v>1879</v>
      </c>
      <c r="C131" t="s">
        <v>1880</v>
      </c>
      <c r="D131" t="s">
        <v>1882</v>
      </c>
      <c r="E131" t="s">
        <v>7974</v>
      </c>
      <c r="F131" t="s">
        <v>3468</v>
      </c>
      <c r="G131" t="s">
        <v>7850</v>
      </c>
      <c r="H131" t="s">
        <v>8510</v>
      </c>
      <c r="I131" t="s">
        <v>8048</v>
      </c>
    </row>
    <row r="132" spans="1:9" x14ac:dyDescent="0.3">
      <c r="A132" t="s">
        <v>2709</v>
      </c>
      <c r="B132" t="s">
        <v>2697</v>
      </c>
      <c r="C132" t="s">
        <v>12</v>
      </c>
      <c r="D132" t="s">
        <v>2711</v>
      </c>
      <c r="E132" t="s">
        <v>7974</v>
      </c>
      <c r="F132" t="s">
        <v>2711</v>
      </c>
      <c r="G132" t="s">
        <v>7718</v>
      </c>
      <c r="H132" t="s">
        <v>8543</v>
      </c>
      <c r="I132" t="s">
        <v>8083</v>
      </c>
    </row>
    <row r="133" spans="1:9" x14ac:dyDescent="0.3">
      <c r="A133" t="s">
        <v>3702</v>
      </c>
      <c r="B133" t="s">
        <v>3694</v>
      </c>
      <c r="C133" t="s">
        <v>1474</v>
      </c>
      <c r="D133" t="s">
        <v>3703</v>
      </c>
      <c r="E133" t="s">
        <v>7974</v>
      </c>
      <c r="F133" t="s">
        <v>3703</v>
      </c>
      <c r="G133" t="s">
        <v>7930</v>
      </c>
      <c r="H133" t="s">
        <v>8587</v>
      </c>
      <c r="I133" t="s">
        <v>8129</v>
      </c>
    </row>
    <row r="134" spans="1:9" x14ac:dyDescent="0.3">
      <c r="A134" t="s">
        <v>2937</v>
      </c>
      <c r="B134" t="s">
        <v>2923</v>
      </c>
      <c r="C134" t="s">
        <v>12</v>
      </c>
      <c r="D134" t="s">
        <v>2939</v>
      </c>
      <c r="E134" t="s">
        <v>7974</v>
      </c>
      <c r="F134" t="s">
        <v>7542</v>
      </c>
      <c r="G134" t="s">
        <v>7901</v>
      </c>
      <c r="H134" t="s">
        <v>8555</v>
      </c>
      <c r="I134" t="s">
        <v>8095</v>
      </c>
    </row>
    <row r="135" spans="1:9" x14ac:dyDescent="0.3">
      <c r="A135" t="s">
        <v>2922</v>
      </c>
      <c r="B135" t="s">
        <v>2923</v>
      </c>
      <c r="C135" t="s">
        <v>12</v>
      </c>
      <c r="D135" t="s">
        <v>2925</v>
      </c>
      <c r="E135" t="s">
        <v>7974</v>
      </c>
      <c r="F135" t="s">
        <v>2925</v>
      </c>
      <c r="G135" t="s">
        <v>7719</v>
      </c>
      <c r="H135" t="s">
        <v>8555</v>
      </c>
      <c r="I135" t="s">
        <v>8095</v>
      </c>
    </row>
    <row r="136" spans="1:9" x14ac:dyDescent="0.3">
      <c r="A136" t="s">
        <v>4878</v>
      </c>
      <c r="B136" t="s">
        <v>4870</v>
      </c>
      <c r="C136" t="s">
        <v>2483</v>
      </c>
      <c r="D136" t="s">
        <v>7608</v>
      </c>
      <c r="E136" t="s">
        <v>7974</v>
      </c>
      <c r="F136" t="s">
        <v>1849</v>
      </c>
      <c r="G136" t="s">
        <v>7848</v>
      </c>
      <c r="H136" t="s">
        <v>8641</v>
      </c>
      <c r="I136" t="s">
        <v>8182</v>
      </c>
    </row>
    <row r="137" spans="1:9" x14ac:dyDescent="0.3">
      <c r="A137" t="s">
        <v>4886</v>
      </c>
      <c r="B137" t="s">
        <v>4870</v>
      </c>
      <c r="C137" t="s">
        <v>2483</v>
      </c>
      <c r="D137" t="s">
        <v>4887</v>
      </c>
      <c r="E137" t="s">
        <v>7974</v>
      </c>
      <c r="F137" t="s">
        <v>4887</v>
      </c>
      <c r="G137" t="s">
        <v>7686</v>
      </c>
      <c r="H137" t="s">
        <v>8641</v>
      </c>
      <c r="I137" t="s">
        <v>8182</v>
      </c>
    </row>
    <row r="138" spans="1:9" x14ac:dyDescent="0.3">
      <c r="A138" t="s">
        <v>512</v>
      </c>
      <c r="B138" t="s">
        <v>463</v>
      </c>
      <c r="C138" t="s">
        <v>464</v>
      </c>
      <c r="D138" t="s">
        <v>7974</v>
      </c>
      <c r="E138" t="s">
        <v>7974</v>
      </c>
      <c r="F138" t="s">
        <v>4371</v>
      </c>
      <c r="G138" t="s">
        <v>7702</v>
      </c>
      <c r="H138" t="s">
        <v>8460</v>
      </c>
      <c r="I138" t="s">
        <v>7998</v>
      </c>
    </row>
    <row r="139" spans="1:9" x14ac:dyDescent="0.3">
      <c r="A139" t="s">
        <v>1114</v>
      </c>
      <c r="B139" t="s">
        <v>1069</v>
      </c>
      <c r="C139" t="s">
        <v>1070</v>
      </c>
      <c r="D139" t="s">
        <v>1116</v>
      </c>
      <c r="E139" t="s">
        <v>7974</v>
      </c>
      <c r="F139" t="s">
        <v>7523</v>
      </c>
      <c r="G139" t="s">
        <v>7783</v>
      </c>
      <c r="H139" t="s">
        <v>8473</v>
      </c>
      <c r="I139" t="s">
        <v>8011</v>
      </c>
    </row>
    <row r="140" spans="1:9" x14ac:dyDescent="0.3">
      <c r="A140" t="s">
        <v>1118</v>
      </c>
      <c r="B140" t="s">
        <v>1069</v>
      </c>
      <c r="C140" t="s">
        <v>1070</v>
      </c>
      <c r="D140" t="s">
        <v>1120</v>
      </c>
      <c r="E140" t="s">
        <v>7974</v>
      </c>
      <c r="F140" t="s">
        <v>7524</v>
      </c>
      <c r="G140" t="s">
        <v>7784</v>
      </c>
      <c r="H140" t="s">
        <v>8473</v>
      </c>
      <c r="I140" t="s">
        <v>8011</v>
      </c>
    </row>
    <row r="141" spans="1:9" x14ac:dyDescent="0.3">
      <c r="A141" t="s">
        <v>1121</v>
      </c>
      <c r="B141" t="s">
        <v>1069</v>
      </c>
      <c r="C141" t="s">
        <v>1070</v>
      </c>
      <c r="D141" t="s">
        <v>1122</v>
      </c>
      <c r="E141" t="s">
        <v>7974</v>
      </c>
      <c r="F141" t="s">
        <v>7525</v>
      </c>
      <c r="G141" t="s">
        <v>7785</v>
      </c>
      <c r="H141" t="s">
        <v>8473</v>
      </c>
      <c r="I141" t="s">
        <v>8011</v>
      </c>
    </row>
    <row r="142" spans="1:9" x14ac:dyDescent="0.3">
      <c r="A142" t="s">
        <v>4463</v>
      </c>
      <c r="B142" t="s">
        <v>4464</v>
      </c>
      <c r="C142" t="s">
        <v>452</v>
      </c>
      <c r="D142" t="s">
        <v>4466</v>
      </c>
      <c r="E142" t="s">
        <v>7974</v>
      </c>
      <c r="F142" t="s">
        <v>4466</v>
      </c>
      <c r="G142" t="s">
        <v>7945</v>
      </c>
      <c r="H142" t="s">
        <v>8623</v>
      </c>
      <c r="I142" t="s">
        <v>8163</v>
      </c>
    </row>
    <row r="143" spans="1:9" x14ac:dyDescent="0.3">
      <c r="A143" t="s">
        <v>4690</v>
      </c>
      <c r="B143" t="s">
        <v>4691</v>
      </c>
      <c r="C143" t="s">
        <v>1891</v>
      </c>
      <c r="D143" t="s">
        <v>4693</v>
      </c>
      <c r="E143" t="s">
        <v>7974</v>
      </c>
      <c r="F143" t="s">
        <v>4693</v>
      </c>
      <c r="G143" t="s">
        <v>7767</v>
      </c>
      <c r="H143" t="s">
        <v>8636</v>
      </c>
      <c r="I143" t="s">
        <v>8177</v>
      </c>
    </row>
    <row r="144" spans="1:9" x14ac:dyDescent="0.3">
      <c r="A144" t="s">
        <v>5493</v>
      </c>
      <c r="B144" t="s">
        <v>5483</v>
      </c>
      <c r="C144" t="s">
        <v>5484</v>
      </c>
      <c r="D144" t="s">
        <v>5495</v>
      </c>
      <c r="E144" t="s">
        <v>7974</v>
      </c>
      <c r="F144" t="s">
        <v>5495</v>
      </c>
      <c r="G144" t="s">
        <v>7944</v>
      </c>
      <c r="H144" t="s">
        <v>8688</v>
      </c>
      <c r="I144" t="s">
        <v>8228</v>
      </c>
    </row>
    <row r="145" spans="1:9" x14ac:dyDescent="0.3">
      <c r="A145" t="s">
        <v>3404</v>
      </c>
      <c r="B145" t="s">
        <v>3405</v>
      </c>
      <c r="C145" t="s">
        <v>3406</v>
      </c>
      <c r="D145" t="s">
        <v>3408</v>
      </c>
      <c r="E145" t="s">
        <v>7974</v>
      </c>
      <c r="F145" t="s">
        <v>3408</v>
      </c>
      <c r="G145" t="s">
        <v>7926</v>
      </c>
      <c r="H145" t="s">
        <v>8574</v>
      </c>
      <c r="I145" t="s">
        <v>8116</v>
      </c>
    </row>
    <row r="146" spans="1:9" x14ac:dyDescent="0.3">
      <c r="A146" t="s">
        <v>1155</v>
      </c>
      <c r="B146" t="s">
        <v>1145</v>
      </c>
      <c r="C146" t="s">
        <v>1146</v>
      </c>
      <c r="D146" t="s">
        <v>1158</v>
      </c>
      <c r="E146" t="s">
        <v>7974</v>
      </c>
      <c r="F146" t="s">
        <v>7442</v>
      </c>
      <c r="G146" t="s">
        <v>7790</v>
      </c>
      <c r="H146" t="s">
        <v>8476</v>
      </c>
      <c r="I146" t="s">
        <v>8014</v>
      </c>
    </row>
    <row r="147" spans="1:9" x14ac:dyDescent="0.3">
      <c r="A147" t="s">
        <v>2745</v>
      </c>
      <c r="B147" t="s">
        <v>2734</v>
      </c>
      <c r="C147" t="s">
        <v>1415</v>
      </c>
      <c r="D147" t="s">
        <v>2742</v>
      </c>
      <c r="E147" t="s">
        <v>7974</v>
      </c>
      <c r="F147" t="s">
        <v>3860</v>
      </c>
      <c r="G147" t="s">
        <v>7894</v>
      </c>
      <c r="H147" t="s">
        <v>8420</v>
      </c>
      <c r="I147" t="s">
        <v>8422</v>
      </c>
    </row>
    <row r="148" spans="1:9" x14ac:dyDescent="0.3">
      <c r="A148" t="s">
        <v>2738</v>
      </c>
      <c r="B148" t="s">
        <v>2734</v>
      </c>
      <c r="C148" t="s">
        <v>1415</v>
      </c>
      <c r="D148" t="s">
        <v>2740</v>
      </c>
      <c r="E148" t="s">
        <v>7974</v>
      </c>
      <c r="F148" t="s">
        <v>2740</v>
      </c>
      <c r="G148" t="s">
        <v>7893</v>
      </c>
      <c r="H148" t="s">
        <v>8420</v>
      </c>
      <c r="I148" t="s">
        <v>8422</v>
      </c>
    </row>
    <row r="149" spans="1:9" x14ac:dyDescent="0.3">
      <c r="A149" t="s">
        <v>3705</v>
      </c>
      <c r="B149" t="s">
        <v>3706</v>
      </c>
      <c r="C149" t="s">
        <v>3707</v>
      </c>
      <c r="D149" t="s">
        <v>3709</v>
      </c>
      <c r="E149" t="s">
        <v>7974</v>
      </c>
      <c r="F149" t="s">
        <v>7549</v>
      </c>
      <c r="G149" t="s">
        <v>7931</v>
      </c>
      <c r="H149" t="s">
        <v>8588</v>
      </c>
      <c r="I149" t="s">
        <v>8130</v>
      </c>
    </row>
    <row r="150" spans="1:9" x14ac:dyDescent="0.3">
      <c r="A150" t="s">
        <v>5681</v>
      </c>
      <c r="B150" t="s">
        <v>5682</v>
      </c>
      <c r="C150" t="s">
        <v>1901</v>
      </c>
      <c r="D150" t="s">
        <v>5684</v>
      </c>
      <c r="E150" t="s">
        <v>7974</v>
      </c>
      <c r="F150" t="s">
        <v>5684</v>
      </c>
      <c r="G150" t="s">
        <v>7755</v>
      </c>
      <c r="H150" t="s">
        <v>8706</v>
      </c>
      <c r="I150" t="s">
        <v>8246</v>
      </c>
    </row>
    <row r="151" spans="1:9" x14ac:dyDescent="0.3">
      <c r="A151" t="s">
        <v>3594</v>
      </c>
      <c r="B151" t="s">
        <v>3582</v>
      </c>
      <c r="C151" t="s">
        <v>3583</v>
      </c>
      <c r="D151" t="s">
        <v>3595</v>
      </c>
      <c r="E151" t="s">
        <v>7974</v>
      </c>
      <c r="F151" t="s">
        <v>3595</v>
      </c>
      <c r="G151" t="s">
        <v>7763</v>
      </c>
      <c r="H151" t="s">
        <v>8582</v>
      </c>
      <c r="I151" t="s">
        <v>8124</v>
      </c>
    </row>
    <row r="152" spans="1:9" x14ac:dyDescent="0.3">
      <c r="A152" t="s">
        <v>4932</v>
      </c>
      <c r="B152" t="s">
        <v>4924</v>
      </c>
      <c r="C152" t="s">
        <v>1474</v>
      </c>
      <c r="D152" t="s">
        <v>4933</v>
      </c>
      <c r="E152" t="s">
        <v>7974</v>
      </c>
      <c r="F152" t="s">
        <v>4933</v>
      </c>
      <c r="G152" t="s">
        <v>7955</v>
      </c>
      <c r="H152" t="s">
        <v>8644</v>
      </c>
      <c r="I152" t="s">
        <v>8129</v>
      </c>
    </row>
    <row r="153" spans="1:9" x14ac:dyDescent="0.3">
      <c r="A153" t="s">
        <v>1484</v>
      </c>
      <c r="B153" t="s">
        <v>1473</v>
      </c>
      <c r="C153" t="s">
        <v>1474</v>
      </c>
      <c r="D153" t="s">
        <v>1485</v>
      </c>
      <c r="E153" t="s">
        <v>7974</v>
      </c>
      <c r="F153" t="s">
        <v>1485</v>
      </c>
      <c r="G153" t="s">
        <v>7703</v>
      </c>
      <c r="H153" t="s">
        <v>8491</v>
      </c>
      <c r="I153" t="s">
        <v>8029</v>
      </c>
    </row>
    <row r="154" spans="1:9" x14ac:dyDescent="0.3">
      <c r="A154" t="s">
        <v>1504</v>
      </c>
      <c r="B154" t="s">
        <v>1500</v>
      </c>
      <c r="C154" t="s">
        <v>878</v>
      </c>
      <c r="D154" t="s">
        <v>1505</v>
      </c>
      <c r="E154" t="s">
        <v>7974</v>
      </c>
      <c r="F154" t="s">
        <v>1505</v>
      </c>
      <c r="G154" t="s">
        <v>7812</v>
      </c>
      <c r="H154" t="s">
        <v>8492</v>
      </c>
      <c r="I154" t="s">
        <v>8030</v>
      </c>
    </row>
    <row r="155" spans="1:9" x14ac:dyDescent="0.3">
      <c r="A155" t="s">
        <v>93</v>
      </c>
      <c r="B155" t="s">
        <v>94</v>
      </c>
      <c r="C155" t="s">
        <v>95</v>
      </c>
      <c r="D155" t="s">
        <v>97</v>
      </c>
      <c r="E155" t="s">
        <v>7974</v>
      </c>
      <c r="F155" t="s">
        <v>169</v>
      </c>
      <c r="G155" t="s">
        <v>7351</v>
      </c>
      <c r="H155" t="s">
        <v>8443</v>
      </c>
      <c r="I155" t="s">
        <v>7981</v>
      </c>
    </row>
    <row r="156" spans="1:9" x14ac:dyDescent="0.3">
      <c r="A156" t="s">
        <v>3044</v>
      </c>
      <c r="B156" t="s">
        <v>3037</v>
      </c>
      <c r="C156" t="s">
        <v>3038</v>
      </c>
      <c r="D156" t="s">
        <v>7611</v>
      </c>
      <c r="E156" t="s">
        <v>7974</v>
      </c>
      <c r="F156" t="s">
        <v>1438</v>
      </c>
      <c r="G156" t="s">
        <v>7810</v>
      </c>
      <c r="H156" t="s">
        <v>8563</v>
      </c>
      <c r="I156" t="s">
        <v>8103</v>
      </c>
    </row>
    <row r="157" spans="1:9" x14ac:dyDescent="0.3">
      <c r="A157" t="s">
        <v>3041</v>
      </c>
      <c r="B157" t="s">
        <v>3037</v>
      </c>
      <c r="C157" t="s">
        <v>3038</v>
      </c>
      <c r="D157" t="s">
        <v>7610</v>
      </c>
      <c r="E157" t="s">
        <v>7974</v>
      </c>
      <c r="F157" t="s">
        <v>4462</v>
      </c>
      <c r="G157" t="s">
        <v>7908</v>
      </c>
      <c r="H157" t="s">
        <v>8563</v>
      </c>
      <c r="I157" t="s">
        <v>8103</v>
      </c>
    </row>
    <row r="158" spans="1:9" x14ac:dyDescent="0.3">
      <c r="A158" t="s">
        <v>3036</v>
      </c>
      <c r="B158" t="s">
        <v>3037</v>
      </c>
      <c r="C158" t="s">
        <v>3038</v>
      </c>
      <c r="D158" t="s">
        <v>7609</v>
      </c>
      <c r="E158" t="s">
        <v>7974</v>
      </c>
      <c r="F158" t="s">
        <v>2636</v>
      </c>
      <c r="G158" t="s">
        <v>7888</v>
      </c>
      <c r="H158" t="s">
        <v>8563</v>
      </c>
      <c r="I158" t="s">
        <v>8103</v>
      </c>
    </row>
    <row r="159" spans="1:9" x14ac:dyDescent="0.3">
      <c r="A159" t="s">
        <v>3050</v>
      </c>
      <c r="B159" t="s">
        <v>3037</v>
      </c>
      <c r="C159" t="s">
        <v>3038</v>
      </c>
      <c r="D159" t="s">
        <v>7612</v>
      </c>
      <c r="E159" t="s">
        <v>7974</v>
      </c>
      <c r="F159" t="s">
        <v>4591</v>
      </c>
      <c r="G159" t="s">
        <v>7909</v>
      </c>
      <c r="H159" t="s">
        <v>8563</v>
      </c>
      <c r="I159" t="s">
        <v>8103</v>
      </c>
    </row>
    <row r="160" spans="1:9" x14ac:dyDescent="0.3">
      <c r="A160" t="s">
        <v>3047</v>
      </c>
      <c r="B160" t="s">
        <v>3037</v>
      </c>
      <c r="C160" t="s">
        <v>3038</v>
      </c>
      <c r="D160" t="s">
        <v>3049</v>
      </c>
      <c r="E160" t="s">
        <v>7974</v>
      </c>
      <c r="F160" t="s">
        <v>1804</v>
      </c>
      <c r="G160" t="s">
        <v>7842</v>
      </c>
      <c r="H160" t="s">
        <v>8563</v>
      </c>
      <c r="I160" t="s">
        <v>8103</v>
      </c>
    </row>
    <row r="161" spans="1:9" x14ac:dyDescent="0.3">
      <c r="A161" t="s">
        <v>2499</v>
      </c>
      <c r="B161" t="s">
        <v>2491</v>
      </c>
      <c r="C161" t="s">
        <v>2492</v>
      </c>
      <c r="D161" t="s">
        <v>2501</v>
      </c>
      <c r="E161" t="s">
        <v>7974</v>
      </c>
      <c r="F161" t="s">
        <v>5805</v>
      </c>
      <c r="G161" t="s">
        <v>7665</v>
      </c>
      <c r="H161" t="s">
        <v>7975</v>
      </c>
      <c r="I161" t="s">
        <v>7975</v>
      </c>
    </row>
    <row r="162" spans="1:9" x14ac:dyDescent="0.3">
      <c r="A162" t="s">
        <v>2490</v>
      </c>
      <c r="B162" t="s">
        <v>2491</v>
      </c>
      <c r="C162" t="s">
        <v>2492</v>
      </c>
      <c r="D162" t="s">
        <v>2494</v>
      </c>
      <c r="E162" t="s">
        <v>7974</v>
      </c>
      <c r="F162" t="s">
        <v>5187</v>
      </c>
      <c r="G162" t="s">
        <v>7875</v>
      </c>
      <c r="H162" t="s">
        <v>7975</v>
      </c>
      <c r="I162" t="s">
        <v>7975</v>
      </c>
    </row>
    <row r="163" spans="1:9" x14ac:dyDescent="0.3">
      <c r="A163" t="s">
        <v>2496</v>
      </c>
      <c r="B163" t="s">
        <v>2491</v>
      </c>
      <c r="C163" t="s">
        <v>2492</v>
      </c>
      <c r="D163" t="s">
        <v>2498</v>
      </c>
      <c r="E163" t="s">
        <v>7974</v>
      </c>
      <c r="F163" t="s">
        <v>3211</v>
      </c>
      <c r="G163" t="s">
        <v>7876</v>
      </c>
      <c r="H163" t="s">
        <v>7975</v>
      </c>
      <c r="I163" t="s">
        <v>7975</v>
      </c>
    </row>
    <row r="164" spans="1:9" x14ac:dyDescent="0.3">
      <c r="A164" t="s">
        <v>856</v>
      </c>
      <c r="B164" t="s">
        <v>831</v>
      </c>
      <c r="C164" t="s">
        <v>770</v>
      </c>
      <c r="D164" t="s">
        <v>857</v>
      </c>
      <c r="E164" t="s">
        <v>7974</v>
      </c>
      <c r="F164" t="s">
        <v>5684</v>
      </c>
      <c r="G164" t="s">
        <v>7755</v>
      </c>
      <c r="H164" t="s">
        <v>8467</v>
      </c>
      <c r="I164" t="s">
        <v>8005</v>
      </c>
    </row>
    <row r="165" spans="1:9" x14ac:dyDescent="0.3">
      <c r="A165" t="s">
        <v>828</v>
      </c>
      <c r="B165" t="s">
        <v>820</v>
      </c>
      <c r="C165" t="s">
        <v>770</v>
      </c>
      <c r="D165" t="s">
        <v>7974</v>
      </c>
      <c r="E165" t="s">
        <v>7974</v>
      </c>
      <c r="F165" t="s">
        <v>5132</v>
      </c>
      <c r="G165" t="s">
        <v>7750</v>
      </c>
      <c r="H165" t="s">
        <v>8466</v>
      </c>
      <c r="I165" t="s">
        <v>8004</v>
      </c>
    </row>
    <row r="166" spans="1:9" x14ac:dyDescent="0.3">
      <c r="A166" t="s">
        <v>826</v>
      </c>
      <c r="B166" t="s">
        <v>820</v>
      </c>
      <c r="C166" t="s">
        <v>770</v>
      </c>
      <c r="D166" t="s">
        <v>7974</v>
      </c>
      <c r="E166" t="s">
        <v>7974</v>
      </c>
      <c r="F166" t="s">
        <v>6514</v>
      </c>
      <c r="G166" t="s">
        <v>7749</v>
      </c>
      <c r="H166" t="s">
        <v>8466</v>
      </c>
      <c r="I166" t="s">
        <v>8004</v>
      </c>
    </row>
    <row r="167" spans="1:9" x14ac:dyDescent="0.3">
      <c r="A167" t="s">
        <v>2300</v>
      </c>
      <c r="B167" t="s">
        <v>2298</v>
      </c>
      <c r="C167" t="s">
        <v>770</v>
      </c>
      <c r="D167" t="s">
        <v>2302</v>
      </c>
      <c r="E167" t="s">
        <v>7974</v>
      </c>
      <c r="F167" t="s">
        <v>2302</v>
      </c>
      <c r="G167" t="s">
        <v>7716</v>
      </c>
      <c r="H167" t="s">
        <v>8530</v>
      </c>
      <c r="I167" t="s">
        <v>8069</v>
      </c>
    </row>
    <row r="168" spans="1:9" x14ac:dyDescent="0.3">
      <c r="A168" t="s">
        <v>2671</v>
      </c>
      <c r="B168" t="s">
        <v>2659</v>
      </c>
      <c r="C168" t="s">
        <v>1343</v>
      </c>
      <c r="D168" t="s">
        <v>2672</v>
      </c>
      <c r="E168" t="s">
        <v>7974</v>
      </c>
      <c r="F168" t="s">
        <v>2672</v>
      </c>
      <c r="G168" t="s">
        <v>7889</v>
      </c>
      <c r="H168" t="s">
        <v>8542</v>
      </c>
      <c r="I168" t="s">
        <v>8081</v>
      </c>
    </row>
    <row r="169" spans="1:9" x14ac:dyDescent="0.3">
      <c r="A169" t="s">
        <v>3612</v>
      </c>
      <c r="B169" t="s">
        <v>3609</v>
      </c>
      <c r="C169" t="s">
        <v>3610</v>
      </c>
      <c r="D169" t="s">
        <v>3614</v>
      </c>
      <c r="E169" t="s">
        <v>7974</v>
      </c>
      <c r="F169" t="s">
        <v>7547</v>
      </c>
      <c r="G169" t="s">
        <v>7928</v>
      </c>
      <c r="H169" t="s">
        <v>8583</v>
      </c>
      <c r="I169" t="s">
        <v>8125</v>
      </c>
    </row>
    <row r="170" spans="1:9" x14ac:dyDescent="0.3">
      <c r="A170" t="s">
        <v>2997</v>
      </c>
      <c r="B170" t="s">
        <v>2974</v>
      </c>
      <c r="C170" t="s">
        <v>348</v>
      </c>
      <c r="D170" t="s">
        <v>2998</v>
      </c>
      <c r="E170" t="s">
        <v>7974</v>
      </c>
      <c r="F170" t="s">
        <v>2998</v>
      </c>
      <c r="G170" t="s">
        <v>7691</v>
      </c>
      <c r="H170" t="s">
        <v>8558</v>
      </c>
      <c r="I170" t="s">
        <v>8098</v>
      </c>
    </row>
    <row r="171" spans="1:9" x14ac:dyDescent="0.3">
      <c r="A171" t="s">
        <v>4040</v>
      </c>
      <c r="B171" t="s">
        <v>4007</v>
      </c>
      <c r="C171" t="s">
        <v>4008</v>
      </c>
      <c r="D171" t="s">
        <v>4042</v>
      </c>
      <c r="E171" t="s">
        <v>7974</v>
      </c>
      <c r="F171" t="s">
        <v>4042</v>
      </c>
      <c r="G171" t="s">
        <v>7678</v>
      </c>
      <c r="H171" t="s">
        <v>8594</v>
      </c>
      <c r="I171" t="s">
        <v>8136</v>
      </c>
    </row>
    <row r="172" spans="1:9" x14ac:dyDescent="0.3">
      <c r="A172" t="s">
        <v>4948</v>
      </c>
      <c r="B172" t="s">
        <v>4942</v>
      </c>
      <c r="C172" t="s">
        <v>3527</v>
      </c>
      <c r="D172" t="s">
        <v>4950</v>
      </c>
      <c r="E172" t="s">
        <v>7974</v>
      </c>
      <c r="F172" t="s">
        <v>7564</v>
      </c>
      <c r="G172" t="s">
        <v>7956</v>
      </c>
      <c r="H172" t="s">
        <v>8645</v>
      </c>
      <c r="I172" t="s">
        <v>8185</v>
      </c>
    </row>
    <row r="173" spans="1:9" x14ac:dyDescent="0.3">
      <c r="A173" t="s">
        <v>4793</v>
      </c>
      <c r="B173" t="s">
        <v>4763</v>
      </c>
      <c r="C173" t="s">
        <v>1901</v>
      </c>
      <c r="D173" t="s">
        <v>4784</v>
      </c>
      <c r="E173" t="s">
        <v>7974</v>
      </c>
      <c r="F173" t="s">
        <v>4784</v>
      </c>
      <c r="G173" t="s">
        <v>7754</v>
      </c>
      <c r="H173" t="s">
        <v>8638</v>
      </c>
      <c r="I173" t="s">
        <v>8179</v>
      </c>
    </row>
    <row r="174" spans="1:9" x14ac:dyDescent="0.3">
      <c r="A174" t="s">
        <v>5334</v>
      </c>
      <c r="B174" t="s">
        <v>5335</v>
      </c>
      <c r="C174" t="s">
        <v>135</v>
      </c>
      <c r="D174" t="s">
        <v>5337</v>
      </c>
      <c r="E174" t="s">
        <v>7974</v>
      </c>
      <c r="F174" t="s">
        <v>6215</v>
      </c>
      <c r="G174" t="s">
        <v>7961</v>
      </c>
      <c r="H174" t="s">
        <v>8460</v>
      </c>
      <c r="I174" t="s">
        <v>7998</v>
      </c>
    </row>
    <row r="175" spans="1:9" x14ac:dyDescent="0.3">
      <c r="A175" t="s">
        <v>3467</v>
      </c>
      <c r="B175" t="s">
        <v>3445</v>
      </c>
      <c r="C175" t="s">
        <v>3455</v>
      </c>
      <c r="D175" t="s">
        <v>3468</v>
      </c>
      <c r="E175" t="s">
        <v>7974</v>
      </c>
      <c r="F175" t="s">
        <v>3468</v>
      </c>
      <c r="G175" t="s">
        <v>7850</v>
      </c>
      <c r="H175" t="s">
        <v>8577</v>
      </c>
      <c r="I175" t="s">
        <v>8119</v>
      </c>
    </row>
    <row r="176" spans="1:9" x14ac:dyDescent="0.3">
      <c r="A176" t="s">
        <v>4959</v>
      </c>
      <c r="B176" t="s">
        <v>4960</v>
      </c>
      <c r="C176" t="s">
        <v>4961</v>
      </c>
      <c r="D176" t="s">
        <v>7605</v>
      </c>
      <c r="E176" t="s">
        <v>7974</v>
      </c>
      <c r="F176" t="s">
        <v>4466</v>
      </c>
      <c r="G176" t="s">
        <v>7945</v>
      </c>
      <c r="H176" t="s">
        <v>8646</v>
      </c>
      <c r="I176" t="s">
        <v>8186</v>
      </c>
    </row>
    <row r="177" spans="1:9" x14ac:dyDescent="0.3">
      <c r="A177" t="s">
        <v>3201</v>
      </c>
      <c r="B177" t="s">
        <v>3183</v>
      </c>
      <c r="C177" t="s">
        <v>3184</v>
      </c>
      <c r="D177" t="s">
        <v>3202</v>
      </c>
      <c r="E177" t="s">
        <v>7974</v>
      </c>
      <c r="F177" t="s">
        <v>3202</v>
      </c>
      <c r="G177" t="s">
        <v>7722</v>
      </c>
      <c r="H177" t="s">
        <v>8568</v>
      </c>
      <c r="I177" t="s">
        <v>8110</v>
      </c>
    </row>
    <row r="178" spans="1:9" x14ac:dyDescent="0.3">
      <c r="A178" t="s">
        <v>4233</v>
      </c>
      <c r="B178" t="s">
        <v>4201</v>
      </c>
      <c r="C178" t="s">
        <v>1891</v>
      </c>
      <c r="D178" t="s">
        <v>4234</v>
      </c>
      <c r="E178" t="s">
        <v>7974</v>
      </c>
      <c r="F178" t="s">
        <v>4234</v>
      </c>
      <c r="G178" t="s">
        <v>7723</v>
      </c>
      <c r="H178" t="s">
        <v>8428</v>
      </c>
      <c r="I178" t="s">
        <v>8429</v>
      </c>
    </row>
    <row r="179" spans="1:9" x14ac:dyDescent="0.3">
      <c r="A179" t="s">
        <v>564</v>
      </c>
      <c r="B179" t="s">
        <v>565</v>
      </c>
      <c r="C179" t="s">
        <v>566</v>
      </c>
      <c r="D179" t="s">
        <v>7604</v>
      </c>
      <c r="E179" t="s">
        <v>7974</v>
      </c>
      <c r="F179" t="s">
        <v>4239</v>
      </c>
      <c r="G179" t="s">
        <v>7711</v>
      </c>
      <c r="H179" t="s">
        <v>8462</v>
      </c>
      <c r="I179" t="s">
        <v>8000</v>
      </c>
    </row>
    <row r="180" spans="1:9" x14ac:dyDescent="0.3">
      <c r="A180" t="s">
        <v>573</v>
      </c>
      <c r="B180" t="s">
        <v>565</v>
      </c>
      <c r="C180" t="s">
        <v>566</v>
      </c>
      <c r="D180" t="s">
        <v>7974</v>
      </c>
      <c r="E180" t="s">
        <v>7974</v>
      </c>
      <c r="F180" t="s">
        <v>863</v>
      </c>
      <c r="G180" t="s">
        <v>7713</v>
      </c>
      <c r="H180" t="s">
        <v>8462</v>
      </c>
      <c r="I180" t="s">
        <v>8000</v>
      </c>
    </row>
    <row r="181" spans="1:9" x14ac:dyDescent="0.3">
      <c r="A181" t="s">
        <v>3989</v>
      </c>
      <c r="B181" t="s">
        <v>3958</v>
      </c>
      <c r="C181" t="s">
        <v>1793</v>
      </c>
      <c r="D181" t="s">
        <v>3991</v>
      </c>
      <c r="E181" t="s">
        <v>7974</v>
      </c>
      <c r="F181" t="s">
        <v>7558</v>
      </c>
      <c r="G181" t="s">
        <v>7939</v>
      </c>
      <c r="H181" t="s">
        <v>8593</v>
      </c>
      <c r="I181" t="s">
        <v>8135</v>
      </c>
    </row>
    <row r="182" spans="1:9" x14ac:dyDescent="0.3">
      <c r="A182" t="s">
        <v>3986</v>
      </c>
      <c r="B182" t="s">
        <v>3958</v>
      </c>
      <c r="C182" t="s">
        <v>1793</v>
      </c>
      <c r="D182" t="s">
        <v>3988</v>
      </c>
      <c r="E182" t="s">
        <v>7974</v>
      </c>
      <c r="F182" t="s">
        <v>7557</v>
      </c>
      <c r="G182" t="s">
        <v>7938</v>
      </c>
      <c r="H182" t="s">
        <v>8593</v>
      </c>
      <c r="I182" t="s">
        <v>8135</v>
      </c>
    </row>
    <row r="183" spans="1:9" x14ac:dyDescent="0.3">
      <c r="A183" t="s">
        <v>451</v>
      </c>
      <c r="B183" t="s">
        <v>442</v>
      </c>
      <c r="C183" t="s">
        <v>452</v>
      </c>
      <c r="D183" t="s">
        <v>454</v>
      </c>
      <c r="E183" t="s">
        <v>7974</v>
      </c>
      <c r="F183" t="s">
        <v>8437</v>
      </c>
      <c r="G183" t="s">
        <v>8437</v>
      </c>
      <c r="H183" t="s">
        <v>8400</v>
      </c>
      <c r="I183" t="s">
        <v>8404</v>
      </c>
    </row>
    <row r="184" spans="1:9" x14ac:dyDescent="0.3">
      <c r="A184" t="s">
        <v>2063</v>
      </c>
      <c r="B184" t="s">
        <v>2046</v>
      </c>
      <c r="C184" t="s">
        <v>2019</v>
      </c>
      <c r="D184" t="s">
        <v>2058</v>
      </c>
      <c r="E184" t="s">
        <v>7974</v>
      </c>
      <c r="F184" t="s">
        <v>7534</v>
      </c>
      <c r="G184" t="s">
        <v>7858</v>
      </c>
      <c r="H184" t="s">
        <v>8520</v>
      </c>
      <c r="I184" t="s">
        <v>8058</v>
      </c>
    </row>
    <row r="185" spans="1:9" x14ac:dyDescent="0.3">
      <c r="A185" t="s">
        <v>5370</v>
      </c>
      <c r="B185" t="s">
        <v>5365</v>
      </c>
      <c r="C185" t="s">
        <v>5366</v>
      </c>
      <c r="D185" t="s">
        <v>5371</v>
      </c>
      <c r="E185" t="s">
        <v>7974</v>
      </c>
      <c r="F185" t="s">
        <v>5371</v>
      </c>
      <c r="G185" t="s">
        <v>7759</v>
      </c>
      <c r="H185" t="s">
        <v>8679</v>
      </c>
      <c r="I185" t="s">
        <v>8219</v>
      </c>
    </row>
    <row r="186" spans="1:9" x14ac:dyDescent="0.3">
      <c r="A186" t="s">
        <v>4581</v>
      </c>
      <c r="B186" t="s">
        <v>4561</v>
      </c>
      <c r="C186" t="s">
        <v>1775</v>
      </c>
      <c r="D186" t="s">
        <v>4582</v>
      </c>
      <c r="E186" t="s">
        <v>7974</v>
      </c>
      <c r="F186" t="s">
        <v>4582</v>
      </c>
      <c r="G186" t="s">
        <v>7699</v>
      </c>
      <c r="H186" t="s">
        <v>8626</v>
      </c>
      <c r="I186" t="s">
        <v>8166</v>
      </c>
    </row>
    <row r="187" spans="1:9" x14ac:dyDescent="0.3">
      <c r="A187" t="s">
        <v>1638</v>
      </c>
      <c r="B187" t="s">
        <v>1558</v>
      </c>
      <c r="C187" t="s">
        <v>1559</v>
      </c>
      <c r="D187" t="s">
        <v>1571</v>
      </c>
      <c r="E187" t="s">
        <v>7974</v>
      </c>
      <c r="F187" t="s">
        <v>7531</v>
      </c>
      <c r="G187" t="s">
        <v>7825</v>
      </c>
      <c r="H187" t="s">
        <v>8494</v>
      </c>
      <c r="I187" t="s">
        <v>8032</v>
      </c>
    </row>
    <row r="188" spans="1:9" x14ac:dyDescent="0.3">
      <c r="A188" t="s">
        <v>4956</v>
      </c>
      <c r="B188" t="s">
        <v>4942</v>
      </c>
      <c r="C188" t="s">
        <v>3527</v>
      </c>
      <c r="D188" t="s">
        <v>4958</v>
      </c>
      <c r="E188" t="s">
        <v>7974</v>
      </c>
      <c r="F188" t="s">
        <v>7566</v>
      </c>
      <c r="G188" t="s">
        <v>7958</v>
      </c>
      <c r="H188" t="s">
        <v>8645</v>
      </c>
      <c r="I188" t="s">
        <v>8185</v>
      </c>
    </row>
    <row r="189" spans="1:9" x14ac:dyDescent="0.3">
      <c r="A189" t="s">
        <v>277</v>
      </c>
      <c r="B189" t="s">
        <v>265</v>
      </c>
      <c r="C189" t="s">
        <v>266</v>
      </c>
      <c r="D189" t="s">
        <v>279</v>
      </c>
      <c r="E189" t="s">
        <v>7974</v>
      </c>
      <c r="F189" t="s">
        <v>7386</v>
      </c>
      <c r="G189" t="s">
        <v>7396</v>
      </c>
      <c r="H189" t="s">
        <v>8451</v>
      </c>
      <c r="I189" t="s">
        <v>7989</v>
      </c>
    </row>
    <row r="190" spans="1:9" x14ac:dyDescent="0.3">
      <c r="A190" t="s">
        <v>3932</v>
      </c>
      <c r="B190" t="s">
        <v>3772</v>
      </c>
      <c r="C190" t="s">
        <v>3773</v>
      </c>
      <c r="D190" t="s">
        <v>3794</v>
      </c>
      <c r="E190" t="s">
        <v>7974</v>
      </c>
      <c r="F190" t="s">
        <v>7556</v>
      </c>
      <c r="G190" t="s">
        <v>7937</v>
      </c>
      <c r="H190" t="s">
        <v>8592</v>
      </c>
      <c r="I190" t="s">
        <v>8134</v>
      </c>
    </row>
    <row r="191" spans="1:9" x14ac:dyDescent="0.3">
      <c r="A191" t="s">
        <v>3880</v>
      </c>
      <c r="B191" t="s">
        <v>3772</v>
      </c>
      <c r="C191" t="s">
        <v>3773</v>
      </c>
      <c r="D191" t="s">
        <v>3882</v>
      </c>
      <c r="E191" t="s">
        <v>7974</v>
      </c>
      <c r="F191" t="s">
        <v>7554</v>
      </c>
      <c r="G191" t="s">
        <v>7936</v>
      </c>
      <c r="H191" t="s">
        <v>8592</v>
      </c>
      <c r="I191" t="s">
        <v>8134</v>
      </c>
    </row>
    <row r="192" spans="1:9" x14ac:dyDescent="0.3">
      <c r="A192" t="s">
        <v>3872</v>
      </c>
      <c r="B192" t="s">
        <v>3772</v>
      </c>
      <c r="C192" t="s">
        <v>3773</v>
      </c>
      <c r="D192" t="s">
        <v>3874</v>
      </c>
      <c r="E192" t="s">
        <v>7974</v>
      </c>
      <c r="F192" t="s">
        <v>7553</v>
      </c>
      <c r="G192" t="s">
        <v>7935</v>
      </c>
      <c r="H192" t="s">
        <v>8592</v>
      </c>
      <c r="I192" t="s">
        <v>8134</v>
      </c>
    </row>
    <row r="193" spans="1:9" x14ac:dyDescent="0.3">
      <c r="A193" t="s">
        <v>3863</v>
      </c>
      <c r="B193" t="s">
        <v>3772</v>
      </c>
      <c r="C193" t="s">
        <v>3773</v>
      </c>
      <c r="D193" t="s">
        <v>3865</v>
      </c>
      <c r="E193" t="s">
        <v>7974</v>
      </c>
      <c r="F193" t="s">
        <v>7552</v>
      </c>
      <c r="G193" t="s">
        <v>7934</v>
      </c>
      <c r="H193" t="s">
        <v>8592</v>
      </c>
      <c r="I193" t="s">
        <v>8134</v>
      </c>
    </row>
    <row r="194" spans="1:9" x14ac:dyDescent="0.3">
      <c r="A194" t="s">
        <v>4953</v>
      </c>
      <c r="B194" t="s">
        <v>4942</v>
      </c>
      <c r="C194" t="s">
        <v>3527</v>
      </c>
      <c r="D194" t="s">
        <v>4955</v>
      </c>
      <c r="E194" t="s">
        <v>7974</v>
      </c>
      <c r="F194" t="s">
        <v>7565</v>
      </c>
      <c r="G194" t="s">
        <v>7957</v>
      </c>
      <c r="H194" t="s">
        <v>8645</v>
      </c>
      <c r="I194" t="s">
        <v>8185</v>
      </c>
    </row>
    <row r="195" spans="1:9" x14ac:dyDescent="0.3">
      <c r="A195" t="s">
        <v>5468</v>
      </c>
      <c r="B195" t="s">
        <v>5469</v>
      </c>
      <c r="C195" t="s">
        <v>135</v>
      </c>
      <c r="D195" t="s">
        <v>5471</v>
      </c>
      <c r="E195" t="s">
        <v>7974</v>
      </c>
      <c r="F195" t="s">
        <v>6146</v>
      </c>
      <c r="G195" t="s">
        <v>7964</v>
      </c>
      <c r="H195" t="s">
        <v>8686</v>
      </c>
      <c r="I195" t="s">
        <v>8226</v>
      </c>
    </row>
    <row r="196" spans="1:9" x14ac:dyDescent="0.3">
      <c r="A196" t="s">
        <v>1963</v>
      </c>
      <c r="B196" t="s">
        <v>1951</v>
      </c>
      <c r="C196" t="s">
        <v>1952</v>
      </c>
      <c r="D196" t="s">
        <v>1964</v>
      </c>
      <c r="E196" t="s">
        <v>7974</v>
      </c>
      <c r="F196" t="s">
        <v>1964</v>
      </c>
      <c r="G196" t="s">
        <v>7705</v>
      </c>
      <c r="H196" t="s">
        <v>8516</v>
      </c>
      <c r="I196" t="s">
        <v>8054</v>
      </c>
    </row>
    <row r="197" spans="1:9" x14ac:dyDescent="0.3">
      <c r="A197" t="s">
        <v>1974</v>
      </c>
      <c r="B197" t="s">
        <v>1951</v>
      </c>
      <c r="C197" t="s">
        <v>1952</v>
      </c>
      <c r="D197" t="s">
        <v>1975</v>
      </c>
      <c r="E197" t="s">
        <v>7974</v>
      </c>
      <c r="F197" t="s">
        <v>1975</v>
      </c>
      <c r="G197" t="s">
        <v>7706</v>
      </c>
      <c r="H197" t="s">
        <v>8516</v>
      </c>
      <c r="I197" t="s">
        <v>8054</v>
      </c>
    </row>
    <row r="198" spans="1:9" x14ac:dyDescent="0.3">
      <c r="A198" t="s">
        <v>3714</v>
      </c>
      <c r="B198" t="s">
        <v>3706</v>
      </c>
      <c r="C198" t="s">
        <v>3707</v>
      </c>
      <c r="D198" t="s">
        <v>3716</v>
      </c>
      <c r="E198" t="s">
        <v>7974</v>
      </c>
      <c r="F198" t="s">
        <v>7550</v>
      </c>
      <c r="G198" t="s">
        <v>7932</v>
      </c>
      <c r="H198" t="s">
        <v>8588</v>
      </c>
      <c r="I198" t="s">
        <v>8130</v>
      </c>
    </row>
    <row r="199" spans="1:9" x14ac:dyDescent="0.3">
      <c r="A199" t="s">
        <v>5303</v>
      </c>
      <c r="B199" t="s">
        <v>5304</v>
      </c>
      <c r="C199" t="s">
        <v>135</v>
      </c>
      <c r="D199" t="s">
        <v>5306</v>
      </c>
      <c r="E199" t="s">
        <v>7974</v>
      </c>
      <c r="F199" t="s">
        <v>4933</v>
      </c>
      <c r="G199" t="s">
        <v>7955</v>
      </c>
      <c r="H199" t="s">
        <v>8673</v>
      </c>
      <c r="I199" t="s">
        <v>8213</v>
      </c>
    </row>
    <row r="200" spans="1:9" x14ac:dyDescent="0.3">
      <c r="A200" t="s">
        <v>5749</v>
      </c>
      <c r="B200" t="s">
        <v>5736</v>
      </c>
      <c r="C200" t="s">
        <v>4148</v>
      </c>
      <c r="D200" t="s">
        <v>5751</v>
      </c>
      <c r="E200" t="s">
        <v>7974</v>
      </c>
      <c r="F200" t="s">
        <v>5751</v>
      </c>
      <c r="G200" t="s">
        <v>7728</v>
      </c>
      <c r="H200" t="s">
        <v>8602</v>
      </c>
      <c r="I200" t="s">
        <v>8144</v>
      </c>
    </row>
    <row r="201" spans="1:9" x14ac:dyDescent="0.3">
      <c r="A201" t="s">
        <v>387</v>
      </c>
      <c r="B201" t="s">
        <v>378</v>
      </c>
      <c r="C201" t="s">
        <v>379</v>
      </c>
      <c r="D201" t="s">
        <v>389</v>
      </c>
      <c r="E201" t="s">
        <v>7974</v>
      </c>
      <c r="F201" t="s">
        <v>7420</v>
      </c>
      <c r="G201" t="s">
        <v>7421</v>
      </c>
      <c r="H201" t="s">
        <v>8458</v>
      </c>
      <c r="I201" t="s">
        <v>7996</v>
      </c>
    </row>
    <row r="202" spans="1:9" x14ac:dyDescent="0.3">
      <c r="A202" t="s">
        <v>393</v>
      </c>
      <c r="B202" t="s">
        <v>378</v>
      </c>
      <c r="C202" t="s">
        <v>379</v>
      </c>
      <c r="D202" t="s">
        <v>394</v>
      </c>
      <c r="E202" t="s">
        <v>7974</v>
      </c>
      <c r="F202" t="s">
        <v>7422</v>
      </c>
      <c r="G202" t="s">
        <v>7425</v>
      </c>
      <c r="H202" t="s">
        <v>8458</v>
      </c>
      <c r="I202" t="s">
        <v>7996</v>
      </c>
    </row>
    <row r="203" spans="1:9" x14ac:dyDescent="0.3">
      <c r="A203" t="s">
        <v>423</v>
      </c>
      <c r="B203" t="s">
        <v>378</v>
      </c>
      <c r="C203" t="s">
        <v>379</v>
      </c>
      <c r="D203" t="s">
        <v>7974</v>
      </c>
      <c r="E203" t="s">
        <v>7974</v>
      </c>
      <c r="F203" t="s">
        <v>4887</v>
      </c>
      <c r="G203" t="s">
        <v>7686</v>
      </c>
      <c r="H203" t="s">
        <v>8458</v>
      </c>
      <c r="I203" t="s">
        <v>7996</v>
      </c>
    </row>
    <row r="204" spans="1:9" x14ac:dyDescent="0.3">
      <c r="A204" t="s">
        <v>425</v>
      </c>
      <c r="B204" t="s">
        <v>378</v>
      </c>
      <c r="C204" t="s">
        <v>379</v>
      </c>
      <c r="D204" t="s">
        <v>7974</v>
      </c>
      <c r="E204" t="s">
        <v>7974</v>
      </c>
      <c r="F204" t="s">
        <v>517</v>
      </c>
      <c r="G204" t="s">
        <v>7687</v>
      </c>
      <c r="H204" t="s">
        <v>8458</v>
      </c>
      <c r="I204" t="s">
        <v>7996</v>
      </c>
    </row>
    <row r="205" spans="1:9" x14ac:dyDescent="0.3">
      <c r="A205" t="s">
        <v>1741</v>
      </c>
      <c r="B205" t="s">
        <v>1730</v>
      </c>
      <c r="C205" t="s">
        <v>1731</v>
      </c>
      <c r="D205" t="s">
        <v>1743</v>
      </c>
      <c r="E205" t="s">
        <v>7974</v>
      </c>
      <c r="F205" t="s">
        <v>7532</v>
      </c>
      <c r="G205" t="s">
        <v>7835</v>
      </c>
      <c r="H205" t="s">
        <v>8501</v>
      </c>
      <c r="I205" t="s">
        <v>8039</v>
      </c>
    </row>
    <row r="206" spans="1:9" x14ac:dyDescent="0.3">
      <c r="A206" t="s">
        <v>3199</v>
      </c>
      <c r="B206" t="s">
        <v>3183</v>
      </c>
      <c r="C206" t="s">
        <v>3184</v>
      </c>
      <c r="D206" t="s">
        <v>3194</v>
      </c>
      <c r="E206" t="s">
        <v>7974</v>
      </c>
      <c r="F206" t="s">
        <v>7544</v>
      </c>
      <c r="G206" t="s">
        <v>7918</v>
      </c>
      <c r="H206" t="s">
        <v>8568</v>
      </c>
      <c r="I206" t="s">
        <v>8110</v>
      </c>
    </row>
    <row r="207" spans="1:9" x14ac:dyDescent="0.3">
      <c r="A207" t="s">
        <v>3208</v>
      </c>
      <c r="B207" t="s">
        <v>3183</v>
      </c>
      <c r="C207" t="s">
        <v>3184</v>
      </c>
      <c r="D207" t="s">
        <v>3209</v>
      </c>
      <c r="E207" t="s">
        <v>7974</v>
      </c>
      <c r="F207" t="s">
        <v>7545</v>
      </c>
      <c r="G207" t="s">
        <v>7919</v>
      </c>
      <c r="H207" t="s">
        <v>8568</v>
      </c>
      <c r="I207" t="s">
        <v>8110</v>
      </c>
    </row>
    <row r="208" spans="1:9" x14ac:dyDescent="0.3">
      <c r="A208" t="s">
        <v>3858</v>
      </c>
      <c r="B208" t="s">
        <v>3772</v>
      </c>
      <c r="C208" t="s">
        <v>2271</v>
      </c>
      <c r="D208" t="s">
        <v>3860</v>
      </c>
      <c r="E208" t="s">
        <v>7974</v>
      </c>
      <c r="F208" t="s">
        <v>3860</v>
      </c>
      <c r="G208" t="s">
        <v>7894</v>
      </c>
      <c r="H208" t="s">
        <v>8592</v>
      </c>
      <c r="I208" t="s">
        <v>8134</v>
      </c>
    </row>
    <row r="209" spans="1:9" x14ac:dyDescent="0.3">
      <c r="A209" t="s">
        <v>3210</v>
      </c>
      <c r="B209" t="s">
        <v>3183</v>
      </c>
      <c r="C209" t="s">
        <v>3184</v>
      </c>
      <c r="D209" t="s">
        <v>3211</v>
      </c>
      <c r="E209" t="s">
        <v>7974</v>
      </c>
      <c r="F209" t="s">
        <v>3211</v>
      </c>
      <c r="G209" t="s">
        <v>7876</v>
      </c>
      <c r="H209" t="s">
        <v>8568</v>
      </c>
      <c r="I209" t="s">
        <v>8110</v>
      </c>
    </row>
    <row r="210" spans="1:9" x14ac:dyDescent="0.3">
      <c r="A210" t="s">
        <v>2277</v>
      </c>
      <c r="B210" t="s">
        <v>2270</v>
      </c>
      <c r="C210" t="s">
        <v>2271</v>
      </c>
      <c r="D210" t="s">
        <v>2278</v>
      </c>
      <c r="E210" t="s">
        <v>7974</v>
      </c>
      <c r="F210" t="s">
        <v>2278</v>
      </c>
      <c r="G210" t="s">
        <v>7864</v>
      </c>
      <c r="H210" t="s">
        <v>8528</v>
      </c>
      <c r="I210" t="s">
        <v>8067</v>
      </c>
    </row>
    <row r="211" spans="1:9" x14ac:dyDescent="0.3">
      <c r="A211" t="s">
        <v>6547</v>
      </c>
      <c r="B211" t="s">
        <v>6548</v>
      </c>
      <c r="C211" t="s">
        <v>6549</v>
      </c>
      <c r="D211" t="s">
        <v>6551</v>
      </c>
      <c r="E211" t="s">
        <v>7974</v>
      </c>
      <c r="F211" t="s">
        <v>6551</v>
      </c>
      <c r="G211" t="s">
        <v>7732</v>
      </c>
      <c r="H211" t="s">
        <v>8771</v>
      </c>
      <c r="I211" t="s">
        <v>8311</v>
      </c>
    </row>
    <row r="212" spans="1:9" x14ac:dyDescent="0.3">
      <c r="A212" t="s">
        <v>5056</v>
      </c>
      <c r="B212" t="s">
        <v>5057</v>
      </c>
      <c r="C212" t="s">
        <v>5058</v>
      </c>
      <c r="D212" t="s">
        <v>5060</v>
      </c>
      <c r="E212" t="s">
        <v>7974</v>
      </c>
      <c r="F212" t="s">
        <v>2628</v>
      </c>
      <c r="G212" t="s">
        <v>7887</v>
      </c>
      <c r="H212" t="s">
        <v>8657</v>
      </c>
      <c r="I212" t="s">
        <v>8197</v>
      </c>
    </row>
    <row r="213" spans="1:9" x14ac:dyDescent="0.3">
      <c r="A213" t="s">
        <v>2743</v>
      </c>
      <c r="B213" t="s">
        <v>2734</v>
      </c>
      <c r="C213" t="s">
        <v>1415</v>
      </c>
      <c r="D213" t="s">
        <v>2744</v>
      </c>
      <c r="E213" t="s">
        <v>7974</v>
      </c>
      <c r="F213" t="s">
        <v>2744</v>
      </c>
      <c r="G213" t="s">
        <v>7688</v>
      </c>
      <c r="H213" t="s">
        <v>8420</v>
      </c>
      <c r="I213" t="s">
        <v>8422</v>
      </c>
    </row>
    <row r="214" spans="1:9" x14ac:dyDescent="0.3">
      <c r="A214" t="s">
        <v>2733</v>
      </c>
      <c r="B214" t="s">
        <v>2734</v>
      </c>
      <c r="C214" t="s">
        <v>1415</v>
      </c>
      <c r="D214" t="s">
        <v>2736</v>
      </c>
      <c r="E214" t="s">
        <v>7974</v>
      </c>
      <c r="F214" t="s">
        <v>2278</v>
      </c>
      <c r="G214" t="s">
        <v>7864</v>
      </c>
      <c r="H214" t="s">
        <v>8420</v>
      </c>
      <c r="I214" t="s">
        <v>8422</v>
      </c>
    </row>
    <row r="215" spans="1:9" x14ac:dyDescent="0.3">
      <c r="A215" t="s">
        <v>5491</v>
      </c>
      <c r="B215" t="s">
        <v>5483</v>
      </c>
      <c r="C215" t="s">
        <v>5484</v>
      </c>
      <c r="D215" t="s">
        <v>5486</v>
      </c>
      <c r="E215" t="s">
        <v>7974</v>
      </c>
      <c r="F215" t="s">
        <v>5486</v>
      </c>
      <c r="G215" t="s">
        <v>7757</v>
      </c>
      <c r="H215" t="s">
        <v>8688</v>
      </c>
      <c r="I215" t="s">
        <v>8228</v>
      </c>
    </row>
    <row r="216" spans="1:9" x14ac:dyDescent="0.3">
      <c r="A216" t="s">
        <v>5560</v>
      </c>
      <c r="B216" t="s">
        <v>5561</v>
      </c>
      <c r="C216" t="s">
        <v>348</v>
      </c>
      <c r="D216" t="s">
        <v>5563</v>
      </c>
      <c r="E216" t="s">
        <v>7974</v>
      </c>
      <c r="F216" t="s">
        <v>5563</v>
      </c>
      <c r="G216" t="s">
        <v>7684</v>
      </c>
      <c r="H216" t="s">
        <v>8693</v>
      </c>
      <c r="I216" t="s">
        <v>8233</v>
      </c>
    </row>
    <row r="217" spans="1:9" x14ac:dyDescent="0.3">
      <c r="A217" t="s">
        <v>6434</v>
      </c>
      <c r="B217" t="s">
        <v>6425</v>
      </c>
      <c r="C217" t="s">
        <v>4404</v>
      </c>
      <c r="D217" t="s">
        <v>6436</v>
      </c>
      <c r="E217" t="s">
        <v>7974</v>
      </c>
      <c r="F217" t="s">
        <v>6436</v>
      </c>
      <c r="G217" t="s">
        <v>7747</v>
      </c>
      <c r="H217" t="s">
        <v>8764</v>
      </c>
      <c r="I217" t="s">
        <v>8304</v>
      </c>
    </row>
    <row r="218" spans="1:9" x14ac:dyDescent="0.3">
      <c r="A218" t="s">
        <v>5475</v>
      </c>
      <c r="B218" t="s">
        <v>5469</v>
      </c>
      <c r="C218" t="s">
        <v>135</v>
      </c>
      <c r="D218" t="s">
        <v>5477</v>
      </c>
      <c r="E218" t="s">
        <v>7974</v>
      </c>
      <c r="F218" t="s">
        <v>4773</v>
      </c>
      <c r="G218" t="s">
        <v>7949</v>
      </c>
      <c r="H218" t="s">
        <v>8686</v>
      </c>
      <c r="I218" t="s">
        <v>8226</v>
      </c>
    </row>
    <row r="219" spans="1:9" x14ac:dyDescent="0.3">
      <c r="A219" t="s">
        <v>5678</v>
      </c>
      <c r="B219" t="s">
        <v>5674</v>
      </c>
      <c r="C219" t="s">
        <v>1415</v>
      </c>
      <c r="D219" t="s">
        <v>5679</v>
      </c>
      <c r="E219" t="s">
        <v>7974</v>
      </c>
      <c r="F219" t="s">
        <v>5679</v>
      </c>
      <c r="G219" t="s">
        <v>7689</v>
      </c>
      <c r="H219" t="s">
        <v>8705</v>
      </c>
      <c r="I219" t="s">
        <v>8245</v>
      </c>
    </row>
    <row r="220" spans="1:9" x14ac:dyDescent="0.3">
      <c r="A220" t="s">
        <v>6511</v>
      </c>
      <c r="B220" t="s">
        <v>6512</v>
      </c>
      <c r="C220" t="s">
        <v>1474</v>
      </c>
      <c r="D220" t="s">
        <v>6514</v>
      </c>
      <c r="E220" t="s">
        <v>7974</v>
      </c>
      <c r="F220" t="s">
        <v>6514</v>
      </c>
      <c r="G220" t="s">
        <v>7749</v>
      </c>
      <c r="H220" t="s">
        <v>8430</v>
      </c>
      <c r="I220" t="s">
        <v>8372</v>
      </c>
    </row>
    <row r="221" spans="1:9" x14ac:dyDescent="0.3">
      <c r="A221" t="s">
        <v>6521</v>
      </c>
      <c r="B221" t="s">
        <v>6512</v>
      </c>
      <c r="C221" t="s">
        <v>1474</v>
      </c>
      <c r="D221" t="s">
        <v>6514</v>
      </c>
      <c r="E221" t="s">
        <v>7974</v>
      </c>
      <c r="F221" t="s">
        <v>6514</v>
      </c>
      <c r="G221" t="s">
        <v>7749</v>
      </c>
      <c r="H221" t="s">
        <v>8430</v>
      </c>
      <c r="I221" t="s">
        <v>8372</v>
      </c>
    </row>
    <row r="222" spans="1:9" x14ac:dyDescent="0.3">
      <c r="A222" t="s">
        <v>6444</v>
      </c>
      <c r="B222" t="s">
        <v>6425</v>
      </c>
      <c r="C222" t="s">
        <v>4404</v>
      </c>
      <c r="D222" t="s">
        <v>6446</v>
      </c>
      <c r="E222" t="s">
        <v>7974</v>
      </c>
      <c r="F222" t="s">
        <v>6446</v>
      </c>
      <c r="G222" t="s">
        <v>7947</v>
      </c>
      <c r="H222" t="s">
        <v>8764</v>
      </c>
      <c r="I222" t="s">
        <v>8304</v>
      </c>
    </row>
    <row r="223" spans="1:9" x14ac:dyDescent="0.3">
      <c r="A223" t="s">
        <v>4772</v>
      </c>
      <c r="B223" t="s">
        <v>4763</v>
      </c>
      <c r="C223" t="s">
        <v>1901</v>
      </c>
      <c r="D223" t="s">
        <v>4773</v>
      </c>
      <c r="E223" t="s">
        <v>7974</v>
      </c>
      <c r="F223" t="s">
        <v>4773</v>
      </c>
      <c r="G223" t="s">
        <v>7949</v>
      </c>
      <c r="H223" t="s">
        <v>8638</v>
      </c>
      <c r="I223" t="s">
        <v>8179</v>
      </c>
    </row>
    <row r="224" spans="1:9" x14ac:dyDescent="0.3">
      <c r="A224" t="s">
        <v>6359</v>
      </c>
      <c r="B224" t="s">
        <v>6317</v>
      </c>
      <c r="C224" t="s">
        <v>6318</v>
      </c>
      <c r="D224" t="s">
        <v>6360</v>
      </c>
      <c r="E224" t="s">
        <v>7974</v>
      </c>
      <c r="F224" t="s">
        <v>1454</v>
      </c>
      <c r="G224" t="s">
        <v>7813</v>
      </c>
      <c r="H224" t="s">
        <v>8758</v>
      </c>
      <c r="I224" t="s">
        <v>8298</v>
      </c>
    </row>
    <row r="225" spans="1:9" x14ac:dyDescent="0.3">
      <c r="A225" t="s">
        <v>6356</v>
      </c>
      <c r="B225" t="s">
        <v>6317</v>
      </c>
      <c r="C225" t="s">
        <v>6318</v>
      </c>
      <c r="D225" t="s">
        <v>6358</v>
      </c>
      <c r="E225" t="s">
        <v>7974</v>
      </c>
      <c r="F225" t="s">
        <v>6358</v>
      </c>
      <c r="G225" t="s">
        <v>7968</v>
      </c>
      <c r="H225" t="s">
        <v>8758</v>
      </c>
      <c r="I225" t="s">
        <v>8298</v>
      </c>
    </row>
    <row r="226" spans="1:9" x14ac:dyDescent="0.3">
      <c r="A226" t="s">
        <v>6362</v>
      </c>
      <c r="B226" t="s">
        <v>6317</v>
      </c>
      <c r="C226" t="s">
        <v>6318</v>
      </c>
      <c r="D226" t="s">
        <v>6364</v>
      </c>
      <c r="E226" t="s">
        <v>7974</v>
      </c>
      <c r="F226" t="s">
        <v>1458</v>
      </c>
      <c r="G226" t="s">
        <v>7814</v>
      </c>
      <c r="H226" t="s">
        <v>8758</v>
      </c>
      <c r="I226" t="s">
        <v>8298</v>
      </c>
    </row>
    <row r="227" spans="1:9" x14ac:dyDescent="0.3">
      <c r="A227" t="s">
        <v>5741</v>
      </c>
      <c r="B227" t="s">
        <v>5736</v>
      </c>
      <c r="C227" t="s">
        <v>4148</v>
      </c>
      <c r="D227" t="s">
        <v>5743</v>
      </c>
      <c r="E227" t="s">
        <v>7974</v>
      </c>
      <c r="F227" t="s">
        <v>5743</v>
      </c>
      <c r="G227" t="s">
        <v>7727</v>
      </c>
      <c r="H227" t="s">
        <v>8602</v>
      </c>
      <c r="I227" t="s">
        <v>8144</v>
      </c>
    </row>
    <row r="228" spans="1:9" x14ac:dyDescent="0.3">
      <c r="A228" t="s">
        <v>544</v>
      </c>
      <c r="B228" t="s">
        <v>523</v>
      </c>
      <c r="C228" t="s">
        <v>524</v>
      </c>
      <c r="D228" t="s">
        <v>7974</v>
      </c>
      <c r="E228" t="s">
        <v>7974</v>
      </c>
      <c r="F228" t="s">
        <v>1964</v>
      </c>
      <c r="G228" t="s">
        <v>7705</v>
      </c>
      <c r="H228" t="s">
        <v>8401</v>
      </c>
      <c r="I228" t="s">
        <v>8405</v>
      </c>
    </row>
    <row r="229" spans="1:9" x14ac:dyDescent="0.3">
      <c r="A229" t="s">
        <v>546</v>
      </c>
      <c r="B229" t="s">
        <v>523</v>
      </c>
      <c r="C229" t="s">
        <v>524</v>
      </c>
      <c r="D229" t="s">
        <v>7974</v>
      </c>
      <c r="E229" t="s">
        <v>7974</v>
      </c>
      <c r="F229" t="s">
        <v>1975</v>
      </c>
      <c r="G229" t="s">
        <v>7706</v>
      </c>
      <c r="H229" t="s">
        <v>8401</v>
      </c>
      <c r="I229" t="s">
        <v>8405</v>
      </c>
    </row>
    <row r="230" spans="1:9" x14ac:dyDescent="0.3">
      <c r="A230" t="s">
        <v>6065</v>
      </c>
      <c r="B230" t="s">
        <v>6061</v>
      </c>
      <c r="C230" t="s">
        <v>6062</v>
      </c>
      <c r="D230" t="s">
        <v>6067</v>
      </c>
      <c r="E230" t="s">
        <v>7974</v>
      </c>
      <c r="F230" t="s">
        <v>2740</v>
      </c>
      <c r="G230" t="s">
        <v>7893</v>
      </c>
      <c r="H230" t="s">
        <v>8732</v>
      </c>
      <c r="I230" t="s">
        <v>8272</v>
      </c>
    </row>
    <row r="231" spans="1:9" x14ac:dyDescent="0.3">
      <c r="A231" t="s">
        <v>6232</v>
      </c>
      <c r="B231" t="s">
        <v>6233</v>
      </c>
      <c r="C231" t="s">
        <v>1891</v>
      </c>
      <c r="D231" t="s">
        <v>6235</v>
      </c>
      <c r="E231" t="s">
        <v>7974</v>
      </c>
      <c r="F231" t="s">
        <v>6235</v>
      </c>
      <c r="G231" t="s">
        <v>7724</v>
      </c>
      <c r="H231" t="s">
        <v>8684</v>
      </c>
      <c r="I231" t="s">
        <v>8224</v>
      </c>
    </row>
    <row r="232" spans="1:9" x14ac:dyDescent="0.3">
      <c r="A232" t="s">
        <v>6060</v>
      </c>
      <c r="B232" t="s">
        <v>6061</v>
      </c>
      <c r="C232" t="s">
        <v>6062</v>
      </c>
      <c r="D232" t="s">
        <v>6064</v>
      </c>
      <c r="E232" t="s">
        <v>7974</v>
      </c>
      <c r="F232" t="s">
        <v>4885</v>
      </c>
      <c r="G232" t="s">
        <v>7950</v>
      </c>
      <c r="H232" t="s">
        <v>8732</v>
      </c>
      <c r="I232" t="s">
        <v>8272</v>
      </c>
    </row>
    <row r="233" spans="1:9" x14ac:dyDescent="0.3">
      <c r="A233" t="s">
        <v>5985</v>
      </c>
      <c r="B233" t="s">
        <v>5986</v>
      </c>
      <c r="C233" t="s">
        <v>1952</v>
      </c>
      <c r="D233" t="s">
        <v>5988</v>
      </c>
      <c r="E233" t="s">
        <v>7974</v>
      </c>
      <c r="F233" t="s">
        <v>5988</v>
      </c>
      <c r="G233" t="s">
        <v>7708</v>
      </c>
      <c r="H233" t="s">
        <v>8722</v>
      </c>
      <c r="I233" t="s">
        <v>8262</v>
      </c>
    </row>
    <row r="234" spans="1:9" x14ac:dyDescent="0.3">
      <c r="A234" t="s">
        <v>5591</v>
      </c>
      <c r="B234" t="s">
        <v>5587</v>
      </c>
      <c r="C234" t="s">
        <v>1952</v>
      </c>
      <c r="D234" t="s">
        <v>5592</v>
      </c>
      <c r="E234" t="s">
        <v>7974</v>
      </c>
      <c r="F234" t="s">
        <v>5592</v>
      </c>
      <c r="G234" t="s">
        <v>7707</v>
      </c>
      <c r="H234" t="s">
        <v>8696</v>
      </c>
      <c r="I234" t="s">
        <v>8236</v>
      </c>
    </row>
    <row r="235" spans="1:9" x14ac:dyDescent="0.3">
      <c r="A235" t="s">
        <v>3656</v>
      </c>
      <c r="B235" t="s">
        <v>3621</v>
      </c>
      <c r="C235" t="s">
        <v>1933</v>
      </c>
      <c r="D235" t="s">
        <v>3657</v>
      </c>
      <c r="E235" t="s">
        <v>7974</v>
      </c>
      <c r="F235" t="s">
        <v>3657</v>
      </c>
      <c r="G235" t="s">
        <v>7775</v>
      </c>
      <c r="H235" t="s">
        <v>8584</v>
      </c>
      <c r="I235" t="s">
        <v>8126</v>
      </c>
    </row>
    <row r="236" spans="1:9" x14ac:dyDescent="0.3">
      <c r="A236" t="s">
        <v>3647</v>
      </c>
      <c r="B236" t="s">
        <v>3621</v>
      </c>
      <c r="C236" t="s">
        <v>1933</v>
      </c>
      <c r="D236" t="s">
        <v>3648</v>
      </c>
      <c r="E236" t="s">
        <v>7974</v>
      </c>
      <c r="F236" t="s">
        <v>3648</v>
      </c>
      <c r="G236" t="s">
        <v>7774</v>
      </c>
      <c r="H236" t="s">
        <v>8584</v>
      </c>
      <c r="I236" t="s">
        <v>8126</v>
      </c>
    </row>
    <row r="237" spans="1:9" x14ac:dyDescent="0.3">
      <c r="A237" t="s">
        <v>3654</v>
      </c>
      <c r="B237" t="s">
        <v>3621</v>
      </c>
      <c r="C237" t="s">
        <v>1933</v>
      </c>
      <c r="D237" t="s">
        <v>3655</v>
      </c>
      <c r="E237" t="s">
        <v>7974</v>
      </c>
      <c r="F237" t="s">
        <v>3655</v>
      </c>
      <c r="G237" t="s">
        <v>7726</v>
      </c>
      <c r="H237" t="s">
        <v>8584</v>
      </c>
      <c r="I237" t="s">
        <v>8126</v>
      </c>
    </row>
    <row r="238" spans="1:9" x14ac:dyDescent="0.3">
      <c r="A238" t="s">
        <v>3650</v>
      </c>
      <c r="B238" t="s">
        <v>3621</v>
      </c>
      <c r="C238" t="s">
        <v>1933</v>
      </c>
      <c r="D238" t="s">
        <v>3651</v>
      </c>
      <c r="E238" t="s">
        <v>7974</v>
      </c>
      <c r="F238" t="s">
        <v>3651</v>
      </c>
      <c r="G238" t="s">
        <v>7725</v>
      </c>
      <c r="H238" t="s">
        <v>8584</v>
      </c>
      <c r="I238" t="s">
        <v>8126</v>
      </c>
    </row>
    <row r="239" spans="1:9" x14ac:dyDescent="0.3">
      <c r="A239" t="s">
        <v>4786</v>
      </c>
      <c r="B239" t="s">
        <v>4763</v>
      </c>
      <c r="C239" t="s">
        <v>1901</v>
      </c>
      <c r="D239" t="s">
        <v>4787</v>
      </c>
      <c r="E239" t="s">
        <v>7974</v>
      </c>
      <c r="F239" t="s">
        <v>4787</v>
      </c>
      <c r="G239" t="s">
        <v>7753</v>
      </c>
      <c r="H239" t="s">
        <v>8638</v>
      </c>
      <c r="I239" t="s">
        <v>8179</v>
      </c>
    </row>
    <row r="240" spans="1:9" x14ac:dyDescent="0.3">
      <c r="A240" t="s">
        <v>6047</v>
      </c>
      <c r="B240" t="s">
        <v>6045</v>
      </c>
      <c r="C240" t="s">
        <v>1793</v>
      </c>
      <c r="D240" t="s">
        <v>6049</v>
      </c>
      <c r="E240" t="s">
        <v>7974</v>
      </c>
      <c r="F240" t="s">
        <v>6049</v>
      </c>
      <c r="G240" t="s">
        <v>7701</v>
      </c>
      <c r="H240" t="s">
        <v>8729</v>
      </c>
      <c r="I240" t="s">
        <v>8269</v>
      </c>
    </row>
    <row r="241" spans="1:9" x14ac:dyDescent="0.3">
      <c r="A241" t="s">
        <v>6203</v>
      </c>
      <c r="B241" t="s">
        <v>6204</v>
      </c>
      <c r="C241" t="s">
        <v>6205</v>
      </c>
      <c r="D241" t="s">
        <v>6207</v>
      </c>
      <c r="E241" t="s">
        <v>7974</v>
      </c>
      <c r="F241" t="s">
        <v>6207</v>
      </c>
      <c r="G241" t="s">
        <v>7693</v>
      </c>
      <c r="H241" t="s">
        <v>8748</v>
      </c>
      <c r="I241" t="s">
        <v>8287</v>
      </c>
    </row>
    <row r="242" spans="1:9" x14ac:dyDescent="0.3">
      <c r="A242" t="s">
        <v>6054</v>
      </c>
      <c r="B242" t="s">
        <v>6055</v>
      </c>
      <c r="C242" t="s">
        <v>6056</v>
      </c>
      <c r="D242" t="s">
        <v>6058</v>
      </c>
      <c r="E242" t="s">
        <v>7974</v>
      </c>
      <c r="F242" t="s">
        <v>7572</v>
      </c>
      <c r="G242" t="s">
        <v>7967</v>
      </c>
      <c r="H242" t="s">
        <v>8731</v>
      </c>
      <c r="I242" t="s">
        <v>8271</v>
      </c>
    </row>
    <row r="243" spans="1:9" x14ac:dyDescent="0.3">
      <c r="A243" t="s">
        <v>5901</v>
      </c>
      <c r="B243" t="s">
        <v>5896</v>
      </c>
      <c r="C243" t="s">
        <v>5897</v>
      </c>
      <c r="D243" t="s">
        <v>5902</v>
      </c>
      <c r="E243" t="s">
        <v>7974</v>
      </c>
      <c r="F243" t="s">
        <v>5902</v>
      </c>
      <c r="G243" t="s">
        <v>7771</v>
      </c>
      <c r="H243" t="s">
        <v>8716</v>
      </c>
      <c r="I243" t="s">
        <v>8256</v>
      </c>
    </row>
    <row r="244" spans="1:9" x14ac:dyDescent="0.3">
      <c r="A244" t="s">
        <v>5247</v>
      </c>
      <c r="B244" t="s">
        <v>5242</v>
      </c>
      <c r="C244" t="s">
        <v>5243</v>
      </c>
      <c r="D244" t="s">
        <v>5249</v>
      </c>
      <c r="E244" t="s">
        <v>7974</v>
      </c>
      <c r="F244" t="s">
        <v>5249</v>
      </c>
      <c r="G244" t="s">
        <v>7692</v>
      </c>
      <c r="H244" t="s">
        <v>8669</v>
      </c>
      <c r="I244" t="s">
        <v>8209</v>
      </c>
    </row>
    <row r="245" spans="1:9" x14ac:dyDescent="0.3">
      <c r="A245" t="s">
        <v>5260</v>
      </c>
      <c r="B245" t="s">
        <v>5242</v>
      </c>
      <c r="C245" t="s">
        <v>5243</v>
      </c>
      <c r="D245" t="s">
        <v>5249</v>
      </c>
      <c r="E245" t="s">
        <v>7974</v>
      </c>
      <c r="F245" t="s">
        <v>5249</v>
      </c>
      <c r="G245" t="s">
        <v>7692</v>
      </c>
      <c r="H245" t="s">
        <v>8669</v>
      </c>
      <c r="I245" t="s">
        <v>8209</v>
      </c>
    </row>
    <row r="246" spans="1:9" x14ac:dyDescent="0.3">
      <c r="A246" t="s">
        <v>5066</v>
      </c>
      <c r="B246" t="s">
        <v>5063</v>
      </c>
      <c r="C246" t="s">
        <v>5064</v>
      </c>
      <c r="D246" t="s">
        <v>5068</v>
      </c>
      <c r="E246" t="s">
        <v>7974</v>
      </c>
      <c r="F246" t="s">
        <v>5068</v>
      </c>
      <c r="G246" t="s">
        <v>7948</v>
      </c>
      <c r="H246" t="s">
        <v>8658</v>
      </c>
      <c r="I246" t="s">
        <v>8198</v>
      </c>
    </row>
    <row r="247" spans="1:9" x14ac:dyDescent="0.3">
      <c r="A247" t="s">
        <v>5710</v>
      </c>
      <c r="B247" t="s">
        <v>5693</v>
      </c>
      <c r="C247" t="s">
        <v>5694</v>
      </c>
      <c r="D247" t="s">
        <v>5706</v>
      </c>
      <c r="E247" t="s">
        <v>7974</v>
      </c>
      <c r="F247" t="s">
        <v>5706</v>
      </c>
      <c r="G247" t="s">
        <v>7734</v>
      </c>
      <c r="H247" t="s">
        <v>8707</v>
      </c>
      <c r="I247" t="s">
        <v>8247</v>
      </c>
    </row>
    <row r="248" spans="1:9" x14ac:dyDescent="0.3">
      <c r="A248" t="s">
        <v>5704</v>
      </c>
      <c r="B248" t="s">
        <v>5693</v>
      </c>
      <c r="C248" t="s">
        <v>5694</v>
      </c>
      <c r="D248" t="s">
        <v>5706</v>
      </c>
      <c r="E248" t="s">
        <v>7974</v>
      </c>
      <c r="F248" t="s">
        <v>5706</v>
      </c>
      <c r="G248" t="s">
        <v>7734</v>
      </c>
      <c r="H248" t="s">
        <v>8707</v>
      </c>
      <c r="I248" t="s">
        <v>8247</v>
      </c>
    </row>
    <row r="249" spans="1:9" x14ac:dyDescent="0.3">
      <c r="A249" t="s">
        <v>5108</v>
      </c>
      <c r="B249" t="s">
        <v>5098</v>
      </c>
      <c r="C249" t="s">
        <v>1891</v>
      </c>
      <c r="D249" t="s">
        <v>5109</v>
      </c>
      <c r="E249" t="s">
        <v>7974</v>
      </c>
      <c r="F249" t="s">
        <v>5109</v>
      </c>
      <c r="G249" t="s">
        <v>7768</v>
      </c>
      <c r="H249" t="s">
        <v>8660</v>
      </c>
      <c r="I249" t="s">
        <v>8200</v>
      </c>
    </row>
    <row r="250" spans="1:9" x14ac:dyDescent="0.3">
      <c r="A250" t="s">
        <v>5213</v>
      </c>
      <c r="B250" t="s">
        <v>5192</v>
      </c>
      <c r="C250" t="s">
        <v>5193</v>
      </c>
      <c r="D250" t="s">
        <v>5214</v>
      </c>
      <c r="E250" t="s">
        <v>7974</v>
      </c>
      <c r="F250" t="s">
        <v>5214</v>
      </c>
      <c r="G250" t="s">
        <v>7951</v>
      </c>
      <c r="H250" t="s">
        <v>8665</v>
      </c>
      <c r="I250" t="s">
        <v>8205</v>
      </c>
    </row>
    <row r="251" spans="1:9" x14ac:dyDescent="0.3">
      <c r="A251" t="s">
        <v>5206</v>
      </c>
      <c r="B251" t="s">
        <v>5192</v>
      </c>
      <c r="C251" t="s">
        <v>5193</v>
      </c>
      <c r="D251" t="s">
        <v>5207</v>
      </c>
      <c r="E251" t="s">
        <v>7974</v>
      </c>
      <c r="F251" t="s">
        <v>5207</v>
      </c>
      <c r="G251" t="s">
        <v>7720</v>
      </c>
      <c r="H251" t="s">
        <v>8665</v>
      </c>
      <c r="I251" t="s">
        <v>8205</v>
      </c>
    </row>
    <row r="252" spans="1:9" x14ac:dyDescent="0.3">
      <c r="A252" t="s">
        <v>5220</v>
      </c>
      <c r="B252" t="s">
        <v>5192</v>
      </c>
      <c r="C252" t="s">
        <v>5193</v>
      </c>
      <c r="D252" t="s">
        <v>5222</v>
      </c>
      <c r="E252" t="s">
        <v>7974</v>
      </c>
      <c r="F252" t="s">
        <v>7568</v>
      </c>
      <c r="G252" t="s">
        <v>7960</v>
      </c>
      <c r="H252" t="s">
        <v>8665</v>
      </c>
      <c r="I252" t="s">
        <v>8205</v>
      </c>
    </row>
    <row r="253" spans="1:9" x14ac:dyDescent="0.3">
      <c r="A253" t="s">
        <v>2087</v>
      </c>
      <c r="B253" t="s">
        <v>2046</v>
      </c>
      <c r="C253" t="s">
        <v>2019</v>
      </c>
      <c r="D253" t="s">
        <v>2089</v>
      </c>
      <c r="E253" t="s">
        <v>7974</v>
      </c>
      <c r="F253" t="s">
        <v>2089</v>
      </c>
      <c r="G253" t="s">
        <v>7745</v>
      </c>
      <c r="H253" t="s">
        <v>8520</v>
      </c>
      <c r="I253" t="s">
        <v>8058</v>
      </c>
    </row>
    <row r="254" spans="1:9" x14ac:dyDescent="0.3">
      <c r="A254" t="s">
        <v>4982</v>
      </c>
      <c r="B254" t="s">
        <v>4969</v>
      </c>
      <c r="C254" t="s">
        <v>2230</v>
      </c>
      <c r="D254" t="s">
        <v>4983</v>
      </c>
      <c r="E254" t="s">
        <v>7974</v>
      </c>
      <c r="F254" t="s">
        <v>4983</v>
      </c>
      <c r="G254" t="s">
        <v>7954</v>
      </c>
      <c r="H254" t="s">
        <v>8648</v>
      </c>
      <c r="I254" t="s">
        <v>8188</v>
      </c>
    </row>
    <row r="255" spans="1:9" x14ac:dyDescent="0.3">
      <c r="A255" t="s">
        <v>5700</v>
      </c>
      <c r="B255" t="s">
        <v>5693</v>
      </c>
      <c r="C255" t="s">
        <v>5694</v>
      </c>
      <c r="D255" t="s">
        <v>5702</v>
      </c>
      <c r="E255" t="s">
        <v>7974</v>
      </c>
      <c r="F255" t="s">
        <v>5702</v>
      </c>
      <c r="G255" t="s">
        <v>7733</v>
      </c>
      <c r="H255" t="s">
        <v>8707</v>
      </c>
      <c r="I255" t="s">
        <v>8247</v>
      </c>
    </row>
    <row r="256" spans="1:9" x14ac:dyDescent="0.3">
      <c r="A256" t="s">
        <v>2557</v>
      </c>
      <c r="B256" t="s">
        <v>2558</v>
      </c>
      <c r="C256" t="s">
        <v>524</v>
      </c>
      <c r="D256" t="s">
        <v>2560</v>
      </c>
      <c r="E256" t="s">
        <v>7974</v>
      </c>
      <c r="F256" t="s">
        <v>7538</v>
      </c>
      <c r="G256" t="s">
        <v>7881</v>
      </c>
      <c r="H256" t="s">
        <v>8418</v>
      </c>
      <c r="I256" t="s">
        <v>8419</v>
      </c>
    </row>
    <row r="257" spans="1:9" x14ac:dyDescent="0.3">
      <c r="A257" t="s">
        <v>4990</v>
      </c>
      <c r="B257" t="s">
        <v>4985</v>
      </c>
      <c r="C257" t="s">
        <v>4986</v>
      </c>
      <c r="D257" t="s">
        <v>4991</v>
      </c>
      <c r="E257" t="s">
        <v>7974</v>
      </c>
      <c r="F257" t="s">
        <v>4991</v>
      </c>
      <c r="G257" t="s">
        <v>7704</v>
      </c>
      <c r="H257" t="s">
        <v>8649</v>
      </c>
      <c r="I257" t="s">
        <v>8189</v>
      </c>
    </row>
    <row r="258" spans="1:9" x14ac:dyDescent="0.3">
      <c r="A258" t="s">
        <v>6843</v>
      </c>
      <c r="B258" t="s">
        <v>6818</v>
      </c>
      <c r="C258" t="s">
        <v>2957</v>
      </c>
      <c r="D258" t="s">
        <v>6845</v>
      </c>
      <c r="E258" t="s">
        <v>7974</v>
      </c>
      <c r="F258" t="s">
        <v>6845</v>
      </c>
      <c r="G258" t="s">
        <v>7773</v>
      </c>
      <c r="H258" t="s">
        <v>8796</v>
      </c>
      <c r="I258" t="s">
        <v>8336</v>
      </c>
    </row>
    <row r="259" spans="1:9" x14ac:dyDescent="0.3">
      <c r="A259" t="s">
        <v>5806</v>
      </c>
      <c r="B259" t="s">
        <v>5807</v>
      </c>
      <c r="C259" t="s">
        <v>5808</v>
      </c>
      <c r="D259" t="s">
        <v>5810</v>
      </c>
      <c r="E259" t="s">
        <v>7974</v>
      </c>
      <c r="F259" t="s">
        <v>5810</v>
      </c>
      <c r="G259" t="s">
        <v>7709</v>
      </c>
      <c r="H259" t="s">
        <v>8712</v>
      </c>
      <c r="I259" t="s">
        <v>8252</v>
      </c>
    </row>
    <row r="260" spans="1:9" x14ac:dyDescent="0.3">
      <c r="A260" t="s">
        <v>5630</v>
      </c>
      <c r="B260" t="s">
        <v>5619</v>
      </c>
      <c r="C260" t="s">
        <v>5620</v>
      </c>
      <c r="D260" t="s">
        <v>5632</v>
      </c>
      <c r="E260" t="s">
        <v>7974</v>
      </c>
      <c r="F260" t="s">
        <v>5632</v>
      </c>
      <c r="G260" t="s">
        <v>7736</v>
      </c>
      <c r="H260" t="s">
        <v>8702</v>
      </c>
      <c r="I260" t="s">
        <v>8242</v>
      </c>
    </row>
    <row r="261" spans="1:9" x14ac:dyDescent="0.3">
      <c r="A261" t="s">
        <v>6015</v>
      </c>
      <c r="B261" t="s">
        <v>6010</v>
      </c>
      <c r="C261" t="s">
        <v>4548</v>
      </c>
      <c r="D261" t="s">
        <v>6016</v>
      </c>
      <c r="E261" t="s">
        <v>7974</v>
      </c>
      <c r="F261" t="s">
        <v>6016</v>
      </c>
      <c r="G261" t="s">
        <v>7760</v>
      </c>
      <c r="H261" t="s">
        <v>8724</v>
      </c>
      <c r="I261" t="s">
        <v>8264</v>
      </c>
    </row>
    <row r="262" spans="1:9" x14ac:dyDescent="0.3">
      <c r="A262" t="s">
        <v>3013</v>
      </c>
      <c r="B262" t="s">
        <v>3004</v>
      </c>
      <c r="C262" t="s">
        <v>3005</v>
      </c>
      <c r="D262" t="s">
        <v>1690</v>
      </c>
      <c r="E262" t="s">
        <v>7974</v>
      </c>
      <c r="F262" t="s">
        <v>7479</v>
      </c>
      <c r="G262" t="s">
        <v>7832</v>
      </c>
      <c r="H262" t="s">
        <v>8559</v>
      </c>
      <c r="I262" t="s">
        <v>8099</v>
      </c>
    </row>
    <row r="263" spans="1:9" x14ac:dyDescent="0.3">
      <c r="A263" t="s">
        <v>1259</v>
      </c>
      <c r="B263" t="s">
        <v>1245</v>
      </c>
      <c r="C263" t="s">
        <v>1251</v>
      </c>
      <c r="D263" t="s">
        <v>1260</v>
      </c>
      <c r="E263" t="s">
        <v>7974</v>
      </c>
      <c r="F263" t="s">
        <v>7459</v>
      </c>
      <c r="G263" t="s">
        <v>7796</v>
      </c>
      <c r="H263" t="s">
        <v>8481</v>
      </c>
      <c r="I263" t="s">
        <v>8019</v>
      </c>
    </row>
    <row r="264" spans="1:9" x14ac:dyDescent="0.3">
      <c r="A264" t="s">
        <v>5804</v>
      </c>
      <c r="B264" t="s">
        <v>5795</v>
      </c>
      <c r="C264" t="s">
        <v>3184</v>
      </c>
      <c r="D264" t="s">
        <v>5805</v>
      </c>
      <c r="E264" t="s">
        <v>7974</v>
      </c>
      <c r="F264" t="s">
        <v>5805</v>
      </c>
      <c r="G264" t="s">
        <v>7665</v>
      </c>
      <c r="H264" t="s">
        <v>8711</v>
      </c>
      <c r="I264" t="s">
        <v>8251</v>
      </c>
    </row>
    <row r="265" spans="1:9" x14ac:dyDescent="0.3">
      <c r="A265" t="s">
        <v>6554</v>
      </c>
      <c r="B265" t="s">
        <v>6548</v>
      </c>
      <c r="C265" t="s">
        <v>6555</v>
      </c>
      <c r="D265" t="s">
        <v>6557</v>
      </c>
      <c r="E265" t="s">
        <v>7974</v>
      </c>
      <c r="F265" t="s">
        <v>6557</v>
      </c>
      <c r="G265" t="s">
        <v>7730</v>
      </c>
      <c r="H265" t="s">
        <v>8771</v>
      </c>
      <c r="I265" t="s">
        <v>8311</v>
      </c>
    </row>
    <row r="266" spans="1:9" x14ac:dyDescent="0.3">
      <c r="A266" t="s">
        <v>6213</v>
      </c>
      <c r="B266" t="s">
        <v>6204</v>
      </c>
      <c r="C266" t="s">
        <v>1474</v>
      </c>
      <c r="D266" t="s">
        <v>6215</v>
      </c>
      <c r="E266" t="s">
        <v>7974</v>
      </c>
      <c r="F266" t="s">
        <v>6215</v>
      </c>
      <c r="G266" t="s">
        <v>7961</v>
      </c>
      <c r="H266" t="s">
        <v>8748</v>
      </c>
      <c r="I266" t="s">
        <v>8287</v>
      </c>
    </row>
    <row r="267" spans="1:9" x14ac:dyDescent="0.3">
      <c r="A267" t="s">
        <v>6596</v>
      </c>
      <c r="B267" t="s">
        <v>6592</v>
      </c>
      <c r="C267" t="s">
        <v>135</v>
      </c>
      <c r="D267" t="s">
        <v>6597</v>
      </c>
      <c r="E267" t="s">
        <v>7974</v>
      </c>
      <c r="F267" t="s">
        <v>2678</v>
      </c>
      <c r="G267" t="s">
        <v>7890</v>
      </c>
      <c r="H267" t="s">
        <v>8774</v>
      </c>
      <c r="I267" t="s">
        <v>8314</v>
      </c>
    </row>
    <row r="268" spans="1:9" x14ac:dyDescent="0.3">
      <c r="A268" t="s">
        <v>6591</v>
      </c>
      <c r="B268" t="s">
        <v>6592</v>
      </c>
      <c r="C268" t="s">
        <v>135</v>
      </c>
      <c r="D268" t="s">
        <v>6594</v>
      </c>
      <c r="E268" t="s">
        <v>7974</v>
      </c>
      <c r="F268" t="s">
        <v>2672</v>
      </c>
      <c r="G268" t="s">
        <v>7889</v>
      </c>
      <c r="H268" t="s">
        <v>8774</v>
      </c>
      <c r="I268" t="s">
        <v>8314</v>
      </c>
    </row>
    <row r="269" spans="1:9" x14ac:dyDescent="0.3">
      <c r="A269" t="s">
        <v>3973</v>
      </c>
      <c r="B269" t="s">
        <v>3958</v>
      </c>
      <c r="C269" t="s">
        <v>1793</v>
      </c>
      <c r="D269" t="s">
        <v>3975</v>
      </c>
      <c r="E269" t="s">
        <v>7974</v>
      </c>
      <c r="F269" t="s">
        <v>3975</v>
      </c>
      <c r="G269" t="s">
        <v>7700</v>
      </c>
      <c r="H269" t="s">
        <v>8593</v>
      </c>
      <c r="I269" t="s">
        <v>8135</v>
      </c>
    </row>
    <row r="270" spans="1:9" x14ac:dyDescent="0.3">
      <c r="A270" t="s">
        <v>2459</v>
      </c>
      <c r="B270" t="s">
        <v>2425</v>
      </c>
      <c r="C270" t="s">
        <v>1415</v>
      </c>
      <c r="D270" t="s">
        <v>2461</v>
      </c>
      <c r="E270" t="s">
        <v>7974</v>
      </c>
      <c r="F270" t="s">
        <v>4597</v>
      </c>
      <c r="G270" t="s">
        <v>7869</v>
      </c>
      <c r="H270" t="s">
        <v>8535</v>
      </c>
      <c r="I270" t="s">
        <v>8074</v>
      </c>
    </row>
    <row r="271" spans="1:9" x14ac:dyDescent="0.3">
      <c r="A271" t="s">
        <v>3469</v>
      </c>
      <c r="B271" t="s">
        <v>3470</v>
      </c>
      <c r="C271" t="s">
        <v>3471</v>
      </c>
      <c r="D271" t="s">
        <v>3473</v>
      </c>
      <c r="E271" t="s">
        <v>7974</v>
      </c>
      <c r="F271" t="s">
        <v>7546</v>
      </c>
      <c r="G271" t="s">
        <v>7927</v>
      </c>
      <c r="H271" t="s">
        <v>8426</v>
      </c>
      <c r="I271" t="s">
        <v>8427</v>
      </c>
    </row>
    <row r="272" spans="1:9" x14ac:dyDescent="0.3">
      <c r="A272" t="s">
        <v>2627</v>
      </c>
      <c r="B272" t="s">
        <v>2573</v>
      </c>
      <c r="C272" t="s">
        <v>2316</v>
      </c>
      <c r="D272" t="s">
        <v>2628</v>
      </c>
      <c r="E272" t="s">
        <v>7974</v>
      </c>
      <c r="F272" t="s">
        <v>2628</v>
      </c>
      <c r="G272" t="s">
        <v>7887</v>
      </c>
      <c r="H272" t="s">
        <v>8541</v>
      </c>
      <c r="I272" t="s">
        <v>8080</v>
      </c>
    </row>
    <row r="273" spans="1:9" x14ac:dyDescent="0.3">
      <c r="A273" t="s">
        <v>6144</v>
      </c>
      <c r="B273" t="s">
        <v>6124</v>
      </c>
      <c r="C273" t="s">
        <v>562</v>
      </c>
      <c r="D273" t="s">
        <v>6146</v>
      </c>
      <c r="E273" t="s">
        <v>7974</v>
      </c>
      <c r="F273" t="s">
        <v>6146</v>
      </c>
      <c r="G273" t="s">
        <v>7964</v>
      </c>
      <c r="H273" t="s">
        <v>8739</v>
      </c>
      <c r="I273" t="s">
        <v>8085</v>
      </c>
    </row>
    <row r="274" spans="1:9" x14ac:dyDescent="0.3">
      <c r="A274" t="s">
        <v>6779</v>
      </c>
      <c r="B274" t="s">
        <v>6776</v>
      </c>
      <c r="C274" t="s">
        <v>3066</v>
      </c>
      <c r="D274" t="s">
        <v>6780</v>
      </c>
      <c r="E274" t="s">
        <v>7974</v>
      </c>
      <c r="F274" t="s">
        <v>6780</v>
      </c>
      <c r="G274" t="s">
        <v>7737</v>
      </c>
      <c r="H274" t="s">
        <v>8792</v>
      </c>
      <c r="I274" t="s">
        <v>8331</v>
      </c>
    </row>
    <row r="275" spans="1:9" x14ac:dyDescent="0.3">
      <c r="A275" t="s">
        <v>289</v>
      </c>
      <c r="B275" t="s">
        <v>265</v>
      </c>
      <c r="C275" t="s">
        <v>266</v>
      </c>
      <c r="D275" t="s">
        <v>290</v>
      </c>
      <c r="E275" t="s">
        <v>7974</v>
      </c>
      <c r="F275" t="s">
        <v>290</v>
      </c>
      <c r="G275" t="s">
        <v>7398</v>
      </c>
      <c r="H275" t="s">
        <v>8451</v>
      </c>
      <c r="I275" t="s">
        <v>7989</v>
      </c>
    </row>
    <row r="276" spans="1:9" x14ac:dyDescent="0.3">
      <c r="A276" t="s">
        <v>6401</v>
      </c>
      <c r="B276" t="s">
        <v>6383</v>
      </c>
      <c r="C276" t="s">
        <v>4148</v>
      </c>
      <c r="D276" t="s">
        <v>6402</v>
      </c>
      <c r="E276" t="s">
        <v>7974</v>
      </c>
      <c r="F276" t="s">
        <v>6402</v>
      </c>
      <c r="G276" t="s">
        <v>7729</v>
      </c>
      <c r="H276" t="s">
        <v>8760</v>
      </c>
      <c r="I276" t="s">
        <v>8300</v>
      </c>
    </row>
    <row r="277" spans="1:9" x14ac:dyDescent="0.3">
      <c r="A277" t="s">
        <v>6221</v>
      </c>
      <c r="B277" t="s">
        <v>6204</v>
      </c>
      <c r="C277" t="s">
        <v>1474</v>
      </c>
      <c r="D277" t="s">
        <v>6222</v>
      </c>
      <c r="E277" t="s">
        <v>7974</v>
      </c>
      <c r="F277" t="s">
        <v>6222</v>
      </c>
      <c r="G277" t="s">
        <v>7962</v>
      </c>
      <c r="H277" t="s">
        <v>8748</v>
      </c>
      <c r="I277" t="s">
        <v>8287</v>
      </c>
    </row>
    <row r="278" spans="1:9" x14ac:dyDescent="0.3">
      <c r="A278" t="s">
        <v>6647</v>
      </c>
      <c r="B278" t="s">
        <v>6641</v>
      </c>
      <c r="C278" t="s">
        <v>6200</v>
      </c>
      <c r="D278" t="s">
        <v>6649</v>
      </c>
      <c r="E278" t="s">
        <v>7974</v>
      </c>
      <c r="F278" t="s">
        <v>6649</v>
      </c>
      <c r="G278" t="s">
        <v>7969</v>
      </c>
      <c r="H278" t="s">
        <v>8780</v>
      </c>
      <c r="I278" t="s">
        <v>8320</v>
      </c>
    </row>
    <row r="279" spans="1:9" x14ac:dyDescent="0.3">
      <c r="A279" t="s">
        <v>4295</v>
      </c>
      <c r="B279" t="s">
        <v>4281</v>
      </c>
      <c r="C279" t="s">
        <v>4169</v>
      </c>
      <c r="D279" t="s">
        <v>4296</v>
      </c>
      <c r="E279" t="s">
        <v>7974</v>
      </c>
      <c r="F279" t="s">
        <v>4296</v>
      </c>
      <c r="G279" t="s">
        <v>7735</v>
      </c>
      <c r="H279" t="s">
        <v>8610</v>
      </c>
      <c r="I279" t="s">
        <v>8151</v>
      </c>
    </row>
    <row r="280" spans="1:9" x14ac:dyDescent="0.3">
      <c r="A280" t="s">
        <v>4256</v>
      </c>
      <c r="B280" t="s">
        <v>4241</v>
      </c>
      <c r="C280" t="s">
        <v>4248</v>
      </c>
      <c r="D280" t="s">
        <v>4257</v>
      </c>
      <c r="E280" t="s">
        <v>7974</v>
      </c>
      <c r="F280" t="s">
        <v>4257</v>
      </c>
      <c r="G280" t="s">
        <v>7690</v>
      </c>
      <c r="H280" t="s">
        <v>8607</v>
      </c>
      <c r="I280" t="s">
        <v>8149</v>
      </c>
    </row>
    <row r="281" spans="1:9" x14ac:dyDescent="0.3">
      <c r="A281" t="s">
        <v>4262</v>
      </c>
      <c r="B281" t="s">
        <v>4241</v>
      </c>
      <c r="C281" t="s">
        <v>4248</v>
      </c>
      <c r="D281" t="s">
        <v>4257</v>
      </c>
      <c r="E281" t="s">
        <v>7974</v>
      </c>
      <c r="F281" t="s">
        <v>4257</v>
      </c>
      <c r="G281" t="s">
        <v>7690</v>
      </c>
      <c r="H281" t="s">
        <v>8607</v>
      </c>
      <c r="I281" t="s">
        <v>8149</v>
      </c>
    </row>
    <row r="282" spans="1:9" x14ac:dyDescent="0.3">
      <c r="A282" t="s">
        <v>4579</v>
      </c>
      <c r="B282" t="s">
        <v>4561</v>
      </c>
      <c r="C282" t="s">
        <v>1775</v>
      </c>
      <c r="D282" t="s">
        <v>4580</v>
      </c>
      <c r="E282" t="s">
        <v>7974</v>
      </c>
      <c r="F282" t="s">
        <v>4580</v>
      </c>
      <c r="G282" t="s">
        <v>7946</v>
      </c>
      <c r="H282" t="s">
        <v>8626</v>
      </c>
      <c r="I282" t="s">
        <v>8166</v>
      </c>
    </row>
    <row r="283" spans="1:9" x14ac:dyDescent="0.3">
      <c r="A283" t="s">
        <v>5464</v>
      </c>
      <c r="B283" t="s">
        <v>5449</v>
      </c>
      <c r="C283" t="s">
        <v>5450</v>
      </c>
      <c r="D283" t="s">
        <v>5465</v>
      </c>
      <c r="E283" t="s">
        <v>7974</v>
      </c>
      <c r="F283" t="s">
        <v>5465</v>
      </c>
      <c r="G283" t="s">
        <v>7744</v>
      </c>
      <c r="H283" t="s">
        <v>8685</v>
      </c>
      <c r="I283" t="s">
        <v>8225</v>
      </c>
    </row>
    <row r="284" spans="1:9" x14ac:dyDescent="0.3">
      <c r="A284" t="s">
        <v>5790</v>
      </c>
      <c r="B284" t="s">
        <v>5760</v>
      </c>
      <c r="C284" t="s">
        <v>4657</v>
      </c>
      <c r="D284" t="s">
        <v>5792</v>
      </c>
      <c r="E284" t="s">
        <v>7974</v>
      </c>
      <c r="F284" t="s">
        <v>5792</v>
      </c>
      <c r="G284" t="s">
        <v>7952</v>
      </c>
      <c r="H284" t="s">
        <v>8710</v>
      </c>
      <c r="I284" t="s">
        <v>8250</v>
      </c>
    </row>
    <row r="285" spans="1:9" x14ac:dyDescent="0.3">
      <c r="A285" t="s">
        <v>5547</v>
      </c>
      <c r="B285" t="s">
        <v>5537</v>
      </c>
      <c r="C285" t="s">
        <v>4141</v>
      </c>
      <c r="D285" t="s">
        <v>5549</v>
      </c>
      <c r="E285" t="s">
        <v>7974</v>
      </c>
      <c r="F285" t="s">
        <v>7571</v>
      </c>
      <c r="G285" t="s">
        <v>7966</v>
      </c>
      <c r="H285" t="s">
        <v>8691</v>
      </c>
      <c r="I285" t="s">
        <v>8231</v>
      </c>
    </row>
    <row r="286" spans="1:9" x14ac:dyDescent="0.3">
      <c r="A286" t="s">
        <v>5543</v>
      </c>
      <c r="B286" t="s">
        <v>5537</v>
      </c>
      <c r="C286" t="s">
        <v>4141</v>
      </c>
      <c r="D286" t="s">
        <v>5545</v>
      </c>
      <c r="E286" t="s">
        <v>7974</v>
      </c>
      <c r="F286" t="s">
        <v>7570</v>
      </c>
      <c r="G286" t="s">
        <v>7965</v>
      </c>
      <c r="H286" t="s">
        <v>8691</v>
      </c>
      <c r="I286" t="s">
        <v>8231</v>
      </c>
    </row>
    <row r="287" spans="1:9" x14ac:dyDescent="0.3">
      <c r="A287" t="s">
        <v>5747</v>
      </c>
      <c r="B287" t="s">
        <v>5736</v>
      </c>
      <c r="C287" t="s">
        <v>4148</v>
      </c>
      <c r="D287" t="s">
        <v>5748</v>
      </c>
      <c r="E287" t="s">
        <v>7974</v>
      </c>
      <c r="F287" t="s">
        <v>5748</v>
      </c>
      <c r="G287" t="s">
        <v>7666</v>
      </c>
      <c r="H287" t="s">
        <v>8602</v>
      </c>
      <c r="I287" t="s">
        <v>8144</v>
      </c>
    </row>
    <row r="288" spans="1:9" x14ac:dyDescent="0.3">
      <c r="A288" t="s">
        <v>5138</v>
      </c>
      <c r="B288" t="s">
        <v>5139</v>
      </c>
      <c r="C288" t="s">
        <v>5140</v>
      </c>
      <c r="D288" t="s">
        <v>5142</v>
      </c>
      <c r="E288" t="s">
        <v>7974</v>
      </c>
      <c r="F288" t="s">
        <v>5142</v>
      </c>
      <c r="G288" t="s">
        <v>7743</v>
      </c>
      <c r="H288" t="s">
        <v>8467</v>
      </c>
      <c r="I288" t="s">
        <v>8005</v>
      </c>
    </row>
    <row r="289" spans="1:9" x14ac:dyDescent="0.3">
      <c r="A289" t="s">
        <v>6366</v>
      </c>
      <c r="B289" t="s">
        <v>6317</v>
      </c>
      <c r="C289" t="s">
        <v>6318</v>
      </c>
      <c r="D289" t="s">
        <v>6367</v>
      </c>
      <c r="E289" t="s">
        <v>7974</v>
      </c>
      <c r="F289" t="s">
        <v>7663</v>
      </c>
      <c r="G289" t="s">
        <v>7678</v>
      </c>
      <c r="H289" t="s">
        <v>8758</v>
      </c>
      <c r="I289" t="s">
        <v>8298</v>
      </c>
    </row>
    <row r="290" spans="1:9" x14ac:dyDescent="0.3">
      <c r="A290" t="s">
        <v>7303</v>
      </c>
      <c r="B290" t="s">
        <v>7316</v>
      </c>
      <c r="C290" t="s">
        <v>7305</v>
      </c>
      <c r="D290" t="s">
        <v>7307</v>
      </c>
      <c r="E290" t="s">
        <v>7974</v>
      </c>
      <c r="F290" t="s">
        <v>8431</v>
      </c>
      <c r="G290" t="s">
        <v>7427</v>
      </c>
      <c r="H290" t="s">
        <v>8773</v>
      </c>
      <c r="I290" t="s">
        <v>8313</v>
      </c>
    </row>
    <row r="291" spans="1:9" x14ac:dyDescent="0.3">
      <c r="A291" t="s">
        <v>7308</v>
      </c>
      <c r="B291" t="s">
        <v>7316</v>
      </c>
      <c r="C291" t="s">
        <v>7305</v>
      </c>
      <c r="D291" t="s">
        <v>7309</v>
      </c>
      <c r="E291" t="s">
        <v>7974</v>
      </c>
      <c r="F291" t="s">
        <v>7309</v>
      </c>
      <c r="G291" t="s">
        <v>7971</v>
      </c>
      <c r="H291" t="s">
        <v>8773</v>
      </c>
      <c r="I291" t="s">
        <v>8313</v>
      </c>
    </row>
    <row r="292" spans="1:9" x14ac:dyDescent="0.3">
      <c r="A292" t="s">
        <v>4497</v>
      </c>
      <c r="B292" t="s">
        <v>4498</v>
      </c>
      <c r="C292" t="s">
        <v>909</v>
      </c>
      <c r="D292" t="s">
        <v>4500</v>
      </c>
      <c r="E292" t="s">
        <v>7974</v>
      </c>
      <c r="F292" t="s">
        <v>4500</v>
      </c>
      <c r="G292" t="s">
        <v>7769</v>
      </c>
      <c r="H292" t="s">
        <v>8469</v>
      </c>
      <c r="I292" t="s">
        <v>8007</v>
      </c>
    </row>
    <row r="293" spans="1:9" x14ac:dyDescent="0.3">
      <c r="A293" t="s">
        <v>4238</v>
      </c>
      <c r="B293" t="s">
        <v>4201</v>
      </c>
      <c r="C293" t="s">
        <v>452</v>
      </c>
      <c r="D293" t="s">
        <v>4239</v>
      </c>
      <c r="E293" t="s">
        <v>7974</v>
      </c>
      <c r="F293" t="s">
        <v>4239</v>
      </c>
      <c r="G293" t="s">
        <v>7711</v>
      </c>
      <c r="H293" t="s">
        <v>8428</v>
      </c>
      <c r="I293" t="s">
        <v>8429</v>
      </c>
    </row>
    <row r="294" spans="1:9" x14ac:dyDescent="0.3">
      <c r="A294" t="s">
        <v>4589</v>
      </c>
      <c r="B294" t="s">
        <v>4585</v>
      </c>
      <c r="C294" t="s">
        <v>100</v>
      </c>
      <c r="D294" t="s">
        <v>4591</v>
      </c>
      <c r="E294" t="s">
        <v>7974</v>
      </c>
      <c r="F294" t="s">
        <v>4591</v>
      </c>
      <c r="G294" t="s">
        <v>7909</v>
      </c>
      <c r="H294" t="s">
        <v>8515</v>
      </c>
      <c r="I294" t="s">
        <v>8167</v>
      </c>
    </row>
    <row r="295" spans="1:9" x14ac:dyDescent="0.3">
      <c r="A295" t="s">
        <v>6562</v>
      </c>
      <c r="B295" t="s">
        <v>6548</v>
      </c>
      <c r="C295" t="s">
        <v>6555</v>
      </c>
      <c r="D295" t="s">
        <v>6564</v>
      </c>
      <c r="E295" t="s">
        <v>7974</v>
      </c>
      <c r="F295" t="s">
        <v>6564</v>
      </c>
      <c r="G295" t="s">
        <v>7731</v>
      </c>
      <c r="H295" t="s">
        <v>8771</v>
      </c>
      <c r="I295" t="s">
        <v>8311</v>
      </c>
    </row>
    <row r="296" spans="1:9" x14ac:dyDescent="0.3">
      <c r="A296" t="s">
        <v>4899</v>
      </c>
      <c r="B296" t="s">
        <v>4870</v>
      </c>
      <c r="C296" t="s">
        <v>2483</v>
      </c>
      <c r="D296" t="s">
        <v>4900</v>
      </c>
      <c r="E296" t="s">
        <v>7974</v>
      </c>
      <c r="F296" t="s">
        <v>5214</v>
      </c>
      <c r="G296" t="s">
        <v>7951</v>
      </c>
      <c r="H296" t="s">
        <v>8641</v>
      </c>
      <c r="I296" t="s">
        <v>8182</v>
      </c>
    </row>
    <row r="297" spans="1:9" x14ac:dyDescent="0.3">
      <c r="A297" t="s">
        <v>4901</v>
      </c>
      <c r="B297" t="s">
        <v>4870</v>
      </c>
      <c r="C297" t="s">
        <v>2483</v>
      </c>
      <c r="D297" t="s">
        <v>4903</v>
      </c>
      <c r="E297" t="s">
        <v>7974</v>
      </c>
      <c r="F297" t="s">
        <v>3408</v>
      </c>
      <c r="G297" t="s">
        <v>7926</v>
      </c>
      <c r="H297" t="s">
        <v>8641</v>
      </c>
      <c r="I297" t="s">
        <v>8182</v>
      </c>
    </row>
    <row r="298" spans="1:9" x14ac:dyDescent="0.3">
      <c r="A298" t="s">
        <v>4904</v>
      </c>
      <c r="B298" t="s">
        <v>4870</v>
      </c>
      <c r="C298" t="s">
        <v>2483</v>
      </c>
      <c r="D298" t="s">
        <v>4906</v>
      </c>
      <c r="E298" t="s">
        <v>7974</v>
      </c>
      <c r="F298" t="s">
        <v>5792</v>
      </c>
      <c r="G298" t="s">
        <v>7952</v>
      </c>
      <c r="H298" t="s">
        <v>8641</v>
      </c>
      <c r="I298" t="s">
        <v>8182</v>
      </c>
    </row>
    <row r="299" spans="1:9" x14ac:dyDescent="0.3">
      <c r="A299" t="s">
        <v>6728</v>
      </c>
      <c r="B299" t="s">
        <v>6726</v>
      </c>
      <c r="C299" t="s">
        <v>4128</v>
      </c>
      <c r="D299" t="s">
        <v>6730</v>
      </c>
      <c r="E299" t="s">
        <v>7974</v>
      </c>
      <c r="F299" t="s">
        <v>6730</v>
      </c>
      <c r="G299" t="s">
        <v>7697</v>
      </c>
      <c r="H299" t="s">
        <v>8789</v>
      </c>
      <c r="I299" t="s">
        <v>8328</v>
      </c>
    </row>
    <row r="300" spans="1:9" x14ac:dyDescent="0.3">
      <c r="A300" t="s">
        <v>5136</v>
      </c>
      <c r="B300" t="s">
        <v>5113</v>
      </c>
      <c r="C300" t="s">
        <v>95</v>
      </c>
      <c r="D300" t="s">
        <v>5137</v>
      </c>
      <c r="E300" t="s">
        <v>7974</v>
      </c>
      <c r="F300" t="s">
        <v>5137</v>
      </c>
      <c r="G300" t="s">
        <v>7751</v>
      </c>
      <c r="H300" t="s">
        <v>8661</v>
      </c>
      <c r="I300" t="s">
        <v>8201</v>
      </c>
    </row>
    <row r="301" spans="1:9" x14ac:dyDescent="0.3">
      <c r="A301" t="s">
        <v>4595</v>
      </c>
      <c r="B301" t="s">
        <v>4585</v>
      </c>
      <c r="C301" t="s">
        <v>100</v>
      </c>
      <c r="D301" t="s">
        <v>4597</v>
      </c>
      <c r="E301" t="s">
        <v>7974</v>
      </c>
      <c r="F301" t="s">
        <v>4597</v>
      </c>
      <c r="G301" t="s">
        <v>7869</v>
      </c>
      <c r="H301" t="s">
        <v>8515</v>
      </c>
      <c r="I301" t="s">
        <v>8167</v>
      </c>
    </row>
    <row r="302" spans="1:9" x14ac:dyDescent="0.3">
      <c r="A302" t="s">
        <v>5671</v>
      </c>
      <c r="B302" t="s">
        <v>5662</v>
      </c>
      <c r="C302" t="s">
        <v>4128</v>
      </c>
      <c r="D302" t="s">
        <v>5672</v>
      </c>
      <c r="E302" t="s">
        <v>7974</v>
      </c>
      <c r="F302" t="s">
        <v>5672</v>
      </c>
      <c r="G302" t="s">
        <v>7696</v>
      </c>
      <c r="H302" t="s">
        <v>8704</v>
      </c>
      <c r="I302" t="s">
        <v>8244</v>
      </c>
    </row>
    <row r="303" spans="1:9" x14ac:dyDescent="0.3">
      <c r="A303" t="s">
        <v>4390</v>
      </c>
      <c r="B303" t="s">
        <v>4391</v>
      </c>
      <c r="C303" t="s">
        <v>1415</v>
      </c>
      <c r="D303" t="s">
        <v>4393</v>
      </c>
      <c r="E303" t="s">
        <v>7974</v>
      </c>
      <c r="F303" t="s">
        <v>5495</v>
      </c>
      <c r="G303" t="s">
        <v>7944</v>
      </c>
      <c r="H303" t="s">
        <v>8618</v>
      </c>
      <c r="I303" t="s">
        <v>8159</v>
      </c>
    </row>
    <row r="304" spans="1:9" x14ac:dyDescent="0.3">
      <c r="A304" t="s">
        <v>4387</v>
      </c>
      <c r="B304" t="s">
        <v>4363</v>
      </c>
      <c r="C304" t="s">
        <v>4384</v>
      </c>
      <c r="D304" t="s">
        <v>4389</v>
      </c>
      <c r="E304" t="s">
        <v>7974</v>
      </c>
      <c r="F304" t="s">
        <v>4389</v>
      </c>
      <c r="G304" t="s">
        <v>7770</v>
      </c>
      <c r="H304" t="s">
        <v>8617</v>
      </c>
      <c r="I304" t="s">
        <v>8158</v>
      </c>
    </row>
    <row r="305" spans="1:9" x14ac:dyDescent="0.3">
      <c r="A305" t="s">
        <v>6749</v>
      </c>
      <c r="B305" t="s">
        <v>6726</v>
      </c>
      <c r="C305" t="s">
        <v>4128</v>
      </c>
      <c r="D305" t="s">
        <v>6750</v>
      </c>
      <c r="E305" t="s">
        <v>7974</v>
      </c>
      <c r="F305" t="s">
        <v>6750</v>
      </c>
      <c r="G305" t="s">
        <v>7698</v>
      </c>
      <c r="H305" t="s">
        <v>8789</v>
      </c>
      <c r="I305" t="s">
        <v>8328</v>
      </c>
    </row>
    <row r="306" spans="1:9" x14ac:dyDescent="0.3">
      <c r="A306" t="s">
        <v>4611</v>
      </c>
      <c r="B306" t="s">
        <v>4612</v>
      </c>
      <c r="C306" t="s">
        <v>971</v>
      </c>
      <c r="D306" t="s">
        <v>4614</v>
      </c>
      <c r="E306" t="s">
        <v>7974</v>
      </c>
      <c r="F306" t="s">
        <v>6446</v>
      </c>
      <c r="G306" t="s">
        <v>7947</v>
      </c>
      <c r="H306" t="s">
        <v>8627</v>
      </c>
      <c r="I306" t="s">
        <v>8009</v>
      </c>
    </row>
    <row r="307" spans="1:9" x14ac:dyDescent="0.3">
      <c r="A307" t="s">
        <v>4615</v>
      </c>
      <c r="B307" t="s">
        <v>4612</v>
      </c>
      <c r="C307" t="s">
        <v>971</v>
      </c>
      <c r="D307" t="s">
        <v>4617</v>
      </c>
      <c r="E307" t="s">
        <v>7974</v>
      </c>
      <c r="F307" t="s">
        <v>5068</v>
      </c>
      <c r="G307" t="s">
        <v>7948</v>
      </c>
      <c r="H307" t="s">
        <v>8627</v>
      </c>
      <c r="I307" t="s">
        <v>8009</v>
      </c>
    </row>
    <row r="308" spans="1:9" x14ac:dyDescent="0.3">
      <c r="A308" t="s">
        <v>6839</v>
      </c>
      <c r="B308" t="s">
        <v>6818</v>
      </c>
      <c r="C308" t="s">
        <v>2957</v>
      </c>
      <c r="D308" t="s">
        <v>7664</v>
      </c>
      <c r="E308" t="s">
        <v>7974</v>
      </c>
      <c r="F308" t="s">
        <v>7664</v>
      </c>
      <c r="G308" t="s">
        <v>7772</v>
      </c>
      <c r="H308" t="s">
        <v>8796</v>
      </c>
      <c r="I308" t="s">
        <v>8336</v>
      </c>
    </row>
    <row r="309" spans="1:9" x14ac:dyDescent="0.3">
      <c r="A309" t="s">
        <v>6856</v>
      </c>
      <c r="B309" t="s">
        <v>6818</v>
      </c>
      <c r="C309" t="s">
        <v>308</v>
      </c>
      <c r="D309" t="s">
        <v>6857</v>
      </c>
      <c r="E309" t="s">
        <v>7974</v>
      </c>
      <c r="F309" t="s">
        <v>6857</v>
      </c>
      <c r="G309" t="s">
        <v>7970</v>
      </c>
      <c r="H309" t="s">
        <v>8796</v>
      </c>
      <c r="I309" t="s">
        <v>8336</v>
      </c>
    </row>
    <row r="310" spans="1:9" x14ac:dyDescent="0.3">
      <c r="A310" t="s">
        <v>5130</v>
      </c>
      <c r="B310" t="s">
        <v>5113</v>
      </c>
      <c r="C310" t="s">
        <v>95</v>
      </c>
      <c r="D310" t="s">
        <v>5132</v>
      </c>
      <c r="E310" t="s">
        <v>7974</v>
      </c>
      <c r="F310" t="s">
        <v>5132</v>
      </c>
      <c r="G310" t="s">
        <v>7750</v>
      </c>
      <c r="H310" t="s">
        <v>8661</v>
      </c>
      <c r="I310" t="s">
        <v>8201</v>
      </c>
    </row>
    <row r="311" spans="1:9" x14ac:dyDescent="0.3">
      <c r="A311" t="s">
        <v>6859</v>
      </c>
      <c r="B311" t="s">
        <v>6860</v>
      </c>
      <c r="C311" t="s">
        <v>95</v>
      </c>
      <c r="D311" t="s">
        <v>6862</v>
      </c>
      <c r="E311" t="s">
        <v>7974</v>
      </c>
      <c r="F311" t="s">
        <v>6862</v>
      </c>
      <c r="G311" t="s">
        <v>7752</v>
      </c>
      <c r="H311" t="s">
        <v>8621</v>
      </c>
      <c r="I311" t="s">
        <v>7981</v>
      </c>
    </row>
    <row r="312" spans="1:9" x14ac:dyDescent="0.3">
      <c r="A312" t="s">
        <v>7973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 Lookups</vt:lpstr>
      <vt:lpstr>Query Export w PatSnap Data</vt:lpstr>
      <vt:lpstr>Detailed Drop Downs</vt:lpstr>
      <vt:lpstr>Query Export</vt:lpstr>
      <vt:lpstr>Pivot Summary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Chadbourn, Chad (CONTR)</dc:creator>
  <cp:keywords/>
  <dc:description/>
  <cp:lastModifiedBy>Park, Jiyoon [USA]</cp:lastModifiedBy>
  <dcterms:created xsi:type="dcterms:W3CDTF">2019-10-03T16:52:05Z</dcterms:created>
  <dcterms:modified xsi:type="dcterms:W3CDTF">2019-12-02T20:03:52Z</dcterms:modified>
  <cp:category/>
  <cp:contentStatus/>
</cp:coreProperties>
</file>