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woo\textmining\"/>
    </mc:Choice>
  </mc:AlternateContent>
  <xr:revisionPtr revIDLastSave="0" documentId="8_{81DE8988-47E5-44A0-904B-D1496E54309B}" xr6:coauthVersionLast="47" xr6:coauthVersionMax="47" xr10:uidLastSave="{00000000-0000-0000-0000-000000000000}"/>
  <bookViews>
    <workbookView xWindow="-110" yWindow="-110" windowWidth="25820" windowHeight="15500"/>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F3" i="1"/>
  <c r="BT3" i="1"/>
  <c r="BT4" i="1"/>
  <c r="BF5" i="1"/>
  <c r="BT5" i="1"/>
  <c r="BF6" i="1"/>
  <c r="BT6" i="1"/>
  <c r="BF7" i="1"/>
  <c r="BT7" i="1"/>
  <c r="BF8" i="1"/>
  <c r="BT8" i="1"/>
  <c r="BF9" i="1"/>
  <c r="BT9" i="1"/>
  <c r="BF10" i="1"/>
  <c r="BT10" i="1"/>
  <c r="BF11" i="1"/>
  <c r="BT11" i="1"/>
  <c r="BF12" i="1"/>
  <c r="BT12" i="1"/>
  <c r="BF13" i="1"/>
  <c r="BT13" i="1"/>
  <c r="BF14" i="1"/>
  <c r="BT14" i="1"/>
  <c r="BF15" i="1"/>
  <c r="BT15" i="1"/>
  <c r="BF16" i="1"/>
  <c r="BT16" i="1"/>
  <c r="BF17" i="1"/>
  <c r="BT17" i="1"/>
  <c r="BF18" i="1"/>
  <c r="BT18" i="1"/>
  <c r="BF19" i="1"/>
  <c r="BT19" i="1"/>
  <c r="BF20" i="1"/>
  <c r="BT20" i="1"/>
  <c r="BF21" i="1"/>
  <c r="BT21" i="1"/>
  <c r="BF22" i="1"/>
  <c r="BT22" i="1"/>
  <c r="BF23" i="1"/>
  <c r="BT23" i="1"/>
  <c r="BF24" i="1"/>
  <c r="BT24" i="1"/>
  <c r="BF25" i="1"/>
  <c r="BT25" i="1"/>
  <c r="BF26" i="1"/>
  <c r="BT26" i="1"/>
  <c r="BF27" i="1"/>
  <c r="BT27" i="1"/>
  <c r="BF28" i="1"/>
  <c r="BT28" i="1"/>
  <c r="BF29" i="1"/>
  <c r="BT29" i="1"/>
  <c r="BF30" i="1"/>
  <c r="BT30" i="1"/>
  <c r="BF31" i="1"/>
  <c r="BT31" i="1"/>
  <c r="BF32" i="1"/>
  <c r="BT32" i="1"/>
  <c r="BF33" i="1"/>
  <c r="BT33" i="1"/>
  <c r="BF34" i="1"/>
  <c r="BT34" i="1"/>
  <c r="BF35" i="1"/>
  <c r="BT35" i="1"/>
  <c r="BF36" i="1"/>
  <c r="BT36" i="1"/>
  <c r="BF37" i="1"/>
  <c r="BT37" i="1"/>
  <c r="BF38" i="1"/>
  <c r="BT38" i="1"/>
  <c r="BF39" i="1"/>
  <c r="BT39" i="1"/>
  <c r="BF40" i="1"/>
  <c r="BT40" i="1"/>
  <c r="BF41" i="1"/>
  <c r="BT41" i="1"/>
  <c r="BF42" i="1"/>
  <c r="BT42" i="1"/>
  <c r="BF43" i="1"/>
  <c r="BT43" i="1"/>
  <c r="BF44" i="1"/>
  <c r="BT44" i="1"/>
  <c r="BF45" i="1"/>
  <c r="BT45" i="1"/>
  <c r="BF46" i="1"/>
  <c r="BT46" i="1"/>
  <c r="BF47" i="1"/>
  <c r="BT47" i="1"/>
  <c r="BF48" i="1"/>
  <c r="BT48" i="1"/>
  <c r="BF49" i="1"/>
  <c r="BT49" i="1"/>
  <c r="BF50" i="1"/>
  <c r="BT50" i="1"/>
  <c r="BF51" i="1"/>
  <c r="BT51" i="1"/>
  <c r="BF52" i="1"/>
  <c r="BT52" i="1"/>
  <c r="BF53" i="1"/>
  <c r="BT53" i="1"/>
  <c r="BF54" i="1"/>
  <c r="BT54" i="1"/>
  <c r="BF55" i="1"/>
  <c r="BT55" i="1"/>
  <c r="BF56" i="1"/>
  <c r="BT56" i="1"/>
  <c r="BF57" i="1"/>
  <c r="BT57" i="1"/>
  <c r="BF58" i="1"/>
  <c r="BT58" i="1"/>
  <c r="BF59" i="1"/>
  <c r="BT59" i="1"/>
  <c r="BF60" i="1"/>
  <c r="BT60" i="1"/>
  <c r="BF61" i="1"/>
  <c r="BT61" i="1"/>
  <c r="BF62" i="1"/>
  <c r="BT62" i="1"/>
  <c r="BF63" i="1"/>
  <c r="BT63" i="1"/>
  <c r="BF64" i="1"/>
  <c r="BT64" i="1"/>
  <c r="BF65" i="1"/>
  <c r="BT65" i="1"/>
  <c r="BF66" i="1"/>
  <c r="BT66" i="1"/>
  <c r="BF67" i="1"/>
  <c r="BT67" i="1"/>
  <c r="BF68" i="1"/>
  <c r="BT68" i="1"/>
  <c r="BT69" i="1"/>
  <c r="BF70" i="1"/>
  <c r="BT70" i="1"/>
  <c r="BF71" i="1"/>
  <c r="BT71" i="1"/>
  <c r="BF72" i="1"/>
  <c r="BT72" i="1"/>
  <c r="BF73" i="1"/>
  <c r="BT73" i="1"/>
  <c r="BF74" i="1"/>
  <c r="BT74" i="1"/>
  <c r="BF75" i="1"/>
  <c r="BT75" i="1"/>
  <c r="BF76" i="1"/>
  <c r="BT76" i="1"/>
  <c r="BF77" i="1"/>
  <c r="BT77" i="1"/>
  <c r="BF78" i="1"/>
  <c r="BT78" i="1"/>
  <c r="BF79" i="1"/>
  <c r="BT79" i="1"/>
  <c r="BF80" i="1"/>
  <c r="BT80" i="1"/>
  <c r="BF81" i="1"/>
  <c r="BT81" i="1"/>
  <c r="BF82" i="1"/>
  <c r="BT82" i="1"/>
  <c r="BF83" i="1"/>
  <c r="BT83" i="1"/>
  <c r="BF84" i="1"/>
  <c r="BT84" i="1"/>
  <c r="BF85" i="1"/>
  <c r="BT85" i="1"/>
  <c r="BF86" i="1"/>
  <c r="BT86" i="1"/>
  <c r="BF87" i="1"/>
  <c r="BT87" i="1"/>
  <c r="BF88" i="1"/>
  <c r="BT88" i="1"/>
  <c r="BF89" i="1"/>
  <c r="BT89" i="1"/>
  <c r="BF90" i="1"/>
  <c r="BT90" i="1"/>
  <c r="BF91" i="1"/>
  <c r="BT91" i="1"/>
  <c r="BT92" i="1"/>
  <c r="BF93" i="1"/>
  <c r="BT93" i="1"/>
  <c r="BF94" i="1"/>
  <c r="BT94" i="1"/>
  <c r="BF95" i="1"/>
  <c r="BT95" i="1"/>
  <c r="BF96" i="1"/>
  <c r="BT96" i="1"/>
  <c r="BF97" i="1"/>
  <c r="BT97" i="1"/>
  <c r="BF98" i="1"/>
  <c r="BT98" i="1"/>
  <c r="BF99" i="1"/>
  <c r="BT99" i="1"/>
  <c r="BF100" i="1"/>
  <c r="BT100" i="1"/>
  <c r="BF101" i="1"/>
  <c r="BT101" i="1"/>
  <c r="BF102" i="1"/>
  <c r="BT102" i="1"/>
  <c r="BF103" i="1"/>
  <c r="BT103" i="1"/>
  <c r="BF104" i="1"/>
  <c r="BT104" i="1"/>
  <c r="BF105" i="1"/>
  <c r="BT105" i="1"/>
  <c r="BF106" i="1"/>
  <c r="BT106" i="1"/>
  <c r="BF107" i="1"/>
  <c r="BT107" i="1"/>
  <c r="BF108" i="1"/>
  <c r="BT108" i="1"/>
  <c r="BF109" i="1"/>
  <c r="BT109" i="1"/>
  <c r="BF110" i="1"/>
  <c r="BT110" i="1"/>
  <c r="BF111" i="1"/>
  <c r="BT111" i="1"/>
  <c r="BF112" i="1"/>
  <c r="BT112" i="1"/>
  <c r="BF113" i="1"/>
  <c r="BT113" i="1"/>
  <c r="BF114" i="1"/>
  <c r="BT114" i="1"/>
  <c r="BF115" i="1"/>
  <c r="BT115" i="1"/>
  <c r="BF116" i="1"/>
  <c r="BT116" i="1"/>
  <c r="BF117" i="1"/>
  <c r="BT117" i="1"/>
  <c r="BF118" i="1"/>
  <c r="BT118" i="1"/>
  <c r="BF119" i="1"/>
  <c r="BT119" i="1"/>
  <c r="BF120" i="1"/>
  <c r="BT120" i="1"/>
  <c r="BF121" i="1"/>
  <c r="BT121" i="1"/>
  <c r="BF122" i="1"/>
  <c r="BT122" i="1"/>
  <c r="BF123" i="1"/>
  <c r="BT123" i="1"/>
  <c r="BF124" i="1"/>
  <c r="BT124" i="1"/>
  <c r="BF125" i="1"/>
  <c r="BT125" i="1"/>
  <c r="BF126" i="1"/>
  <c r="BT126" i="1"/>
  <c r="BF127" i="1"/>
  <c r="BT127" i="1"/>
  <c r="BF128" i="1"/>
  <c r="BT128" i="1"/>
  <c r="BF129" i="1"/>
  <c r="BT129" i="1"/>
  <c r="BF130" i="1"/>
  <c r="BT130" i="1"/>
  <c r="BF131" i="1"/>
  <c r="BT131" i="1"/>
  <c r="BF132" i="1"/>
  <c r="BT132" i="1"/>
  <c r="BF133" i="1"/>
  <c r="BT133" i="1"/>
  <c r="BF134" i="1"/>
  <c r="BT134" i="1"/>
  <c r="BF135" i="1"/>
  <c r="BT135" i="1"/>
  <c r="BF136" i="1"/>
  <c r="BT136" i="1"/>
  <c r="BF137" i="1"/>
  <c r="BT137" i="1"/>
  <c r="BF138" i="1"/>
  <c r="BT138" i="1"/>
  <c r="BF139" i="1"/>
  <c r="BT139" i="1"/>
  <c r="BF140" i="1"/>
  <c r="BT140" i="1"/>
  <c r="BF141" i="1"/>
  <c r="BT141" i="1"/>
  <c r="BF142" i="1"/>
  <c r="BT142" i="1"/>
  <c r="BF143" i="1"/>
  <c r="BT143" i="1"/>
  <c r="BF144" i="1"/>
  <c r="BT144" i="1"/>
  <c r="BF145" i="1"/>
  <c r="BT145" i="1"/>
  <c r="BF146" i="1"/>
  <c r="BT146" i="1"/>
  <c r="BT147" i="1"/>
  <c r="BF148" i="1"/>
  <c r="BT148" i="1"/>
  <c r="BF149" i="1"/>
  <c r="BT149" i="1"/>
  <c r="BF150" i="1"/>
  <c r="BT150" i="1"/>
  <c r="BF151" i="1"/>
  <c r="BT151" i="1"/>
  <c r="BF152" i="1"/>
  <c r="BT152" i="1"/>
  <c r="BF153" i="1"/>
  <c r="BT153" i="1"/>
  <c r="BF154" i="1"/>
  <c r="BT154" i="1"/>
  <c r="BF155" i="1"/>
  <c r="BT155" i="1"/>
  <c r="BF156" i="1"/>
  <c r="BT156" i="1"/>
  <c r="BF157" i="1"/>
  <c r="BT157" i="1"/>
  <c r="BF158" i="1"/>
  <c r="BT158" i="1"/>
  <c r="BF159" i="1"/>
  <c r="BT159" i="1"/>
  <c r="BF160" i="1"/>
  <c r="BT160" i="1"/>
  <c r="BF161" i="1"/>
  <c r="BT161" i="1"/>
  <c r="BF162" i="1"/>
  <c r="BT162" i="1"/>
  <c r="BF163" i="1"/>
  <c r="BT163" i="1"/>
  <c r="BF164" i="1"/>
  <c r="BT164" i="1"/>
  <c r="BF165" i="1"/>
  <c r="BT165" i="1"/>
  <c r="BF166" i="1"/>
  <c r="BT166" i="1"/>
  <c r="BF167" i="1"/>
  <c r="BT167" i="1"/>
  <c r="BF168" i="1"/>
  <c r="BT168" i="1"/>
  <c r="BF169" i="1"/>
  <c r="BT169" i="1"/>
  <c r="BF170" i="1"/>
  <c r="BT170" i="1"/>
  <c r="BF171" i="1"/>
  <c r="BT171" i="1"/>
  <c r="BF172" i="1"/>
  <c r="BT172" i="1"/>
  <c r="BF173" i="1"/>
  <c r="BT173" i="1"/>
  <c r="BF174" i="1"/>
  <c r="BT174" i="1"/>
  <c r="BF175" i="1"/>
  <c r="BT175" i="1"/>
  <c r="BF176" i="1"/>
  <c r="BT176" i="1"/>
  <c r="BF177" i="1"/>
  <c r="BT177" i="1"/>
  <c r="BF178" i="1"/>
  <c r="BT178" i="1"/>
  <c r="BF179" i="1"/>
  <c r="BT179" i="1"/>
  <c r="BF180" i="1"/>
  <c r="BT180" i="1"/>
  <c r="BF181" i="1"/>
  <c r="BT181" i="1"/>
  <c r="BF182" i="1"/>
  <c r="BT182" i="1"/>
  <c r="BF183" i="1"/>
  <c r="BT183" i="1"/>
  <c r="BF184" i="1"/>
  <c r="BT184" i="1"/>
  <c r="BF185" i="1"/>
  <c r="BT185" i="1"/>
  <c r="BF186" i="1"/>
  <c r="BT186" i="1"/>
  <c r="BF187" i="1"/>
  <c r="BT187" i="1"/>
  <c r="BF188" i="1"/>
  <c r="BT188" i="1"/>
  <c r="BT189" i="1"/>
  <c r="BF190" i="1"/>
  <c r="BT190" i="1"/>
  <c r="BF191" i="1"/>
  <c r="BT191" i="1"/>
  <c r="BF192" i="1"/>
  <c r="BT192" i="1"/>
  <c r="BF193" i="1"/>
  <c r="BT193" i="1"/>
  <c r="BF194" i="1"/>
  <c r="BT194" i="1"/>
  <c r="BF195" i="1"/>
  <c r="BT195" i="1"/>
  <c r="BF196" i="1"/>
  <c r="BT196" i="1"/>
  <c r="BF197" i="1"/>
  <c r="BT197" i="1"/>
  <c r="BF198" i="1"/>
  <c r="BT198" i="1"/>
  <c r="BF199" i="1"/>
  <c r="BT199" i="1"/>
  <c r="BF200" i="1"/>
  <c r="BT200" i="1"/>
  <c r="BF201" i="1"/>
  <c r="BT201" i="1"/>
  <c r="BF202" i="1"/>
  <c r="BT202" i="1"/>
  <c r="BF203" i="1"/>
  <c r="BT203" i="1"/>
  <c r="BF204" i="1"/>
  <c r="BT204" i="1"/>
  <c r="BF205" i="1"/>
  <c r="BT205" i="1"/>
  <c r="BF206" i="1"/>
  <c r="BT206" i="1"/>
  <c r="BF207" i="1"/>
  <c r="BT207" i="1"/>
  <c r="BF208" i="1"/>
  <c r="BT208" i="1"/>
  <c r="BF209" i="1"/>
  <c r="BT209" i="1"/>
  <c r="BF210" i="1"/>
  <c r="BT210" i="1"/>
  <c r="BF211" i="1"/>
  <c r="BT211" i="1"/>
  <c r="BF212" i="1"/>
  <c r="BT212" i="1"/>
  <c r="BF213" i="1"/>
  <c r="BT213" i="1"/>
  <c r="BF214" i="1"/>
  <c r="BT214" i="1"/>
  <c r="BF215" i="1"/>
  <c r="BT215" i="1"/>
  <c r="BF216" i="1"/>
  <c r="BT216" i="1"/>
  <c r="BF217" i="1"/>
  <c r="BT217" i="1"/>
  <c r="BF218" i="1"/>
  <c r="BT218" i="1"/>
  <c r="BF219" i="1"/>
  <c r="BT219" i="1"/>
  <c r="BF220" i="1"/>
  <c r="BT220" i="1"/>
  <c r="BF221" i="1"/>
  <c r="BT221" i="1"/>
  <c r="BF222" i="1"/>
  <c r="BT222" i="1"/>
  <c r="BF223" i="1"/>
  <c r="BT223" i="1"/>
  <c r="BF224" i="1"/>
  <c r="BT224" i="1"/>
  <c r="BF225" i="1"/>
  <c r="BT225" i="1"/>
  <c r="BF226" i="1"/>
  <c r="BT226" i="1"/>
  <c r="BF227" i="1"/>
  <c r="BT227" i="1"/>
  <c r="BF228" i="1"/>
  <c r="BT228" i="1"/>
  <c r="BF229" i="1"/>
  <c r="BT229" i="1"/>
  <c r="BF230" i="1"/>
  <c r="BT230" i="1"/>
  <c r="BF231" i="1"/>
  <c r="BT231" i="1"/>
  <c r="BF232" i="1"/>
  <c r="BT232" i="1"/>
  <c r="BF233" i="1"/>
  <c r="BT233" i="1"/>
  <c r="BF234" i="1"/>
  <c r="BT234" i="1"/>
  <c r="BF235" i="1"/>
  <c r="BT235" i="1"/>
  <c r="BF236" i="1"/>
  <c r="BT236" i="1"/>
  <c r="BF237" i="1"/>
  <c r="BT237" i="1"/>
  <c r="BF238" i="1"/>
  <c r="BT238" i="1"/>
  <c r="BF239" i="1"/>
  <c r="BT239" i="1"/>
  <c r="BF240" i="1"/>
  <c r="BT240" i="1"/>
  <c r="BF241" i="1"/>
  <c r="BT241" i="1"/>
  <c r="BF242" i="1"/>
  <c r="BT242" i="1"/>
  <c r="BF243" i="1"/>
  <c r="BT243" i="1"/>
  <c r="BF244" i="1"/>
  <c r="BT244" i="1"/>
  <c r="BF245" i="1"/>
  <c r="BT245" i="1"/>
  <c r="BF246" i="1"/>
  <c r="BT246" i="1"/>
  <c r="BF247" i="1"/>
  <c r="BT247" i="1"/>
  <c r="BF248" i="1"/>
  <c r="BT248" i="1"/>
  <c r="BF249" i="1"/>
  <c r="BT249" i="1"/>
  <c r="BT250" i="1"/>
  <c r="BF251" i="1"/>
  <c r="BT251" i="1"/>
  <c r="BT252" i="1"/>
  <c r="BF253" i="1"/>
  <c r="BT253" i="1"/>
  <c r="BF254" i="1"/>
  <c r="BT254" i="1"/>
  <c r="BF255" i="1"/>
  <c r="BT255" i="1"/>
  <c r="BF256" i="1"/>
  <c r="BT256" i="1"/>
  <c r="BF257" i="1"/>
  <c r="BT257" i="1"/>
  <c r="BF258" i="1"/>
  <c r="BT258" i="1"/>
  <c r="BF259" i="1"/>
  <c r="BT259" i="1"/>
  <c r="BF260" i="1"/>
  <c r="BT260" i="1"/>
  <c r="BF261" i="1"/>
  <c r="BT261" i="1"/>
  <c r="BF262" i="1"/>
  <c r="BT262" i="1"/>
  <c r="BF263" i="1"/>
  <c r="BT263" i="1"/>
  <c r="BF264" i="1"/>
  <c r="BT264" i="1"/>
  <c r="BF265" i="1"/>
  <c r="BT265" i="1"/>
  <c r="BF266" i="1"/>
  <c r="BT266" i="1"/>
  <c r="BF267" i="1"/>
  <c r="BT267" i="1"/>
  <c r="BF268" i="1"/>
  <c r="BT268" i="1"/>
  <c r="BF269" i="1"/>
  <c r="BT269" i="1"/>
  <c r="BF270" i="1"/>
  <c r="BT270" i="1"/>
  <c r="BF271" i="1"/>
  <c r="BT271" i="1"/>
  <c r="BF272" i="1"/>
  <c r="BT272" i="1"/>
  <c r="BF273" i="1"/>
  <c r="BT273" i="1"/>
  <c r="BF274" i="1"/>
  <c r="BT274" i="1"/>
  <c r="BF275" i="1"/>
  <c r="BT275" i="1"/>
  <c r="BF276" i="1"/>
  <c r="BT276" i="1"/>
  <c r="BF277" i="1"/>
  <c r="BT277" i="1"/>
  <c r="BF278" i="1"/>
  <c r="BT278" i="1"/>
  <c r="BF279" i="1"/>
  <c r="BT279" i="1"/>
  <c r="BF280" i="1"/>
  <c r="BT280" i="1"/>
  <c r="BF281" i="1"/>
  <c r="BT281" i="1"/>
  <c r="BF282" i="1"/>
  <c r="BT282" i="1"/>
  <c r="BF283" i="1"/>
  <c r="BT283" i="1"/>
  <c r="BF284" i="1"/>
  <c r="BT284" i="1"/>
  <c r="BF285" i="1"/>
  <c r="BT285" i="1"/>
  <c r="BF286" i="1"/>
  <c r="BT286" i="1"/>
  <c r="BF287" i="1"/>
  <c r="BT287" i="1"/>
  <c r="BF288" i="1"/>
  <c r="BT288" i="1"/>
  <c r="BF289" i="1"/>
  <c r="BT289" i="1"/>
  <c r="BF290" i="1"/>
  <c r="BT290" i="1"/>
  <c r="BF291" i="1"/>
  <c r="BT291" i="1"/>
  <c r="BT292" i="1"/>
  <c r="BF293" i="1"/>
  <c r="BT293" i="1"/>
  <c r="BF294" i="1"/>
  <c r="BT294" i="1"/>
  <c r="BF295" i="1"/>
  <c r="BT295" i="1"/>
  <c r="BF296" i="1"/>
  <c r="BT296" i="1"/>
  <c r="BF297" i="1"/>
  <c r="BT297" i="1"/>
  <c r="BF298" i="1"/>
  <c r="BT298" i="1"/>
  <c r="BF299" i="1"/>
  <c r="BT299" i="1"/>
  <c r="BF300" i="1"/>
  <c r="BT300" i="1"/>
  <c r="BF301" i="1"/>
  <c r="BT301" i="1"/>
  <c r="BF302" i="1"/>
  <c r="BT302" i="1"/>
  <c r="BF303" i="1"/>
  <c r="BT303" i="1"/>
  <c r="BF304" i="1"/>
  <c r="BT304" i="1"/>
  <c r="BF305" i="1"/>
  <c r="BT305" i="1"/>
  <c r="BF306" i="1"/>
  <c r="BT306" i="1"/>
  <c r="BF307" i="1"/>
  <c r="BT307" i="1"/>
  <c r="BF308" i="1"/>
  <c r="BT308" i="1"/>
  <c r="BF309" i="1"/>
  <c r="BT309" i="1"/>
  <c r="BF310" i="1"/>
  <c r="BT310" i="1"/>
  <c r="BF311" i="1"/>
  <c r="BT311" i="1"/>
  <c r="BT312" i="1"/>
  <c r="BF313" i="1"/>
  <c r="BT313" i="1"/>
  <c r="BF314" i="1"/>
  <c r="BT314" i="1"/>
  <c r="BF315" i="1"/>
  <c r="BT315" i="1"/>
  <c r="BF316" i="1"/>
  <c r="BT316" i="1"/>
  <c r="BF317" i="1"/>
  <c r="BT317" i="1"/>
  <c r="BF318" i="1"/>
  <c r="BT318" i="1"/>
  <c r="BF319" i="1"/>
  <c r="BT319" i="1"/>
  <c r="BF320" i="1"/>
  <c r="BT320" i="1"/>
  <c r="BF321" i="1"/>
  <c r="BT321" i="1"/>
  <c r="BF322" i="1"/>
  <c r="BT322" i="1"/>
  <c r="BF323" i="1"/>
  <c r="BT323" i="1"/>
  <c r="BF324" i="1"/>
  <c r="BT324" i="1"/>
  <c r="BF325" i="1"/>
  <c r="BT325" i="1"/>
  <c r="BF326" i="1"/>
  <c r="BT326" i="1"/>
  <c r="BF327" i="1"/>
  <c r="BT327" i="1"/>
  <c r="BF328" i="1"/>
  <c r="BT328" i="1"/>
  <c r="BF329" i="1"/>
  <c r="BT329" i="1"/>
  <c r="BF330" i="1"/>
  <c r="BT330" i="1"/>
  <c r="BF331" i="1"/>
  <c r="BT331" i="1"/>
  <c r="BF332" i="1"/>
  <c r="BT332" i="1"/>
  <c r="BF333" i="1"/>
  <c r="BT333" i="1"/>
  <c r="BF334" i="1"/>
  <c r="BT334" i="1"/>
  <c r="BF335" i="1"/>
  <c r="BT335" i="1"/>
  <c r="BF336" i="1"/>
  <c r="BT336" i="1"/>
  <c r="BF337" i="1"/>
  <c r="BT337" i="1"/>
  <c r="BF338" i="1"/>
  <c r="BT338" i="1"/>
  <c r="BF339" i="1"/>
  <c r="BT339" i="1"/>
  <c r="BF340" i="1"/>
  <c r="BT340" i="1"/>
  <c r="BF341" i="1"/>
  <c r="BT341" i="1"/>
  <c r="BF342" i="1"/>
  <c r="BT342" i="1"/>
  <c r="BF343" i="1"/>
  <c r="BT343" i="1"/>
  <c r="BF344" i="1"/>
  <c r="BT344" i="1"/>
  <c r="BF345" i="1"/>
  <c r="BT345" i="1"/>
  <c r="BF346" i="1"/>
  <c r="BT346" i="1"/>
  <c r="BF347" i="1"/>
  <c r="BT347" i="1"/>
  <c r="BF348" i="1"/>
  <c r="BT348" i="1"/>
  <c r="BF349" i="1"/>
  <c r="BT349" i="1"/>
  <c r="BF350" i="1"/>
  <c r="BT350" i="1"/>
  <c r="BF351" i="1"/>
  <c r="BT351" i="1"/>
  <c r="BF352" i="1"/>
  <c r="BT352" i="1"/>
  <c r="BF353" i="1"/>
  <c r="BT353" i="1"/>
  <c r="BF354" i="1"/>
  <c r="BT354" i="1"/>
  <c r="BF355" i="1"/>
  <c r="BT355" i="1"/>
  <c r="BF356" i="1"/>
  <c r="BT356" i="1"/>
  <c r="BF357" i="1"/>
  <c r="BT357" i="1"/>
  <c r="BF358" i="1"/>
  <c r="BT358" i="1"/>
  <c r="BF359" i="1"/>
  <c r="BT359" i="1"/>
  <c r="BF360" i="1"/>
  <c r="BT360" i="1"/>
  <c r="BF361" i="1"/>
  <c r="BT361" i="1"/>
  <c r="BF362" i="1"/>
  <c r="BT362" i="1"/>
  <c r="BF363" i="1"/>
  <c r="BT363" i="1"/>
  <c r="BF364" i="1"/>
  <c r="BT364" i="1"/>
  <c r="BF365" i="1"/>
  <c r="BT365" i="1"/>
  <c r="BF366" i="1"/>
  <c r="BT366" i="1"/>
  <c r="BF367" i="1"/>
  <c r="BT367" i="1"/>
  <c r="BF368" i="1"/>
  <c r="BT368" i="1"/>
  <c r="BF369" i="1"/>
  <c r="BT369" i="1"/>
  <c r="BF370" i="1"/>
  <c r="BT370" i="1"/>
  <c r="BF371" i="1"/>
  <c r="BT371" i="1"/>
  <c r="BF372" i="1"/>
  <c r="BT372" i="1"/>
  <c r="BF373" i="1"/>
  <c r="BT373" i="1"/>
  <c r="BF374" i="1"/>
  <c r="BT374" i="1"/>
  <c r="BF375" i="1"/>
  <c r="BT375" i="1"/>
  <c r="BF376" i="1"/>
  <c r="BT376" i="1"/>
  <c r="BF377" i="1"/>
  <c r="BT377" i="1"/>
  <c r="BF378" i="1"/>
  <c r="BT378" i="1"/>
  <c r="BF379" i="1"/>
  <c r="BT379" i="1"/>
  <c r="BF380" i="1"/>
  <c r="BT380" i="1"/>
  <c r="BF381" i="1"/>
  <c r="BT381" i="1"/>
  <c r="BF382" i="1"/>
  <c r="BT382" i="1"/>
  <c r="BF383" i="1"/>
  <c r="BT383" i="1"/>
  <c r="BF384" i="1"/>
  <c r="BT384" i="1"/>
  <c r="BT385" i="1"/>
  <c r="BT386" i="1"/>
  <c r="BF387" i="1"/>
  <c r="BT387" i="1"/>
  <c r="BF388" i="1"/>
  <c r="BT388" i="1"/>
  <c r="BT389" i="1"/>
  <c r="BF390" i="1"/>
  <c r="BT390" i="1"/>
  <c r="BF391" i="1"/>
  <c r="BT391" i="1"/>
  <c r="BF392" i="1"/>
  <c r="BT392" i="1"/>
  <c r="BF393" i="1"/>
  <c r="BT393" i="1"/>
  <c r="BF394" i="1"/>
  <c r="BT394" i="1"/>
  <c r="BF395" i="1"/>
  <c r="BT395" i="1"/>
  <c r="BF396" i="1"/>
  <c r="BT396" i="1"/>
  <c r="BF397" i="1"/>
  <c r="BT397" i="1"/>
  <c r="BF398" i="1"/>
  <c r="BT398" i="1"/>
  <c r="BF399" i="1"/>
  <c r="BT399" i="1"/>
  <c r="BF400" i="1"/>
  <c r="BT400" i="1"/>
  <c r="BF401" i="1"/>
  <c r="BT401" i="1"/>
  <c r="BF402" i="1"/>
  <c r="BT402" i="1"/>
  <c r="BF403" i="1"/>
  <c r="BT403" i="1"/>
  <c r="BF404" i="1"/>
  <c r="BT404" i="1"/>
  <c r="BF405" i="1"/>
  <c r="BT405" i="1"/>
  <c r="BF406" i="1"/>
  <c r="BT406" i="1"/>
  <c r="BF407" i="1"/>
  <c r="BT407" i="1"/>
  <c r="BF408" i="1"/>
  <c r="BT408" i="1"/>
  <c r="BF409" i="1"/>
  <c r="BT409" i="1"/>
  <c r="BT410" i="1"/>
  <c r="BF411" i="1"/>
  <c r="BT411" i="1"/>
  <c r="BF412" i="1"/>
  <c r="BT412" i="1"/>
  <c r="BF413" i="1"/>
  <c r="BT413" i="1"/>
  <c r="BF414" i="1"/>
  <c r="BT414" i="1"/>
  <c r="BF415" i="1"/>
  <c r="BT415" i="1"/>
  <c r="BF416" i="1"/>
  <c r="BT416" i="1"/>
  <c r="BF417" i="1"/>
  <c r="BT417" i="1"/>
  <c r="BF418" i="1"/>
  <c r="BT418" i="1"/>
  <c r="BF419" i="1"/>
  <c r="BT419" i="1"/>
  <c r="BF420" i="1"/>
  <c r="BT420" i="1"/>
  <c r="BF421" i="1"/>
  <c r="BT421" i="1"/>
  <c r="BF422" i="1"/>
  <c r="BT422" i="1"/>
  <c r="BF423" i="1"/>
  <c r="BT423" i="1"/>
  <c r="BF424" i="1"/>
  <c r="BT424" i="1"/>
  <c r="BF425" i="1"/>
  <c r="BT425" i="1"/>
  <c r="BF426" i="1"/>
  <c r="BT426" i="1"/>
  <c r="BF427" i="1"/>
  <c r="BT427" i="1"/>
  <c r="BF428" i="1"/>
  <c r="BT428" i="1"/>
  <c r="BF429" i="1"/>
  <c r="BT429" i="1"/>
  <c r="BF430" i="1"/>
  <c r="BT430" i="1"/>
  <c r="BF431" i="1"/>
  <c r="BT431" i="1"/>
  <c r="BF432" i="1"/>
  <c r="BT432" i="1"/>
  <c r="BF433" i="1"/>
  <c r="BT433" i="1"/>
  <c r="BF434" i="1"/>
  <c r="BT434" i="1"/>
  <c r="BF435" i="1"/>
  <c r="BT435" i="1"/>
  <c r="BF436" i="1"/>
  <c r="BT436" i="1"/>
  <c r="BF437" i="1"/>
  <c r="BT437" i="1"/>
  <c r="BF438" i="1"/>
  <c r="BT438" i="1"/>
  <c r="BF439" i="1"/>
  <c r="BT439" i="1"/>
  <c r="BF440" i="1"/>
  <c r="BT440" i="1"/>
  <c r="BF441" i="1"/>
  <c r="BT441" i="1"/>
  <c r="BF442" i="1"/>
  <c r="BT442" i="1"/>
  <c r="BF443" i="1"/>
  <c r="BT443" i="1"/>
  <c r="BF444" i="1"/>
  <c r="BT444" i="1"/>
  <c r="BF445" i="1"/>
  <c r="BT445" i="1"/>
  <c r="BF446" i="1"/>
  <c r="BT446" i="1"/>
  <c r="BF447" i="1"/>
  <c r="BT447" i="1"/>
  <c r="BF448" i="1"/>
  <c r="BT448" i="1"/>
  <c r="BF449" i="1"/>
  <c r="BT449" i="1"/>
  <c r="BF450" i="1"/>
  <c r="BT450" i="1"/>
  <c r="BF451" i="1"/>
  <c r="BT451" i="1"/>
  <c r="BF452" i="1"/>
  <c r="BT452" i="1"/>
  <c r="BF453" i="1"/>
  <c r="BT453" i="1"/>
  <c r="BF454" i="1"/>
  <c r="BT454" i="1"/>
  <c r="BF455" i="1"/>
  <c r="BT455" i="1"/>
  <c r="BF456" i="1"/>
  <c r="BT456" i="1"/>
  <c r="BF457" i="1"/>
  <c r="BT457" i="1"/>
  <c r="BF458" i="1"/>
  <c r="BT458" i="1"/>
  <c r="BF459" i="1"/>
  <c r="BT459" i="1"/>
  <c r="BF460" i="1"/>
  <c r="BT460" i="1"/>
  <c r="BF461" i="1"/>
  <c r="BT461" i="1"/>
  <c r="BF462" i="1"/>
  <c r="BT462" i="1"/>
  <c r="BF463" i="1"/>
  <c r="BT463" i="1"/>
  <c r="BF464" i="1"/>
  <c r="BT464" i="1"/>
  <c r="BF465" i="1"/>
  <c r="BT465" i="1"/>
  <c r="BF466" i="1"/>
  <c r="BT466" i="1"/>
  <c r="BF467" i="1"/>
  <c r="BT467" i="1"/>
  <c r="BF468" i="1"/>
  <c r="BT468" i="1"/>
  <c r="BF469" i="1"/>
  <c r="BT469" i="1"/>
  <c r="BF470" i="1"/>
  <c r="BT470" i="1"/>
  <c r="BF471" i="1"/>
  <c r="BT471" i="1"/>
  <c r="BF472" i="1"/>
  <c r="BT472" i="1"/>
  <c r="BF473" i="1"/>
  <c r="BT473" i="1"/>
  <c r="BF474" i="1"/>
  <c r="BT474" i="1"/>
  <c r="BF475" i="1"/>
  <c r="BT475" i="1"/>
  <c r="BF476" i="1"/>
  <c r="BT476" i="1"/>
  <c r="BF477" i="1"/>
  <c r="BT477" i="1"/>
  <c r="BF478" i="1"/>
  <c r="BT478" i="1"/>
  <c r="BF479" i="1"/>
  <c r="BT479" i="1"/>
  <c r="BF480" i="1"/>
  <c r="BT480" i="1"/>
  <c r="BF481" i="1"/>
  <c r="BT481" i="1"/>
  <c r="BF482" i="1"/>
  <c r="BT482" i="1"/>
  <c r="BF483" i="1"/>
  <c r="BT483" i="1"/>
  <c r="BF484" i="1"/>
  <c r="BT484" i="1"/>
  <c r="BF485" i="1"/>
  <c r="BT485" i="1"/>
  <c r="BF486" i="1"/>
  <c r="BT486" i="1"/>
  <c r="BF487" i="1"/>
  <c r="BT487" i="1"/>
  <c r="BF488" i="1"/>
  <c r="BT488" i="1"/>
  <c r="BF489" i="1"/>
  <c r="BT489" i="1"/>
  <c r="BF490" i="1"/>
  <c r="BT490" i="1"/>
  <c r="BF491" i="1"/>
  <c r="BT491" i="1"/>
  <c r="BF492" i="1"/>
  <c r="BT492" i="1"/>
  <c r="BF493" i="1"/>
  <c r="BT493" i="1"/>
  <c r="BF494" i="1"/>
  <c r="BT494" i="1"/>
  <c r="BF495" i="1"/>
  <c r="BT495" i="1"/>
  <c r="BF496" i="1"/>
  <c r="BT496" i="1"/>
  <c r="BF497" i="1"/>
  <c r="BT497" i="1"/>
  <c r="BF498" i="1"/>
  <c r="BT498" i="1"/>
  <c r="BF499" i="1"/>
  <c r="BT499" i="1"/>
  <c r="BF500" i="1"/>
  <c r="BT500" i="1"/>
  <c r="BF501" i="1"/>
  <c r="BT501" i="1"/>
  <c r="BF502" i="1"/>
  <c r="BT502" i="1"/>
  <c r="BF503" i="1"/>
  <c r="BT503" i="1"/>
  <c r="BF504" i="1"/>
  <c r="BT504" i="1"/>
  <c r="BF505" i="1"/>
  <c r="BT505" i="1"/>
  <c r="BF506" i="1"/>
  <c r="BT506" i="1"/>
  <c r="BF507" i="1"/>
  <c r="BT507" i="1"/>
  <c r="BF508" i="1"/>
  <c r="BT508" i="1"/>
  <c r="BF509" i="1"/>
  <c r="BT509" i="1"/>
  <c r="BF510" i="1"/>
  <c r="BT510" i="1"/>
  <c r="BF511" i="1"/>
  <c r="BT511" i="1"/>
  <c r="BF512" i="1"/>
  <c r="BT512" i="1"/>
  <c r="BF513" i="1"/>
  <c r="BT513" i="1"/>
  <c r="BF514" i="1"/>
  <c r="BT514" i="1"/>
  <c r="BF515" i="1"/>
  <c r="BT515" i="1"/>
  <c r="BF516" i="1"/>
  <c r="BT516" i="1"/>
  <c r="BF517" i="1"/>
  <c r="BT517" i="1"/>
  <c r="BF518" i="1"/>
  <c r="BT518" i="1"/>
  <c r="BF519" i="1"/>
  <c r="BT519" i="1"/>
  <c r="BF520" i="1"/>
  <c r="BT520" i="1"/>
  <c r="BF521" i="1"/>
  <c r="BT521" i="1"/>
</calcChain>
</file>

<file path=xl/sharedStrings.xml><?xml version="1.0" encoding="utf-8"?>
<sst xmlns="http://schemas.openxmlformats.org/spreadsheetml/2006/main" count="34730" uniqueCount="4829">
  <si>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</si>
  <si>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</si>
  <si>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</si>
  <si>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</si>
  <si>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</si>
  <si>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</si>
  <si>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</si>
  <si>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</si>
  <si>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</si>
  <si>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</si>
  <si>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</si>
  <si>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</si>
  <si>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</si>
  <si>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</si>
  <si>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</si>
  <si>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</si>
  <si>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</si>
  <si>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</si>
  <si>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</si>
  <si>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</si>
  <si>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</si>
  <si>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</si>
  <si>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</si>
  <si>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</si>
  <si>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</si>
  <si>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</si>
  <si>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</si>
  <si>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</si>
  <si>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</si>
  <si>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</si>
  <si>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</si>
  <si>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</si>
  <si>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</si>
  <si>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</si>
  <si>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</si>
  <si>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</si>
  <si>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</si>
  <si>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</si>
  <si>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</si>
  <si>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</si>
  <si>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</si>
  <si>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</si>
  <si>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</si>
  <si>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</si>
  <si>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</si>
  <si>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</si>
  <si>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</si>
  <si>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</si>
  <si>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</si>
  <si>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</si>
  <si>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</si>
  <si>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</si>
  <si>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</si>
  <si>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</si>
  <si>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</si>
  <si>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</si>
  <si>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</si>
  <si>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</si>
  <si>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</si>
  <si>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</si>
  <si>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</si>
  <si>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</si>
  <si>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</si>
  <si>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</si>
  <si>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</si>
  <si>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</si>
  <si>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</si>
  <si>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</si>
  <si>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</si>
  <si>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</si>
  <si>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</si>
  <si>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</si>
  <si>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</si>
  <si>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Lee, CW</t>
  </si>
  <si>
    <t/>
  </si>
  <si>
    <t>Lee, Chang Won</t>
  </si>
  <si>
    <t>Application of Metaverse Service to Healthcare Industry: A Strategic Perspective</t>
  </si>
  <si>
    <t>INTERNATIONAL JOURNAL OF ENVIRONMENTAL RESEARCH AND PUBLIC HEALTH</t>
  </si>
  <si>
    <t>This study is to explore a state of the art in metaverse service that is an emerging issue in applying it to the healthcare industry. The purpose of this study is to provide applicable strategic scenarios for effective metaverse service planning and implementation in healthcare settings. This study is focused on metaverse service as a business model. Thus, related literatures of metaverse service are reviewed in various aspects in healthcare industry. An exploratory approach is used to analyze current qualitative data characterizing healthcare metaverse service business positions and derive applicable strategies from business trends of current metaverse services. Several cases are examined based on the data obtained from various sources of healthcare and other related industries. This study synthesizes finding results and suggests applicable strategies of metaverse service in the healthcare industry. This study will facilitate strategic decision-making and policy-making processes to pursue a business opportunity development through an application of a metaverse service in healthcare and similar settings.</t>
  </si>
  <si>
    <t>Lee, Chang Won/0000-0002-0753-5812</t>
  </si>
  <si>
    <t>1660-4601</t>
  </si>
  <si>
    <t>OCT</t>
  </si>
  <si>
    <t>10.3390/ijerph192013038</t>
  </si>
  <si>
    <t>WOS:000873101900001</t>
  </si>
  <si>
    <t>C</t>
  </si>
  <si>
    <t>Nguyen, CT; Hoang, DT; Nguyen, DN; Dutkiewicz, E</t>
  </si>
  <si>
    <t>IEEE</t>
  </si>
  <si>
    <t>Nguyen, Cong T.; Hoang, Dinh Thai; Nguyen, Diep N.; Dutkiewicz, Eryk</t>
  </si>
  <si>
    <t>MetaChain: A Novel Blockchain-based Framework for Metaverse Applications</t>
  </si>
  <si>
    <t>2022 IEEE 95TH VEHICULAR TECHNOLOGY CONFERENCE (VTC2022-SPRING)</t>
  </si>
  <si>
    <t>IEEE Vehicular Technology Conference VTC</t>
  </si>
  <si>
    <t>IEEE 95th Vehicular Technology Conference: (VTC-Spring)</t>
  </si>
  <si>
    <t>JUN 19-22, 2022</t>
  </si>
  <si>
    <t>Helsinki, FINLAND</t>
  </si>
  <si>
    <t>IEEE,Nokia,Huawei,Samsung,Technol Innovat Inst,Pix Moving</t>
  </si>
  <si>
    <t>Metaverse has recently attracted paramount attention due to its potential for future Internet. However, to fully realize such potential, Metaverse applications have to overcome various challenges such as massive resource demands, interoperability among applications, and security and privacy concerns. In this paper, we propose MetaChain, a novel blockchain-based framework to address emerging challenges for the development of Metaverse applications. In particular, by utilizing the smart contract mechanism, MetaChain can effectively manage and automate complex interactions among the Metaverse Service Provider (MSP) and the Metaverse users (MUs). In addition, to allow the MSP to efficiently allocate its resources for Metaverse applications and MUs' demands, we design a novel sharding scheme to improve the underlying blockchain's scalability. Moreover, to leverage MUs' resources as well as to attract more MUs to support Metaverse operations, we develop an incentive mechanism using the Stackelberg game theory that rewards MUs' contributions to the Metaverse. Through numerical experiments, we clearly show the impacts of the Mlle behaviors and how the incentive mechanism can attract more MUs and resources to the Metaverse.</t>
  </si>
  <si>
    <t>Nguyen, Diep/AAQ-2491-2020; Hoang, Dinh Thai/K-5135-2012</t>
  </si>
  <si>
    <t>Nguyen, Diep/0000-0003-2659-8648; Hoang, Dinh Thai/0000-0002-9528-0863; Dutkiewicz, Eryk/0000-0002-4268-9286</t>
  </si>
  <si>
    <t>978-1-6654-8243-1</t>
  </si>
  <si>
    <t>10.1109/VTC2022-Spring54318.2022.9860983</t>
  </si>
  <si>
    <t>WOS:000861825803029</t>
  </si>
  <si>
    <t>Mozumder, MAI; Sheeraz, MM; Athar, A; Aich, S; Kim, HC</t>
  </si>
  <si>
    <t>Mozumder, Md Ariful Islam; Sheeraz, Muhammad Mohsan; Athar, Ali; Aich, Satyabrata; Kim, Hee-Cheol</t>
  </si>
  <si>
    <t>Overview: Technology Roadmap of the Future Trend of Metaverse based on IoT, Blockchain, AI Technique, and Medical Domain Metaverse Activity</t>
  </si>
  <si>
    <t>2022 24TH INTERNATIONAL CONFERENCE ON ADVANCED COMMUNICATION TECHNOLOGY (ICACT): ARITIFLCIAL INTELLIGENCE TECHNOLOGIES TOWARD CYBERSECURITY</t>
  </si>
  <si>
    <t>International Conference on Advanced Communication Technology</t>
  </si>
  <si>
    <t>24th International Conference on Advanced Communication Technology (ICACT) - Artificial Intelligence Technologies toward Cybersecurity</t>
  </si>
  <si>
    <t>FEB 13-16, 2022</t>
  </si>
  <si>
    <t>ELECTR NETWORK</t>
  </si>
  <si>
    <t>Global IT Res Inst,IEEE Commun Soc,Natl Informat Soc Agcy,Elect &amp; Telecommunicat Res Inst,Gangwon Convent &amp; Visitors Bur,Korean Inst Commun Sci,IEEK Commun Soc,Korean Inst Informat Scientists &amp; Engineers,Open Stand &amp; Internet Assoc,Korea Inst Informat Secur &amp; Crytol,Vietnam Natl Univ, Informat Technol Inst,IEEE</t>
  </si>
  <si>
    <t>Metaverse is defined as a collection of technology gadgets and metaverse connected to IoT, Blockchain, Artificial Intelligence, and all the other tech industries including the medical area. IoT and Metaverse are the digital twins, Metaverse is using maximum IoT devices in their virtual workstation. This data has a unique identifying tag and is used as traceable data in the blockchain-based Metaverse. In the Metaverse, such data is becoming a valuable resource for artificial intelligence. Metaverse uses artificial intelligence and blockchain technology to build a digital virtual world where you can safely and freely engage in social and economic activities that transcend the limits of the real world, and the application of these latest technologies will be expedited. In this paper, we are going to describe what technologies metaverse is using and metaverse potentiality in medical healthcare.</t>
  </si>
  <si>
    <t>Mozumder, Md Ariful Islam/0000-0001-6095-0700; Athar, Ali/0000-0002-2331-7663</t>
  </si>
  <si>
    <t>1738-9445</t>
  </si>
  <si>
    <t>979-11-88428-09-0</t>
  </si>
  <si>
    <t>+</t>
  </si>
  <si>
    <t>WOS:000835722000093</t>
  </si>
  <si>
    <t>Dahan, NA; Al-Razgan, M; Al-Laith, A; Alsoufi, MA; Al-Asaly, MS; Alfakih, T</t>
  </si>
  <si>
    <t>Dahan, Neama A.; Al-Razgan, Muna; Al-Laith, Ali; Alsoufi, Muaadh A.; Al-Asaly, Mahfoudh S.; Alfakih, Taha</t>
  </si>
  <si>
    <t>Metaverse Framework: A Case Study on E-Learning Environment (ELEM)</t>
  </si>
  <si>
    <t>ELECTRONICS</t>
  </si>
  <si>
    <t>Metaverse is a vast term that can contain every digital thing in the future. Therefore, life domains, such as learning and education, should have their systems redirected to adopt this topic to keep their availability and longevity. Many papers have discussed the metaverse, the applications to run on, and the historical progress to have the metaverse the way it is today. However, the framework of the metaverse itself is still unclear, and its components cannot be exactly specified. Although E-Learning systems are a need that has developed over the years along with technology, the structures of the available E-Learning systems based on the metaverse are either not well described or are adopted, in their best case, as just a 3D environment. In this paper, we examine some previous works to find out the special technologies that should be provided by the metaverse framework, then we discuss the framework of the metaverse if applied as an E-Learning environment framework. This will make it easy to develop future metaverse-based applications, as the proposed framework will make the virtual learning environments work smoothly on the metaverse. In addition, E-Learning will be a more interactive and pleasant process.</t>
  </si>
  <si>
    <t>alsoufi, muaadh A/ABA-9676-2021; Al-Razgan, Muna/M-7736-2014</t>
  </si>
  <si>
    <t>alsoufi, muaadh A/0000-0003-1404-4146; Al-Razgan, Muna/0000-0002-9705-3867; Alfakih, Taha/0000-0003-0366-5932; AL-LAITH, ALI/0000-0002-6231-0210; Abdulaziz, Neama/0000-0003-1538-8557</t>
  </si>
  <si>
    <t>2079-9292</t>
  </si>
  <si>
    <t>MAY</t>
  </si>
  <si>
    <t>10.3390/electronics11101616</t>
  </si>
  <si>
    <t>WOS:000802478800001</t>
  </si>
  <si>
    <t>Njoku, JN; Nwakanma, CI; Kim, DS</t>
  </si>
  <si>
    <t>Njoku, Judith Nkechinyere; Nwakanma, Cosmas Ifeanyi; Kim, Dong-Seong</t>
  </si>
  <si>
    <t>The Role of 5G Wireless Communication System in the Metaverse</t>
  </si>
  <si>
    <t>2022 27TH ASIA PACIFIC CONFERENCE ON COMMUNICATIONS (APCC 2022): CREATING INNOVATIVE COMMUNICATION TECHNOLOGIES FOR POST-PANDEMIC ERA</t>
  </si>
  <si>
    <t>Asia-Pacific Conference on Communications</t>
  </si>
  <si>
    <t>27th Asia-Pacific Conference on Communications (APCC) - Creating Innovative Communication Technologies for Post-Pandemic Era</t>
  </si>
  <si>
    <t>OCT 19-21, 2022</t>
  </si>
  <si>
    <t>SOUTH KOREA</t>
  </si>
  <si>
    <t>Korean Inst Commun &amp; Informat Sci,Satellite Commun Forum,ICICE Commun Soc,Chinese Inst Commun,Inst Elect, Informat, &amp; Commun Engineers Commun Soc,Samsung,LG U+,LG Elect,Huawei,Sk Telecom,LG Ericsson,Qualcomm</t>
  </si>
  <si>
    <t>The metaverse is a virtual world that is based on numerous technologies. One of such technologies is the wireless communication system. Specifically, 5G wireless communication will have a role to play in the development of the metaverse. Since the metaverse has features that require certain service requirements, it is necessary to analyze the specific benefits that 5G has to offer. The aim of this paper is to discuss the features of the metaverse, the service offerings of 5G standards of communication, and how 5G can help make the metaverse a reality.</t>
  </si>
  <si>
    <t>Nwakanma, Cosmas Ifeanyi/AFK-4903-2022</t>
  </si>
  <si>
    <t>Nwakanma, Cosmas Ifeanyi/0000-0003-3614-2687</t>
  </si>
  <si>
    <t>2163-0771</t>
  </si>
  <si>
    <t>978-1-6654-9927-9</t>
  </si>
  <si>
    <t>10.1109/APCC55198.2022.9943778</t>
  </si>
  <si>
    <t>WOS:000918854200060</t>
  </si>
  <si>
    <t>Seo, S; Seok, B; Lee, C</t>
  </si>
  <si>
    <t>Seo, Seunghee; Seok, Byoungjin; Lee, Changhoon</t>
  </si>
  <si>
    <t>Digital forensic investigation framework for the metaverse</t>
  </si>
  <si>
    <t>JOURNAL OF SUPERCOMPUTING</t>
  </si>
  <si>
    <t>The Metaverse is currently becoming a massive technology platform and is considered to be the next significant development in global technology and business landscapes. The Metaverse is a digital platform that people can enter or transport virtual items with a device as a medium, implemented as virtual but very similar to the real world through the concept of the digital twin as used in smart cities. The Metaverse is currently in its infancy but is developing gradually. However, the potential threat of crime in this new world already has become a concern. As the Metaverse becomes more similar to the real world, the events that occur in it can affect the real world as well. Therefore, digital forensic research on the Metaverse is necessary to investigate crimes occurring in the Metaverse, such as money laundering, virtual burglaries, virtual theft, and fraud. In this paper, we present the conceptual architecture of the Metaverse and discuss what are termed metacrimes, crimes that may occur within the Metaverse, and address the need for research on digital forensic investigations of the Metaverse. Furthermore, we propose a Metaverse forensic framework for the first time; it consists of four phases based on the digital forensic guidance of NIST. These are data collection, examination and retrieval of evidence, analysis, and reporting. In the framework, we provide three different procedures in the data collection phase and examination phase by dividing them into three categories: user, service, and the Metaverse platform. Finally, we discuss the challenge of digital forensic investigations in the Metaverse from three standpoints: data possession, anti-forensics, and privacy.</t>
  </si>
  <si>
    <t>0920-8542</t>
  </si>
  <si>
    <t>1573-0484</t>
  </si>
  <si>
    <t>10.1007/s11227-023-05045-1</t>
  </si>
  <si>
    <t>JAN 2023</t>
  </si>
  <si>
    <t>WOS:000916905100005</t>
  </si>
  <si>
    <t>Inceoglu, MM; Ciloglugil, B</t>
  </si>
  <si>
    <t>Gervasi, O; Murgante, B; Misra, S; Rocha, AMAC; Garau, C</t>
  </si>
  <si>
    <t>Inceoglu, Mustafa Murat; Ciloglugil, Birol</t>
  </si>
  <si>
    <t>Use of Metaverse in Education</t>
  </si>
  <si>
    <t>COMPUTATIONAL SCIENCE AND ITS APPLICATIONS, ICCSA 2022 WORKSHOPS, PT I</t>
  </si>
  <si>
    <t>Lecture Notes in Computer Science</t>
  </si>
  <si>
    <t>22nd International Conference on Computational Science and its Applications (ICCSA)</t>
  </si>
  <si>
    <t>JUL 04-07, 2022</t>
  </si>
  <si>
    <t>Malaga, SPAIN</t>
  </si>
  <si>
    <t>Springer Int Publishing AG,Comp Open Access Journal,Computat Open Access Journal,Univ Malaga,Univ Perugia,Univ Basilicata,Monash Univ,Kyushu Sangyo Univ,Univ Minho,Univ Cagliari</t>
  </si>
  <si>
    <t>With the introduction of Metaverse, its use is increasing day by day. In this study, the factors affecting the historical development of Metaverse, the Metaverse architecture and the use of Metaverse in the field of education are discussed. The strengths and weaknesses of the use of Metaverse in the field of education are emphasized; the opportunities it will offer and the problems and threats that may be encountered are examined. Since Metaverse is a new concept, a resource for the use of Metaverse in the field of education has been tried to put forward by using the limited number of sources currently available in the literature. In this study, it is emphasized that the Metaverse environment can add a new dimension to the field of educational technologies. However, it should be taken into account that the necessary technologies and architectures in this field are not mature enough yet. Therefore, it is considered a necessity to determine appropriate strategies for the use of Metaverse in the educational field and to start determining its widespread effect until the infrastructure of Metaverse matures.</t>
  </si>
  <si>
    <t>0302-9743</t>
  </si>
  <si>
    <t>1611-3349</t>
  </si>
  <si>
    <t>978-3-031-10536-4; 978-3-031-10535-7</t>
  </si>
  <si>
    <t>10.1007/978-3-031-10536-4_12</t>
  </si>
  <si>
    <t>WOS:000916462800012</t>
  </si>
  <si>
    <t>Gupta, A; Khan, HU; Nazir, S; Shafiq, M; Shabaz, M</t>
  </si>
  <si>
    <t>Gupta, Ankur; Khan, Habib Ullah; Nazir, Shah; Shafiq, Muhammad; Shabaz, Mohammad</t>
  </si>
  <si>
    <t>Metaverse Security: Issues, Challenges and a Viable ZTA Model</t>
  </si>
  <si>
    <t>The metaverse is touted as an exciting new technology amalgamation facilitating next-level immersive experiences for users. However, initial experiences indicate that a host of privacy, security and control issues will need to be effectively resolved for its vision to be realized. This paper highlights the security issues that will need to be resolved in the metaverse and the underlying enabling technologies/platforms. It also discussed the broader challenges confronting the developers, the service providers and other stakeholders in the metaverse ecosystem which if left unaddressed may hamper its broad adoption and appeal. Finally, some ideas on building a viable Zero-Trust Architecture (ZTA) model for the metaverse are presented.</t>
  </si>
  <si>
    <t>Nazir, Shah/D-2020-2015; Shabaz, Mohammad/AAB-3168-2020; Gupta, Ankur/C-6241-2016; Khan, Habib Ullah/Q-7429-2016</t>
  </si>
  <si>
    <t>Nazir, Shah/0000-0003-0126-9944; Shabaz, Mohammad/0000-0001-5106-7609; Gupta, Ankur/0000-0001-8528-9509; Khan, Habib Ullah/0000-0001-8373-2781</t>
  </si>
  <si>
    <t>JAN</t>
  </si>
  <si>
    <t>10.3390/electronics12020391</t>
  </si>
  <si>
    <t>WOS:000914540900001</t>
  </si>
  <si>
    <t>Chen, BH; Song, CX; Lin, BY; Xu, X; Tang, RY; Lin, YX; Yao, Y; Timoney, J; Bi, T</t>
  </si>
  <si>
    <t>Chen, Bohan; Song, Chengxin; Lin, Boyu; Xu, Xin; Tang, Ruoyan; Lin, Yunxuan; Yao, Yuan; Timoney, Joseph; Bi, Ting</t>
  </si>
  <si>
    <t>A Cross-platform Metaverse Data Management System</t>
  </si>
  <si>
    <t>2022 IEEE INTERNATIONAL CONFERENCE ON METROLOGY FOR EXTENDED REALITY, ARTIFICIAL INTELLIGENCE AND NEURAL ENGINEERING (METROXRAINE)</t>
  </si>
  <si>
    <t>IEEE International Conference on Metrology for Extended Reality, Artificial Intelligence and Neural Engineering (IEEE MetroXRAINE)</t>
  </si>
  <si>
    <t>OCT 26-28, 2022</t>
  </si>
  <si>
    <t>Rome, ITALY</t>
  </si>
  <si>
    <t>IEEE,Univ Napoli Federico II,Univ Salento,Ulster Univ</t>
  </si>
  <si>
    <t>The current extended reality(XR) community is developing rapidly, and is promoting the development of the metaverse industry. Each XR community could be deemed as a sub-metaverse. This has attracted a group of internet giants and individual developers to generate their own forms of metaverse products. While there is not such a system that is able to achieve the goal of crossing all these metaverse, which appear to be contradictory to the original concept of the metaverse: relating every virtual world to a universe. To handle this problem, this paper proposes a cross-platform metaverse data management system(CMDMS), which is committed to allowing users to employ their own profile and space across different metaverse platforms.</t>
  </si>
  <si>
    <t>978-1-6654-8574-6</t>
  </si>
  <si>
    <t>10.1109/MetroXRAINE54828.2022.9967588</t>
  </si>
  <si>
    <t>WOS:000947347200026</t>
  </si>
  <si>
    <t>Zhang, X; Yang, DL; Yow, CH; Huang, LH; Wu, XQ; Huang, XJ; Guo, J; Zhou, SJ; Cai, YY</t>
  </si>
  <si>
    <t>Zhang, Xiao; Yang, Deling; Yow, Cheun Hoe; Huang, Lihui; Wu, Xiaoqun; Huang, Xijun; Guo, Jia; Zhou, Shujun; Cai, Yiyu</t>
  </si>
  <si>
    <t>Metaverse for Cultural Heritages</t>
  </si>
  <si>
    <t>The metaverse has gained popularity recently in many areas including social media, healthcare, education and manufacturing. This work explores the use of the metaverse concept for cultural heritage applications. The motivation is to develop a systematic approach for the construction of a cultural heritage metaverse and to offer, potentially, more effective solutions for tourism guidance, site maintenance, heritage object conservation, etc. We propose a framework for this cultural heritage metaverse with an emphasis on fundamental elements and on characterization of the mapping between the physical and virtual cultural heritage worlds. Efforts are made to analyze the dimensional structures of the cultural heritage metaverse. Specifically, five different dimensions, linearity, planarity, space, time and context, are discussed to better understand this metaverse. The proposed framework and methodology are novel and can be applied to the digitalization of cultural heritage via its metaverse development. This is followed by a detailed case study to illustrate the tangible procedure, constructing a cultural heritage metaverse with a complex and dynamic nature which can be used for different applications, including heritage conservation.</t>
  </si>
  <si>
    <t>, LIHUI/0000-0002-9589-6393; wu, xiao qun/0000-0001-6977-6876</t>
  </si>
  <si>
    <t>NOV</t>
  </si>
  <si>
    <t>10.3390/electronics11223730</t>
  </si>
  <si>
    <t>WOS:000887142200001</t>
  </si>
  <si>
    <t>Truong, VT; Le, LB; Niyato, D</t>
  </si>
  <si>
    <t>Truong, Vu Tuan; Le, Long Bao; Niyato, Dusit</t>
  </si>
  <si>
    <t>Blockchain Meets Metaverse and Digital Asset Management: A Comprehensive Survey</t>
  </si>
  <si>
    <t>IEEE ACCESS</t>
  </si>
  <si>
    <t>Envisioned to be the next-generation Internet, the metaverse has been attracting enormous attention from both the academia and industry. The metaverse can be viewed as a 3D immersive virtual world, where people use Augmented/Virtual Reality (AR/VR) devices to access and interact with others through digital avatars. While early versions of the metaverse exist in several Massively Multiplayer Online (MMO) games, the full-flesh metaverse is expected to be more complex and enabled by various advanced technologies. Blockchain is one of the crucial technologies that could revolutionize the metaverse to become a decentralized and democratic virtual society with its own economic and governance system. Realizing the importance of blockchain for the metaverse, our goal in this paper is to provide a comprehensive survey that clarifies the role of blockchain in the metaverse including in-depth analysis of digital asset management. To this end, we discuss how blockchain can enable the metaverse from different perspectives, ranging from user applications to virtual services and the blockchain-enabled economic system. Furthermore, we describe how blockchain can shape the metaverse from the system perspective, including various solutions for the decentralized governance system and data management. The potential of blockchain for security and privacy aspects of the metaverse infrastructure is also figured out, while a full flow of blockchain-based digital asset management for the metaverse is investigated. Finally, we discuss a wide range of open challenges of the blockchain-empowered metaverse.</t>
  </si>
  <si>
    <t>; Le, Long/A-1003-2016</t>
  </si>
  <si>
    <t>Truong, Vu/0009-0003-3072-7905; Le, Long/0000-0003-3577-6530</t>
  </si>
  <si>
    <t>2169-3536</t>
  </si>
  <si>
    <t>10.1109/ACCESS.2023.3257029</t>
  </si>
  <si>
    <t>WOS:000966522400001</t>
  </si>
  <si>
    <t>Chen, ZS</t>
  </si>
  <si>
    <t>Chen, Zhisheng</t>
  </si>
  <si>
    <t>Metaverse office: exploring future teleworking model</t>
  </si>
  <si>
    <t>KYBERNETES</t>
  </si>
  <si>
    <t>Purpose - This study aims to explore the application scenarios of metaverse offices in organizations, including immersive work experiences, weak social networks and virtual meetings. Based on the exploration of this application scenario, this study discusses four levels of organizational change that will be brought about by the future metaverse office, such as the inter-enterprise ecological collaboration model, distributed autonomous organization, flexible leadership and individual belongingness. The metaverse office has some special advantages over traditional office models, but the metaverse office still raises some issues, such as privacy, security, addiction, equity and usability. These issues brake the widespread adoption of metaverse technologies. The study recommends that researchers take these issues into account in future metaverse research and development. Design/methodology/approach - This study surveys the relevant literature by means of a literature review in order to analyze how metaverse technology can be applied to teleworking. Two databases including Web of Science (https://www.webofscience.com/) and Google Scholar (http://scholar.google.com) were selected for this study. Keywords such as teleworking and metaverse were used, and 18 publications were found to be relevant to the study. After excluding duplicates, less relevant and older literature, only 14 articles could be used as references for this study. Based on the exploration of this application scenario, this study discusses four levels of organizational change and issues that will be brought about by the metaverse office of the future. Findings - It presents the application scenarios of the metaverse office in organizations, including immersive work experience, weak social networking and virtual meetings. Social implications - The pandemic triggers a desire for contactless working. The three main applications of the metaverse office also have a practical value which has been proven in some high-tech companies. It is foreseeable that an efficient, electronic and personalized office model will be enthusiastically adopted by society. Metaverse office will gradually step into people's view in the future. Originality/value - The concept of the metaverse office has rarely been touched upon by theoretical research, although the technology is gradually becoming known. Even its application to teleworking has only recently been reached by some organizations.</t>
  </si>
  <si>
    <t>Chen, Zhisheng/GYD-9493-2022</t>
  </si>
  <si>
    <t>Chen, Zhisheng/0000-0002-0854-2547</t>
  </si>
  <si>
    <t>0368-492X</t>
  </si>
  <si>
    <t>1758-7883</t>
  </si>
  <si>
    <t>10.1108/K-10-2022-1432</t>
  </si>
  <si>
    <t>FEB 2023</t>
  </si>
  <si>
    <t>WOS:000941256800001</t>
  </si>
  <si>
    <t>Zhang, LJ</t>
  </si>
  <si>
    <t>Tekinerdogan, B; Wang, Y; Zhang, LJ</t>
  </si>
  <si>
    <t>Zhang, Liang-Jie</t>
  </si>
  <si>
    <t>MRA: Metaverse Reference Architecture</t>
  </si>
  <si>
    <t>INTERNET OF THINGS - ICIOT 2021</t>
  </si>
  <si>
    <t>6th International Conference on Internet of Things (ICIOT) held as Part of the Services Conference Federation (SCF)</t>
  </si>
  <si>
    <t>DEC 10-14, 2021</t>
  </si>
  <si>
    <t>Serv Soc</t>
  </si>
  <si>
    <t>On the basis of introducing the metaverse and the digital economy and supporting the development trend of new technologies, the concept of serviceto-service (S2S) ecosystem is defined. The metaverse is used to build a virtual digital world and link the physical world. This paper focuses on the connotation of the two words Meta and Verse of the metaverse, and proposes a management framework of metaverse resources (Non-fungible token, 3D space, experience, avatar, etc.) in scenarios that support interactions such as the management of work, life, transaction, and customers. Then the paper proposes a metaverse reference architecture (MRA) for systematically constructing metaverse solutions. Finally, this paper also looks forward to the future development trend of the metaverse.</t>
  </si>
  <si>
    <t>978-3-030-96068-1; 978-3-030-96067-4</t>
  </si>
  <si>
    <t>10.1007/978-3-030-96068-1_8</t>
  </si>
  <si>
    <t>WOS:000772174700008</t>
  </si>
  <si>
    <t>Fernandez, CB; Hui, P</t>
  </si>
  <si>
    <t>IEEE Comp Soc</t>
  </si>
  <si>
    <t>Fernandez, Carlos Bermejo; Hui, Pan</t>
  </si>
  <si>
    <t>Life, the Metaverse and Everything: An Overview of Privacy, Ethics, and Governance in Metaverse</t>
  </si>
  <si>
    <t>2022 IEEE 42ND INTERNATIONAL CONFERENCE ON DISTRIBUTED COMPUTING SYSTEMS WORKSHOPS (ICDCSW)</t>
  </si>
  <si>
    <t>IEEE International Conference on Distributed Computing Systems Workshops</t>
  </si>
  <si>
    <t>42nd IEEE International Conference on Distributed Computing Systems (ICDCS)</t>
  </si>
  <si>
    <t>JUL 10-13, 2022</t>
  </si>
  <si>
    <t>Bologna, ITALY</t>
  </si>
  <si>
    <t>IEEE,IEEE Comp Soc</t>
  </si>
  <si>
    <t>The meta verse is expected to be the next major evolution phase of the internet. The metaverse will impact human society, production, and life. In this work, we analyze the current trends and challenges that building such a virtual environment will face. We focus on three major pillars to guide the development of the metaverse: privacy, governance. and ethical design. to guide the development of the metaverse. Finally, we propose a preliminary modular-based framework for an ethical design of the metaverse.</t>
  </si>
  <si>
    <t>1545-0678</t>
  </si>
  <si>
    <t>978-1-6654-8879-2</t>
  </si>
  <si>
    <t>10.1109/ICDCSW56584.2022.00058</t>
  </si>
  <si>
    <t>WOS:000895984800049</t>
  </si>
  <si>
    <t>Xu, YB; Liu, W; He, T; Tsai, SB</t>
  </si>
  <si>
    <t>Xu, Yingbo; Liu, Wei; He, Tong; Tsai, Sang-Bing</t>
  </si>
  <si>
    <t>Buzzword or fuzzword: an event study of the metaverse in the Chinese stock market</t>
  </si>
  <si>
    <t>INTERNET RESEARCH</t>
  </si>
  <si>
    <t>PurposeMetaverse has become a buzzword in the Chinese stock market. However, it remains unclear whether a firm's metaverse-related announcements will elicit positive stock market reactions. Whether and how stakeholder reactions are influenced by a firm's metaverse-related readiness also needs to be further explored. This study aims to discuss the aforementioned objective.Design/methodology/approachThe authors derived a set of factors based on readiness theory and business ecosystem literature and extend them into the context of the metaverse. The authors used a sample of 642 Chinese listed firms in 2021 to investigate the hypotheses through the event study.FindingsThe study's findings show that metaverse coverage induces a positive stock market reaction, but it is subject to three moderating effects. The authors introduce the novel concepts of IT readiness, ecosystem readiness and digital infrastructure readiness as the moderators. Stakeholders perceive metaverse announcements as overhyped, and stock prices do not fluctuate significantly after a metaverse announcement when the listed firms are not ready to embrace the metaverse.Originality/valueThis study is one of the first that introduces the event study method into the metaverse research, and it reveals that different levels of readiness influence stakeholders' evaluations and reactions to corporate metaverse coverage. This provides empirical evidence on metaverse development in China from the stock market's perspective.</t>
  </si>
  <si>
    <t>1066-2243</t>
  </si>
  <si>
    <t>10.1108/INTR-07-2022-0526</t>
  </si>
  <si>
    <t>WOS:000939401400001</t>
  </si>
  <si>
    <t>Wang, CHZ; Yu, CJ; Zhang, Y</t>
  </si>
  <si>
    <t>Wang, Chenhuizi; Yu, Chunjing; Zhang, Yang</t>
  </si>
  <si>
    <t>Attention Economy in Metaverse: An NFT Value Perspective</t>
  </si>
  <si>
    <t>2022 IEEE 24TH INTERNATIONAL WORKSHOP ON MULTIMEDIA SIGNAL PROCESSING (MMSP)</t>
  </si>
  <si>
    <t>IEEE International Workshop on Multimedia Signal Processing</t>
  </si>
  <si>
    <t>IEEE 24th International Workshop on Multimedia Signal Processing (MMSP)</t>
  </si>
  <si>
    <t>SEP 26-28, 2022</t>
  </si>
  <si>
    <t>With the blooming of NFT platforms such as Opensea, metaverse has become the most booming concept in both industry and academia all around the universe. Comprehending the way metaverse economy operates and the intrinsic value propping it has become the key to the essence of metaverse. We try to reveal the value basis of metaverse via two academic resources, media theory and attention economics, to describe the principle of value creation in metaverse economy. To better examine how the value of NFT projects is affected by human time and attention devoted to metaverse, we study a system with structured rules, e.g. blockchain games, to measure the players' time spent and quantify the players' rewards. A representative project, Aavegotchi is examined as a case. We analyse the data of Aavegotchi pixel ghosts such as price, rarity and player's time devoted. We find various interesting results which demonstrate how the value of NFTs is affected by various factors, and acquire some meaningful conclusions on the value of time in metaverse.</t>
  </si>
  <si>
    <t>2163-3517</t>
  </si>
  <si>
    <t>978-1-6654-7189-3</t>
  </si>
  <si>
    <t>10.1109/MMSP55362.2022.9949153</t>
  </si>
  <si>
    <t>WOS:000893205800070</t>
  </si>
  <si>
    <t>Xu, H; Li, ZH; Li, ZY; Zhang, XS; Sun, Y; Zhang, L</t>
  </si>
  <si>
    <t>Xu, Hao; Li, Zihao; Li, Zongyao; Zhang, Xiaoshuai; Sun, Yao; Zhang, Lei</t>
  </si>
  <si>
    <t>1109Metaverse Native Communication: A Blockchain and Spectrum Prospective</t>
  </si>
  <si>
    <t>2022 IEEE INTERNATIONAL CONFERENCE ON COMMUNICATIONS WORKSHOPS (ICC WORKSHOPS)</t>
  </si>
  <si>
    <t>IEEE International Conference on Communications Workshops</t>
  </si>
  <si>
    <t>IEEE International Conference on Communications (ICC)</t>
  </si>
  <si>
    <t>MAY 16-20, 2022</t>
  </si>
  <si>
    <t>Seoul, SOUTH KOREA</t>
  </si>
  <si>
    <t>Metaverse depicts a vista of constructing a virtual environment parallel to the real world so people can communicate with others and objects through digital entities. In the real world, communication relies on identities and addresses that are recognized by authorities, no matter the link is established via post, email, mobile phone, or landline. Metaverse, however, is different from the real world, which requires a single identity belongs to the individual. This identity can be an encrypted virtual address in the metaverse but no one can trace or verify it. In order to achieve such addresses to hide individuals in the metaverse, remapping the virtual address to the individual's identity and a specific spectrum to support the address-based communication for the metaverse are needed. Therefore, metaverse native or meta-native communications based on blockchain could be a promising solution to directly connect entities with their native encrypted addresses that gets rid of the existing network services based on IP, cellular, HTTP, etc. This paper proposes a vision of blockchain, encrypted address and address-based access model for all users, devices, services, etc. to contribute to the metaverse. Furthermore, the allocation architecture of a designated spectrum for the metaverse is proposed to remove the barrier to access to the metaverse/blockchain in response to the initiatives of metaverse and decentralized Internet.</t>
  </si>
  <si>
    <t>Xu, Hao/ABD-9657-2021; L., Michael/HNP-8517-2023</t>
  </si>
  <si>
    <t xml:space="preserve">Xu, Hao/0000-0001-7237-7905; </t>
  </si>
  <si>
    <t>2164-7038</t>
  </si>
  <si>
    <t>978-1-6654-2671-8</t>
  </si>
  <si>
    <t>10.1109/ICCWORKSHOPS53468.2022.9814538</t>
  </si>
  <si>
    <t>WOS:000848467200002</t>
  </si>
  <si>
    <t>Wang, YY; Siau, KL; Wang, L</t>
  </si>
  <si>
    <t>Chen, JYC; Fragomeni, G; Degen, H; Ntoa, S</t>
  </si>
  <si>
    <t>Wang, Yuying; Siau, Keng L.; Wang, Le</t>
  </si>
  <si>
    <t>Metaverse and Human-Computer Interaction: A Technology Framework for 3D VirtualWorlds</t>
  </si>
  <si>
    <t>HCI INTERNATIONAL 2022 - LATE BREAKING PAPERS: INTERACTING WITH EXTENDED REALITY AND ARTIFICIAL INTELLIGENCE</t>
  </si>
  <si>
    <t>24th International Conference on Human-Computer Interaction (HCII)</t>
  </si>
  <si>
    <t>JUN 26-JUL 01, 2022</t>
  </si>
  <si>
    <t>Metaverse is posed to change the world and revolutionalize the way we work, play, and socialize with one another. In recent years, both capital circles and large technology companies have started to pay attention to this emerging field, setting off a wave of metaverse upsurge. The academic world can and should also contribute to the development and evolution of metaverse. In this paper, we put forward a technology framework of metaverse from a macro perspective to discuss technical support for realizing the vision of large-scale and massive human-computer interaction in metaverse. We trace the latest technology and related applications that enable the development of metaverse. We also compare them with the proposed technical framework to determine the current gaps, which point out the direction for further research in the future.</t>
  </si>
  <si>
    <t>Wang, Le/0000-0002-0375-3177</t>
  </si>
  <si>
    <t>978-3-031-21706-7; 978-3-031-21707-4</t>
  </si>
  <si>
    <t>10.1007/978-3-031-21707-4_16</t>
  </si>
  <si>
    <t>WOS:000906729200016</t>
  </si>
  <si>
    <t>Bhattacharya, S; Varshney, S; Tripathi, S</t>
  </si>
  <si>
    <t>Bhattacharya, Sudip; Varshney, Saurabh; Tripathi, Shailesh</t>
  </si>
  <si>
    <t>Harnessing public health with metaverse technology</t>
  </si>
  <si>
    <t>FRONTIERS IN PUBLIC HEALTH</t>
  </si>
  <si>
    <t>2296-2565</t>
  </si>
  <si>
    <t>DEC 1</t>
  </si>
  <si>
    <t>10.3389/fpubh.2022.1030574</t>
  </si>
  <si>
    <t>WOS:000899012200001</t>
  </si>
  <si>
    <t>Kshetri, N; Rojas-Torres, D; Grambo, M</t>
  </si>
  <si>
    <t>Kshetri, Nir; Rojas-Torres, Diana; Grambo, Mark</t>
  </si>
  <si>
    <t>The Metaverse and Higher Education Institutions</t>
  </si>
  <si>
    <t>IT PROFESSIONAL</t>
  </si>
  <si>
    <t>The metaverse is becoming an important part of the education technology market. Immersive learning of the metaverse is especially likely to attract young learners. This article discusses metaverse's benefits to higher education institutions and the barriers these institutions are likely to face in implementing this innovation.</t>
  </si>
  <si>
    <t>1520-9202</t>
  </si>
  <si>
    <t>1941-045X</t>
  </si>
  <si>
    <t>NOV 1</t>
  </si>
  <si>
    <t>10.1109/MITP.2022.3222711</t>
  </si>
  <si>
    <t>WOS:000917257500014</t>
  </si>
  <si>
    <t>Han, YQ; Oh, S</t>
  </si>
  <si>
    <t>Han, Yiqian; Oh, Seokhee</t>
  </si>
  <si>
    <t>Investigation and Research on the Negotiation Space of Mental and Mental Illness Based on Metaverse</t>
  </si>
  <si>
    <t>12TH INTERNATIONAL CONFERENCE ON ICT CONVERGENCE (ICTC 2021): BEYOND THE PANDEMIC ERA WITH ICT CONVERGENCE INNOVATION</t>
  </si>
  <si>
    <t>International Conference on Information and Communication Technology Convergence</t>
  </si>
  <si>
    <t>12th International Conference on ICT Convergence (ICTC) - Beyond the Pandemic Era with ICT Convergence Innovation</t>
  </si>
  <si>
    <t>OCT 20-22, 2021</t>
  </si>
  <si>
    <t>IEEE Commun Soc,IEICE Commun Soc,Korean Inst Commun &amp; Informat Sci,Minist Sci &amp; ICT,Elect &amp; Telecommunicat Res Inst,KOFST,Jeju Convent &amp; Visitiors Bur,Korea Tourism Org,Samsung,LG Elect,SK Telecom,KT,LG U+,Youngwoo Cloud,Netvis Telecom,Innox,Huawei,LG, Ericsson,Fiber Radio Technologies,ICT Convergence Korea Forum,Soc Safety Syst Forum,5G Based Smart Factory Standardizat Forum</t>
  </si>
  <si>
    <t>Combining the current era background of the rapid development of related industries in metaverse and the social environment brought about by the COVID-19. As a result, there are more and more cases of receiving treatment for mental illness in the metaverse space. Therefore, in the current actual situation, the main body of this article is to use a game engine to build a high-realistic virtual diagnosis and treatment stage based on the metaverse. This project has two components: This project has two components: 1. Design a metaverse space scene. Designed to improve the discomfort of elderly users in the metaverse environment. 2. The PBR (Physically Based Rendering) rendering material processing method in the metaverse stage. This article aims to establish a digital diagnosis and treatment space based on the metaverse, which can help patients reduce the unfamiliarity of online diagnosis and treatment, provide a more active psychotherapy atmosphere, and reduce the discomfort of patients during the treatment process. Furthermore, based on metaverse, this article aims to build a more intelligent, realistic, and visualized digital therapy stage and the highly realistic performance of the digital therapy treatment content in the future under visualization.</t>
  </si>
  <si>
    <t>2162-1233</t>
  </si>
  <si>
    <t>978-1-6654-2383-0</t>
  </si>
  <si>
    <t>10.1109/ICTC52510.2021.9621118</t>
  </si>
  <si>
    <t>WOS:000790235800161</t>
  </si>
  <si>
    <t>Seigneur, JM; Choukou, MA</t>
  </si>
  <si>
    <t>ACM</t>
  </si>
  <si>
    <t>Seigneur, Jean-Marc; Choukou, Mohamed-Amine</t>
  </si>
  <si>
    <t>How should metaverse augment humans with disabilities</t>
  </si>
  <si>
    <t>AUGMENTED HUMAN 2022: PROCEEDINGS OF THE 13TH AUGMENTED HUMAN INTERNATIONAL CONFERENCE, AH2022</t>
  </si>
  <si>
    <t>13th Augmented Human International Conference (AH2022)</t>
  </si>
  <si>
    <t>MAY 26-27, 2022</t>
  </si>
  <si>
    <t>Winnipeg, CANADA</t>
  </si>
  <si>
    <t>Coll of Rehabil Sci, Univ of Manitoba</t>
  </si>
  <si>
    <t>The metaverse is a new paradigm made possible by emerging technologies like virtual reality, augmented reality, and blockchains. Humans with disabilities should not be excluded from the metaverse and should have equitable access to it. However, it is unclear which options humans with physical and cognitive disabilities will have in the current metaverse to use and represent themselves and feel included. Our research seeks to determine how humans with disabilities should be augmented in the metaverse, as well as whether the current metaverse permits such augmentations. If not, what features should be added to make the metaverse more accessible and inclusive? In this regard, we have begun to investigate one of the most well-known decentralized metaverses, namely Decentraland.</t>
  </si>
  <si>
    <t>978-1-4503-9659-2</t>
  </si>
  <si>
    <t>10.1145/3532525.3532534</t>
  </si>
  <si>
    <t>WOS:000944005200007</t>
  </si>
  <si>
    <t>Rawal, BS; Mentges, A; Ahmad, S</t>
  </si>
  <si>
    <t>Rawal, Bharat S.; Mentges, Andrew; Ahmad, Shakaib</t>
  </si>
  <si>
    <t>The Rise of Metaverse and Interoperability with Split-Protocol</t>
  </si>
  <si>
    <t>2022 IEEE 23RD INTERNATIONAL CONFERENCE ON INFORMATION REUSE AND INTEGRATION FOR DATA SCIENCE (IRI 2022)</t>
  </si>
  <si>
    <t>23rd IEEE International Conference on Information Reuse and Integration for Data Science (IEEE IRI)</t>
  </si>
  <si>
    <t>AUG 09-11, 2022</t>
  </si>
  <si>
    <t>IEEE,IEEE Comp Soc,Soc Informat Reuse &amp; Integrat</t>
  </si>
  <si>
    <t>The concept of the metaverse dates to 1992; however, the popularity of this concept has gained increased attention in 2021 following the announcement by Mark Zuckerberg to rebrand Facebook as Meta. The topic of the metaverse is not new but an attractive topic that is gaining increased insight from researchers. This research focuses on a broader evaluation of the metaverse and its key elements and features of the metaverse. Even though metaverse is expected as a promising platform for information exchange and communication among internet users, it has several shortcomings such as requiring high-performance client terminals and a long response time in some cases. We address issues by introducing an interoperable Split- protocol with role changeover ability for resiliency and high availability of metaverse systems. The paper highlights key security and privacy threats, as well as the critical challenges in security defenses and privacy preservation under the distributed metaverse architecture.</t>
  </si>
  <si>
    <t>978-1-6654-6603-5</t>
  </si>
  <si>
    <t>10.1109/IRI54793.2022.00051</t>
  </si>
  <si>
    <t>WOS:000864174800036</t>
  </si>
  <si>
    <t>Wang, YT; Su, Z; Zhang, N; Xing, R; Liu, DX; Luan, TH; Shen, XM</t>
  </si>
  <si>
    <t>Wang, Yuntao; Su, Zhou; Zhang, Ning; Xing, Rui; Liu, Dongxiao; Luan, Tom H.; Shen, Xuemin</t>
  </si>
  <si>
    <t>A Survey on Metaverse: Fundamentals, Security, and Privacy</t>
  </si>
  <si>
    <t>IEEE COMMUNICATIONS SURVEYS AND TUTORIALS</t>
  </si>
  <si>
    <t>Metaverse, as an evolving paradigm of the next-generation Internet, aims to build a fully immersive, hyper spatiotemporal, and self-sustaining virtual shared space for humans to play, work, and socialize. Driven by recent advances in emerging technologies such as extended reality, artificial intelligence, and blockchain, metaverse is stepping from science fiction to an upcoming reality. However, severe privacy invasions and security breaches (inherited from underlying technologies or emerged in the new digital ecology) of metaverse can impede its wide deployment. At the same time, a series of fundamental challenges (e.g., scalability and interoperability) can arise in metaverse security provisioning owing to the intrinsic characteristics of metaverse, such as immersive realism, hyper spatiotemporality, sustainability, and heterogeneity. In this paper, we present a comprehensive survey of the fundamentals, security, and privacy of metaverse. Specifically, we first investigate a novel distributed metaverse architecture and its key characteristics with ternary-world interactions. Then, we discuss the security and privacy threats, present the critical challenges of metaverse systems, and review the state-of-the-art countermeasures. Finally, we draw open research directions for building future metaverse systems.</t>
  </si>
  <si>
    <t>Mozaffari-Kermani, Mehran/IAR-5293-2023; Luan, Tom H./HLG-0711-2023; XU, Feng/A-4582-2010</t>
  </si>
  <si>
    <t>Mozaffari-Kermani, Mehran/0000-0003-4513-3109; XU, Feng/0000-0002-7015-1467; wang, yuntao/0000-0003-3810-7076; Wang, Yan/0000-0001-9081-5008; Wang, Zhongyuan/0000-0002-9796-488X; Shen, Xuemin (Sherman)/0000-0002-4140-287X; Liu, Dongxiao/0000-0003-2595-6757; Xiong, Zixiang/0000-0002-4714-3311</t>
  </si>
  <si>
    <t>1553-877X</t>
  </si>
  <si>
    <t>10.1109/COMST.2022.3202047</t>
  </si>
  <si>
    <t>WOS:000942531300012</t>
  </si>
  <si>
    <t>Shao, LJ; Tang, W; Zhang, ZQ; Chen, XR</t>
  </si>
  <si>
    <t>Shao, Liangjing; Tang, Wei; Zhang, Ziqun; Chen, Xinrong</t>
  </si>
  <si>
    <t>MEDICAL METAVERSE: TECHNOLOGIES, APPLICATIONS, CHALLENGES AND FUTURE</t>
  </si>
  <si>
    <t>JOURNAL OF MECHANICS IN MEDICINE AND BIOLOGY</t>
  </si>
  <si>
    <t>Currently, medical technology is developing rapidly and more medical problems are being solved. However, the shortage of medical resources and the high cost of medical care have become severe medical problems in response to the needs of patients. The continuous improvement of medical experience and quality is one of the most critical issues and is widely valued. The metaverse is an emerging digital space that integrates all kinds of technologies, including artificial intelligence, virtual reality, augmented reality, internet technology, blockchain and digital twin, etc. These technologies can ensure an immersive experience in the metaverse for humans to complete various tasks efficiently. Many fields, including video games, industrial production and medical service, have started to pay attention to the application of the metaverse. In the medical field, medical personnel can use the metaverse to achieve efficient diagnosis, education and treatments. And the interaction between medical personnel and patients in digital space can be strong. In this paper, we review the technologies and the applications of the metaverse and explore the potential of the metaverse in healthcare from several application scenarios. Based on this, the current challenges are analyzed and the possible solutions are proposed as the future direction of medical metaverse.</t>
  </si>
  <si>
    <t>0219-5194</t>
  </si>
  <si>
    <t>1793-6810</t>
  </si>
  <si>
    <t>MAR</t>
  </si>
  <si>
    <t>10.1142/S0219519423500288</t>
  </si>
  <si>
    <t>WOS:000968974700010</t>
  </si>
  <si>
    <t>Dong, HW; Liu, Y</t>
  </si>
  <si>
    <t>Dong, Haiwei; Liu, Yang</t>
  </si>
  <si>
    <t>Metaverse Meets Consumer Electronics</t>
  </si>
  <si>
    <t>IEEE CONSUMER ELECTRONICS MAGAZINE</t>
  </si>
  <si>
    <t>The first year of the Metaverse Era is considered 2021 mainly because the gaming company Roblox was listed on March 10, 2021. Different from the traditional games, in the Roblox metaverse, the game players can construct their own games to let others play together.</t>
  </si>
  <si>
    <t>2162-2248</t>
  </si>
  <si>
    <t>2162-2256</t>
  </si>
  <si>
    <t>MAY 1</t>
  </si>
  <si>
    <t>10.1109/MCE.2022.3229180</t>
  </si>
  <si>
    <t>WOS:000975272900003</t>
  </si>
  <si>
    <t>Abu Bakar, A; Hussin, N; Angchun, P; Seman, MR</t>
  </si>
  <si>
    <t>Abu Bakar, Amzari; Hussin, Norhayati; Angchun, Peemasak; Seman, Mohd Ridwan</t>
  </si>
  <si>
    <t>The Roles of Library in the Metaverse</t>
  </si>
  <si>
    <t>ENVIRONMENT-BEHAVIOUR PROCEEDINGS JOURNAL</t>
  </si>
  <si>
    <t>5th International Conference on Information Science (ICIS)</t>
  </si>
  <si>
    <t>SEP 19-21, 2022</t>
  </si>
  <si>
    <t>Penang, MALAYSIA</t>
  </si>
  <si>
    <t>UiTM, Fac Informat Management</t>
  </si>
  <si>
    <t>The library is an important institution throughout society. Library roles change over time, from the custodian of records to addressing information needs of the society in the digital age of the Internet. Tech companies around the world are start investing in the next version of the Internet called the Metaverse. The key elements of Metaverse are Virtual Reality, Augmented Reality, Real-Time, and Immersive experience in the common cyberspace. The Metaverse is not fully existed yet. It is predicted that it will change business disruptively. This paper discusses the roles of the library may play in the Metaverse.</t>
  </si>
  <si>
    <t>2398-4287</t>
  </si>
  <si>
    <t>SEP</t>
  </si>
  <si>
    <t>10.21834/ebpj.v7iSI10.4132</t>
  </si>
  <si>
    <t>WOS:000925923300013</t>
  </si>
  <si>
    <t>Dolata, M; Schwabe, G</t>
  </si>
  <si>
    <t>Dolata, Mateusz; Schwabe, Gerhard</t>
  </si>
  <si>
    <t>What is the Metaverse and who seeks to define it? Mapping the site of social construction</t>
  </si>
  <si>
    <t>JOURNAL OF INFORMATION TECHNOLOGY</t>
  </si>
  <si>
    <t>The Metaverse has become a buzz-phrase among tech businesses. Facebook's rebranding to Meta is symptomatic of this. Many firms and other actors are trying to shape visions of the Metaverse, leading to confusion about the term's meaning. We use social construction of technology (SCOT) theory to disentangle the conflicting notions proposing that what the Metaverse is and will become relies on the collective sensemaking processes. We point out similarities and differences between various concepts presented in the public media and link them to individual actors' monetary, political, or social motives. We describe the tensions that occur because of the conflicting interests. As the Metaverse is an emerging phenomenon, opportunities exist to reorient it toward humanist values rather than singular interests. However, the complexity of the social processes that shape the Metaverse requires a considerate approach rather than premature conclusions about the Metaverse's characteristics. The analysis presents the Metaverse as a new, continually evolving sociotechnical phenomenon, and calls for research that explores it as a dynamic, moving target.</t>
  </si>
  <si>
    <t>Dolata, Mateusz/0000-0002-2732-4465</t>
  </si>
  <si>
    <t>0268-3962</t>
  </si>
  <si>
    <t>1466-4437</t>
  </si>
  <si>
    <t>10.1177/02683962231159927</t>
  </si>
  <si>
    <t>MAR 2023</t>
  </si>
  <si>
    <t>WOS:000945833900001</t>
  </si>
  <si>
    <t>Wu, FY; Javed, W; Popoola, OR; Abbasi, Q; Imran, M</t>
  </si>
  <si>
    <t>Wu, Fengyi; Javed, Waqas; Popoola, Olaoluwa R.; Abbasi, Qammer; Imran, Muhammad</t>
  </si>
  <si>
    <t>An Embodied Approach for Teaching Advanced Electronics in Metaverse Environment</t>
  </si>
  <si>
    <t>2022 29TH IEEE INTERNATIONAL CONFERENCE ON ELECTRONICS, CIRCUITS AND SYSTEMS (IEEE ICECS 2022)</t>
  </si>
  <si>
    <t>IEEE International Conference on Electronics Circuits and Systems</t>
  </si>
  <si>
    <t>29th IEEE International Conference on Electronics, Circuits and Systems (IEEE ICECS)</t>
  </si>
  <si>
    <t>OCT 24-26, 2022</t>
  </si>
  <si>
    <t>Glasgow, SCOTLAND</t>
  </si>
  <si>
    <t>IEEE,IEEE Circuits &amp; Syst Soc,Cadence,Engn &amp; Phys Sci Res Council,Wiley,Univ Glasgow,Empowering Pract Interfacing Quantum Comp,Adv Intelligent Syst</t>
  </si>
  <si>
    <t>This paper presents a novel framework on developing a 3D-based virtual learning environment in metaverse on teaching advanced electronics. It presents a novel procedural approach for developing advanced electronics labs in the metaverse including tools for teaching the concept in metaverse platforms like Second Life, EON-XR, and Minecraft. This provides a simple and safe learning environment for advanced electronics concepts without actually dealing with any physically hazardous electrical components. Hence, this study serves as a reference for designing and deploying immersive metaverse-based electronics labs for the future. It also illustrates a supplementary technique for performing actual lab work without being in a real classroom or laboratory.</t>
  </si>
  <si>
    <t>Abbasi, Qammer H./I-8644-2019</t>
  </si>
  <si>
    <t>Abbasi, Qammer H./0000-0002-7097-9969</t>
  </si>
  <si>
    <t>978-1-6654-8823-5</t>
  </si>
  <si>
    <t>10.1109/ICECS202256217.2022.9970782</t>
  </si>
  <si>
    <t>WOS:000913346300006</t>
  </si>
  <si>
    <t>Zheng, WB; Yan, L; Zhang, WW; Ouyang, LW; Wen, D</t>
  </si>
  <si>
    <t>Zheng, Wenbo; Yan, Lan; Zhang, Wenwen; Ouyang, Liwei; Wen, Ding</t>
  </si>
  <si>
    <t>D?K? I: Data-Knowledge-Driven Group Intelligence Framework for Smart Service in Education Metaverse</t>
  </si>
  <si>
    <t>IEEE TRANSACTIONS ON SYSTEMS MAN CYBERNETICS-SYSTEMS</t>
  </si>
  <si>
    <t>Metaverse is the fusion of cyber-physical-social intelligence, and the fusion becomes the core and fundamental property of the metaverse. As an important part of social operationalization, the education domain leads to the birth of the education metaverse. This article answers three basic questions about smart services in the education metaverse: 1) learning scene; 2) technical framework; and 3) initial expansion. Specifically, four key elements constitute the learning scene in the education metaverse: 1) the learner; 2) its time; 3) space; and 4) learning event. In this learning scene, we propose a novel data-knowledge-driven group intelligence framework, aiming to transform data in the education metaverse into knowledge, and intersect and integrate intelligence with knowledge; based on this framework, we apply it to specific services, i.e., transaction and management services. We hope that our work opens the door to research on smart services in the education metaverse and more scholars will work for these challenges.</t>
  </si>
  <si>
    <t>2168-2216</t>
  </si>
  <si>
    <t>2168-2232</t>
  </si>
  <si>
    <t>10.1109/TSMC.2022.3228849</t>
  </si>
  <si>
    <t>DEC 2022</t>
  </si>
  <si>
    <t>WOS:000903549100001</t>
  </si>
  <si>
    <t>Kshetri, N</t>
  </si>
  <si>
    <t>Kshetri, Nir</t>
  </si>
  <si>
    <t>National Metaverse Strategies</t>
  </si>
  <si>
    <t>COMPUTER</t>
  </si>
  <si>
    <t>Many countries are viewing the metaverse as essential to their economies, developing national blueprints to grow the metaverse industry. This article examines said strategies of China, Saudi Arabia, South Korea, and the United Arab Emirates.</t>
  </si>
  <si>
    <t>0018-9162</t>
  </si>
  <si>
    <t>1558-0814</t>
  </si>
  <si>
    <t>FEB</t>
  </si>
  <si>
    <t>10.1109/MC.2022.3227681</t>
  </si>
  <si>
    <t>WOS:000966229100001</t>
  </si>
  <si>
    <t>Park, SM; Kim, YG</t>
  </si>
  <si>
    <t>Park, Sang-Min; Kim, Young-Gab</t>
  </si>
  <si>
    <t>A Metaverse: Taxonomy, Components, Applications, and Open Challenges</t>
  </si>
  <si>
    <t>Unlike previous studies on the Metaverse based on Second Life, the current Metaverse is based on the social value of Generation Z that online and offline selves are not different. With the technological development of deep learning-based high-precision recognition models and natural generation models, Metaverse is being strengthened with various factors, from mobile-based always-on access to connectivity with reality using virtual currency. The integration of enhanced social activities and neural-net methods requires a new definition of Metaverse suitable for the present, different from the previous Metaverse. This paper divides the concepts and essential techniques necessary for realizing the Metaverse into three components (i.e., hardware, software, and contents) and three approaches (i.e., user interaction, implementation, and application) rather than marketing or hardware approach to conduct a comprehensive analysis. Furthermore, we describe essential methods based on three components and techniques to Metaverse's representative Ready Player One, Roblox, and Facebook research in the domain of films, games, and studies. Finally, we summarize the limitations and directions for implementing the immersive Metaverse as social influences, constraints, and open challenges.</t>
  </si>
  <si>
    <t>wang, wjd/GSD-2051-2022; Kim, Young-Gab/AIE-4008-2022</t>
  </si>
  <si>
    <t>Kim, Young-Gab/0000-0001-9585-8808</t>
  </si>
  <si>
    <t>10.1109/ACCESS.2021.3140175</t>
  </si>
  <si>
    <t>WOS:000744490400001</t>
  </si>
  <si>
    <t>Choi, M; EL Azzaoui, A; Singh, SK; Salim, MM; Jeremiah, SR; Park, JH</t>
  </si>
  <si>
    <t>Choi, Min; EL Azzaoui, Abir; Singh, Sushil Kumar; Salim, Mikail Mohammed; Jeremiah, Sekione Reward; Park, Jong Hyuk</t>
  </si>
  <si>
    <t>The Future of Metaverse: Security Issues, Requirements, and Solutions</t>
  </si>
  <si>
    <t>HUMAN-CENTRIC COMPUTING AND INFORMATION SCIENCES</t>
  </si>
  <si>
    <t>Recently, the term ???Metaverse??? gained more interest from both industry and academia, especially after major companies announced metaverse as a novel billion-dollar industry. Metaverse is built upon various existing technologies such as virtual reality (VR), augmented reality (AR), the latest network generation (5G), blockchain, and so on. These technologies are highly developed, yet they are prone to multiple security issues. While the industry is working to develop the metaverse for average users, academia is still lacking related research, notably in the security area. However, only a few of research papers addressed the security and privacy issues related to these applications. Metaverse requires real-time and continuous data collection from users including private data such as location, identification, and biometric data. Before any further development of metaverse applications, the possible security threats must be mitigated. To this end, in this paper, we conduct a comprehensive survey on metaverse. The main contribution of this research is to give a comprehensive insight for future researchers regarding the current metaverse projects around the world and their security issues, along with some of the recent solutions and technologies used to improve metaverse quality of experience and security.</t>
  </si>
  <si>
    <t>Salim, Mikail Mohammed/ABC-4613-2021</t>
  </si>
  <si>
    <t>Salim, Mikail Mohammed/0000-0001-7870-9368</t>
  </si>
  <si>
    <t>2192-1962</t>
  </si>
  <si>
    <t>DEC 30</t>
  </si>
  <si>
    <t>10.22967/HCIS.2022.12.060</t>
  </si>
  <si>
    <t>WOS:000922629500001</t>
  </si>
  <si>
    <t>Anshari, M; Syafrudin, M; Fitriyani, NL; Razzaq, A</t>
  </si>
  <si>
    <t>Anshari, Muhammad; Syafrudin, Muhammad; Fitriyani, Norma Latif; Razzaq, Abdur</t>
  </si>
  <si>
    <t>Ethical Responsibility and Sustainability (ERS) Development in a Metaverse Business Model</t>
  </si>
  <si>
    <t>SUSTAINABILITY</t>
  </si>
  <si>
    <t>Businesses are starting to use the Metaverse to expand their service network and establish new value co-creation for customers. However, businesses may need to carefully assess the ethical implications of their data collection and utilisation procedures for business sustainability. This paper examines the ethical concerns surrounding the usage of the Metaverse by organisations to obtain a competitive edge. This research was based on an exploratory assessment of business ethics and a Metaverse business model. A structured literature review was selected as the study's design to get a better understanding of the issue. This research provides preliminary insights into the Metaverse and its business ethics, suggesting that any business must have a transparent policy regarding its Metaverse applications to foster a culture of ethics. This research aims to promote a constructive discussion on the issue of ethics in the context of the Metaverse that arises when an organisation conducts a violation or misuses user data. This paper is useful for people in the fields of technology and public policy, such as academics, businesspeople, and policymakers.</t>
  </si>
  <si>
    <t>Razzaq, Abdur/AAB-6359-2021; Fitriyani, Norma Latif/S-4105-2018; Anshari, Muhammad/N-5268-2017; Syafrudin, Muhammad/P-9657-2017</t>
  </si>
  <si>
    <t>Razzaq, Abdur/0000-0002-8267-5700; Fitriyani, Norma Latif/0000-0002-1133-3965; Anshari, Muhammad/0000-0002-8160-6682; Syafrudin, Muhammad/0000-0002-5640-4413</t>
  </si>
  <si>
    <t>2071-1050</t>
  </si>
  <si>
    <t>DEC</t>
  </si>
  <si>
    <t>10.3390/su142315805</t>
  </si>
  <si>
    <t>WOS:000896054600001</t>
  </si>
  <si>
    <t>Torres, NRD; Morteo, GAL; Cruz-Flores, RG</t>
  </si>
  <si>
    <t>Duran Torres, Naomi R.; Lopez Morteo, Gabriel A.; Cruz-Flores, Rene G.</t>
  </si>
  <si>
    <t>Conceptualization of Augmented Digital Ecosystem (ADE) in context of Metaverse and The Augmented Dimension</t>
  </si>
  <si>
    <t>2022 IEEE MEXICAN INTERNATIONAL CONFERENCE ON COMPUTER SCIENCE (ENC)</t>
  </si>
  <si>
    <t>Proceedings of the Mexican Conference on Computer Science</t>
  </si>
  <si>
    <t>IEEE Mexican International Conference on Computer Science (ENC)</t>
  </si>
  <si>
    <t>AUG 24-26, 2022</t>
  </si>
  <si>
    <t>Xalapa, MEXICO</t>
  </si>
  <si>
    <t>IEEE,Soc Mexicana Ciencia Computac A C,Univ Michoacana San Nicolas Hidalgo, Fac Ciencias Fisico Matematicas,Univ Veracruzana, Inst Investigaciones Inteligencia Artificial,CENIDET, Tecnologico Nacl Mexico, Inst Tecnologico Culiacan,Centro Investigac Matematicas,IEEE, Secc Veracruz,Educac</t>
  </si>
  <si>
    <t>There is an increase of interest in Metaverse and Augmented Reality. This paper exposes argumentation to conceptualize an Augmented Digital Ecosystem as part of an Augmented Dimension along with other elements also described such as Cyberspace, Metaverse and Virtual Worlds (VW).</t>
  </si>
  <si>
    <t>Flores, René Cruz/B-3576-2016</t>
  </si>
  <si>
    <t>Flores, René Cruz/0000-0002-7816-8685</t>
  </si>
  <si>
    <t>1550-4069</t>
  </si>
  <si>
    <t>978-1-6654-7347-7</t>
  </si>
  <si>
    <t>10.1109/ENC56672.2022.9882956</t>
  </si>
  <si>
    <t>WOS:000861700300046</t>
  </si>
  <si>
    <t>Jeong, WJ; Oh, GS; Oh, SH; Whangbo, TK</t>
  </si>
  <si>
    <t>Jeong, Won-Jun; Oh, Gi-Sung; Oh, Seok-Hee; Whangbo, Taeg-Keun</t>
  </si>
  <si>
    <t>Establishment of Production Standards for Web-based Metaverse Content: Focusing on Accessibility and HCI</t>
  </si>
  <si>
    <t>JOURNAL OF WEB ENGINEERING</t>
  </si>
  <si>
    <t>Metaverse technology is expanding to industries in various fields, such as medical, national defense, and education, and training simulation programs have been mainstream so far. However, there have been increasing attempts to apply metaverse content to web-based platforms linked to social media services and, as a result, we face the problem of access to web-based metaverse content. Unlike traditional content, metaverse content interacts with many users, so content accessi-bility is the first important part to consider. In other words, to maximize the quality of metaverse content, it is essential to pull out the optimal UX through a detailed HCI (human computer interaction) design. Metaverse con-tent development methodologies have effective methods proposed by many researchers. However, they are limited to web-based metaverse content that limits the use of high-end hardware. They are ineffective for platforms such as PCs and VR devices, as most studies focus on improving the visual per-formance of PCs or high-performance VR devices. Therefore, unlike existing research, the key theme of our research is to study optimized development standards that can be applied to web-based metaverse content and find out their effects through experiments. We created a development standard to be applied to a Web-based platform based on the existing metaverse content development methodology. Then, we redeveloped the VR content into the metaverse content and named them the VR build and the metaverse build. We had 25 people play virtual reality builds and metaverse builds simulta-neously. Then, we measured the overall experience with an evaluation tool called the Game Experience Questionnaire (GEQ); the GEQ is a proven tool for evaluating content experiences by dividing them into positive/negative scales. When comparing the results measured from the two builds, the meta -verse build showed consistent results with a higher positive scale, and a lower negative scale, than the VR build. The results showed that users indeed rated metaverse content positively. The bottom line is that the web-based metaverse content development standards that we have produced are practical. However, since generalization is limited, continuous research will be needed in more experimental groups in the future.</t>
  </si>
  <si>
    <t>1540-9589</t>
  </si>
  <si>
    <t>1544-5976</t>
  </si>
  <si>
    <t>10.13052/jwe1540-9589.2181</t>
  </si>
  <si>
    <t>WOS:000959775000001</t>
  </si>
  <si>
    <t>Karunarathna, S; Wijethilaka, S; Ranaweera, P; Hemachandra, KT; Samarasinghe, T; Liyanage, M</t>
  </si>
  <si>
    <t>Karunarathna, Supun; Wijethilaka, Shalitha; Ranaweera, Pasika; Hemachandra, Kasun T.; Samarasinghe, Tharaka; Liyanage, Madhusanka</t>
  </si>
  <si>
    <t>The Role of Network Slicing and Edge Computing in the Metaverse Realization</t>
  </si>
  <si>
    <t>Metaverse is the latest technological hype in the modern world due to its potential for revolutionizing the digital visual perspective. With the COVID-19 pandemic, most industries have moved towards digitization, and the metaverse is identified as one of the most promising platforms for such a transition, as it provides a three-dimensional (3D) immersive experience for the users. Currently, most digital service providers and organizations are actively working on metaverse- based applications. In addition, there has been a rapid increase on research work involving metaverse realization. Launching a large scale metaverse in the real world is a challenging task. However, fifth-generation (5G) and beyond 5G (B5G) technologies are envisioned to improve the feasibility of pragmatic deployments. Although, there are several conceptual designs available, actual adaptations of the concepts are still limited. This survey focuses on providing a practical approach for metaverse realization using 5G and B5G technologies. Specifically, We discuss the importance of network slicing (NS) and multi-access edge computing (MEC) as emerging 5G technologies for enabling the realization of the metaverse. We first introduce the motivation behind metaverse for future envisaged technologies. Next, we present a holistic high-level framework for metaverse realization based on network slicing and edge computing. Moreover, we discuss the futuristic metaverse applications, their technical requirements, and methods to satisfy the requirements. Finally, we highlight the deployment challenges and possible approaches to overcome them for an actual metaverse realization.</t>
  </si>
  <si>
    <t>Ranaweera, Pasika/AAG-7408-2021; Liyanage, Madhusanka/N-1183-2013</t>
  </si>
  <si>
    <t>Ranaweera, Pasika/0000-0002-4484-2002; Liyanage, Madhusanka/0000-0003-4786-030X</t>
  </si>
  <si>
    <t>10.1109/ACCESS.2023.3255510</t>
  </si>
  <si>
    <t>WOS:000953831100001</t>
  </si>
  <si>
    <t>Ahuja, AS; Polascik, BW; Doddapaneni, D; Byrnes, ES; Sridhar, J</t>
  </si>
  <si>
    <t>Ahuja, Abhimanyu S.; Polascik, Bryce W.; Doddapaneni, Divyesh; Byrnes, Eamonn S.; Sridhar, Jayanth</t>
  </si>
  <si>
    <t>The Digital Metaverse: Applications in Artificial Intelligence, Medical Education, and Integrative Health</t>
  </si>
  <si>
    <t>INTEGRATIVE MEDICINE RESEARCH</t>
  </si>
  <si>
    <t>Ahuja, Abhimanyu/0000-0003-4333-9189; Polascik, Bryce/0000-0001-5114-2955</t>
  </si>
  <si>
    <t>2213-4220</t>
  </si>
  <si>
    <t>2213-4239</t>
  </si>
  <si>
    <t>10.1016/j.imr.2022.100917</t>
  </si>
  <si>
    <t>WOS:000923989300001</t>
  </si>
  <si>
    <t>Bhattacharya, P; Saraswat, D; Savaliya, D; Sanghavi, S; Verma, A; Sakariya, V; Tanwar, S; Sharma, R; Raboaca, MS; Manea, DL</t>
  </si>
  <si>
    <t>Bhattacharya, Pronaya; Saraswat, Deepti; Savaliya, Darshan; Sanghavi, Sakshi; Verma, Ashwin; Sakariya, Vatsal; Tanwar, Sudeep; Sharma, Ravi; Raboaca, Maria Simona; Manea, Daniela Lucia</t>
  </si>
  <si>
    <t>Towards Future Internet: The Metaverse Perspective for Diverse Industrial Applications</t>
  </si>
  <si>
    <t>MATHEMATICS</t>
  </si>
  <si>
    <t>The Metaverse allows the integration of physical and digital versions of users, processes, and environments where entities communicate, transact, and socialize. With the shift towards Extended Reality (XR) technologies, the Metaverse is envisioned to support a wide range of applicative verticals. It will support a seamless mix of physical and virtual worlds (realities) and, thus, will be a game changer for the Future Internet, built on the Semantic Web framework. The Metaverse will be ably assisted by the convergence of emerging wireless communication networks (such as Fifth-Generation and Beyond networks) or Sixth-Generation (6G) networks, Blockchain (BC), Web 3.0, Artificial Intelligence (AI), and Non-Fungible Tokens (NFTs). It has the potential for convergence in diverse industrial applications such as digital twins, telehealth care, connected vehicles, virtual education, social networks, and financial applications. Recent studies on the Metaverse have focused on explaining its key components, but a systematic study of the Metaverse in terms of industrial applications has not yet been performed. Owing to this gap, this survey presents the salient features and assistive Metaverse technologies. We discuss a high-level and generic Metaverse framework for modern industrial cyberspace and discuss the potential challenges and future directions of the Metaverse's realization. A case study on Metaverse-assisted Real Estate Management (REM) is presented, where the Metaverse governs a Buyer-Broker-Seller (BBS) architecture for land registrations. We discuss the performance evaluation of the current land registration ecosystem in terms of cost evaluation, trust probability, and mining cost on the BC network. The obtained results show the viability of the Metaverse in REM setups.</t>
  </si>
  <si>
    <t>Bhattacharya, Pronaya/W-5574-2019; Verma, Ashwin/HKE-8528-2023; Tanwar, Sudeep/M-8515-2018</t>
  </si>
  <si>
    <t>Bhattacharya, Pronaya/0000-0002-1206-2298; Tanwar, Sudeep/0000-0002-1776-4651; Raboaca, Maria Simona/0000-0002-7277-4377</t>
  </si>
  <si>
    <t>2227-7390</t>
  </si>
  <si>
    <t>10.3390/math11040941</t>
  </si>
  <si>
    <t>WOS:000941569100001</t>
  </si>
  <si>
    <t>Wang, MJ; Yu, HY; Bell, Z; Chu, XY</t>
  </si>
  <si>
    <t>Wang, Minjuan; Yu, Haiyang; Bell, Zerla; Chu, Xiaoyan</t>
  </si>
  <si>
    <t>Constructing an Edu-Metaverse Ecosystem: A New and Innovative Framework</t>
  </si>
  <si>
    <t>IEEE TRANSACTIONS ON LEARNING TECHNOLOGIES</t>
  </si>
  <si>
    <t>The Metaverse is a network of 3-D virtual worlds supporting social connections among its users and enabling them to participate in activities mimicking real life. It merges physical and virtual reality and provides channels for multisensory interactions and immersions in a variety of environments (Mystakidis, 2022). The Metaverse is considered the third wave of the Internet revolution, and it is built on new and emerging technologies such as extended reality and artificial intelligence. Research on the impact of the Metaverse on education exploded in 2022. Here, we explore learning across the Metaverse and propose a new and innovative theoretical framework by reviewing literature and synthesizing best practices in designing metaverse learning environments. This ecosystem consists of four major hubs: 1) instructional design and performance technology hub; 2) knowledge hub; 3) research and technology hub; and 4) talent and training hub. Common to all four hubs are the factors in the three wheels: 1) infrastructure, business industry, and communication; 2) technology access and equity; and 3) user rights, data security, and privacy policy. We believe that this framework can help guide emerging research and development on the applications of the Metaverse in education. We also hope this article can serve as a launch pad for the special issue on the Metaverse and the Future of Education supported by the IEEE Education Society.</t>
  </si>
  <si>
    <t>Chu, Xiaoyan/0000-0001-9974-4066</t>
  </si>
  <si>
    <t>1939-1382</t>
  </si>
  <si>
    <t>10.1109/TLT.2022.3210828</t>
  </si>
  <si>
    <t>WOS:000911279300004</t>
  </si>
  <si>
    <t>Kara, PA; Tamboli, RR; Adhikarla, VK; Balogh, T; Guindy, M; Simon, A</t>
  </si>
  <si>
    <t>Kara, Peter A.; Tamboli, Roopak R.; Adhikarla, Vamsi K.; Balogh, Tibor; Guindy, Mary; Simon, Aniko</t>
  </si>
  <si>
    <t>Connected without disconnection: Overview of light field metaverse applications and their quality of experience</t>
  </si>
  <si>
    <t>DISPLAYS</t>
  </si>
  <si>
    <t>With the rapid technological advances of the recent years, the practical instances of the metaverse have become more immersive and engaging than ever before. In their most frequent forms, the 3D virtual worlds of the metaverse are enabled by virtual reality headsets. This means that the user is completely disconnected from its real environment and is fully immersed in such a virtual world. The quality of experience of virtual reality and other headset-based technologies is now definitely a hot research topic, and the findings of the relevant scientific efforts are continuously emerging. However, as a headset-free immersive 3D technology, light field visualization is greatly underinvestigated with regard to the concept of the metaverse. In this paper, we address the applications of light field metaverse, compare its advantages and disadvantages to more conventional metaverse technologies, and discuss the most important issues regarding user experience. The paper highlights the user-oriented considerations for the development of general-purpose and dedicated light field displays. Additionally, our work examines state-of-the-art display systems and the current feasibility of a light field metaverse.</t>
  </si>
  <si>
    <t>0141-9382</t>
  </si>
  <si>
    <t>1872-7387</t>
  </si>
  <si>
    <t>JUL</t>
  </si>
  <si>
    <t>10.1016/j.displa.2023.102430</t>
  </si>
  <si>
    <t>WOS:000967700700001</t>
  </si>
  <si>
    <t>Lopez, GAM; Chaux, HR; Alvarez, FAC</t>
  </si>
  <si>
    <t>Moreno Lopez, Gustavo Alberto; Recaman Chaux, Hernando; Chica Alvarez, Ferney A.</t>
  </si>
  <si>
    <t>The University in the Metaverse. Proposal of application scenarios and roadmap model</t>
  </si>
  <si>
    <t>XV INTERNATIONAL CONFERENCE OF TECHNOLOGY, LEARNING AND TEACHING OF ELECTRONICS (TAEE 2022)</t>
  </si>
  <si>
    <t>15th International Conference of Technology, Learning and Teaching of Electronics (TAEE)</t>
  </si>
  <si>
    <t>JUN 29-JUL 01, 2022</t>
  </si>
  <si>
    <t>Univ Zaragoza, Escuela Univ Politecnica Teruel, SPAIN</t>
  </si>
  <si>
    <t>Univ Zaragoza, Escuela Univ Politecnica Teruel, Centro Adscrito,Asociac Tecnologia, Aprendizaje &amp; Ensenanza Electronica,EduQtech,IEEE Educ Soc,Univ Zaragoza, Inst Univ Investigac Ingn Aragon,Univ Zaragoza, Dept Ingn Electronica &amp; Comunicaciones,Univ Zaragoza, Dept Ingn Electrica,UNED, Catedra Drones &amp; Aviac Civil Teruel,Graduados Ingn Ingenieros Tecnos Industriales Aragon,Univ Zaragoza, Vicerrectorado Politica Cientifica,Enredadas,Teruel,BPW Spain, Federac Empresarias &amp; Profesionales,Teruel Ayuntamiento,IEEE Soc Educac Capitulo Espanol,Univ Zaragoza, Campus Teruel,Informat,Colegio Oficial Asociac Ingenieros Telecomunicac,CEOE CEPYME Empresas Espanolas,Camara</t>
  </si>
  <si>
    <t>Univ Zaragoza, Escuela Univ Politecnica Teruel</t>
  </si>
  <si>
    <t>The Metaverse is gaining strength as a scenario where the real and the virtual converge. The motivation with this work arises to know and project its application, from specific scenarios such as laboratories to the University in the Metaverse. Therefore, research and discussion on the subject is necessary. A model is proposed as a roadmap that allows the incursion into these immersive experiences and a proposal of characteristics towards which a Metaverse solution should aim.</t>
  </si>
  <si>
    <t>978-1-6654-2161-4</t>
  </si>
  <si>
    <t>10.1109/TAEE54169.2022.9840630</t>
  </si>
  <si>
    <t>WOS:000855992700057</t>
  </si>
  <si>
    <t>Hu, YH; Chen, H</t>
  </si>
  <si>
    <t>Duffy, VG; Rau, PP</t>
  </si>
  <si>
    <t>Hu, Yuehui; Chen, Hong</t>
  </si>
  <si>
    <t>The Trend of Industrial Design from the Perspective of Metaverse</t>
  </si>
  <si>
    <t>HCI INTERNATIONAL 2022 - LATE BREAKING PAPERS: ERGONOMICS AND PRODUCT DESIGN, HCII 2022</t>
  </si>
  <si>
    <t>24th International Conference on Human-Computer Interaction, HCI International 2022 (HCII)</t>
  </si>
  <si>
    <t>Goteborg, SWEDEN</t>
  </si>
  <si>
    <t>With the rapid development of the Internet, the concept of metaverse has been put forward, and the development of metaverse will affect all industries. At present, metaverse is still at the stage of infrastructure construction, but the development route is gradually clear. This paper summarizes the concept, formation factors and core of the metaverse, combs and analyzes the cutting-edge technologies and cases under the metaverse background, and comes to the conclusion that the core of the metaverse is the integration of virtual and reality, and experience is the core of the integration of virtual and reality. Under the metaverse background, there have been new changes in the field of industrial design, this paper analyzes the two realization paths and related technologies of metauniverse, as well as the development trend of industrial design in the direction of design tools, design performance and industrial chain. VR, AR, MR, game engine and digital Twin are important technologies affecting the field of industrial design. The value of virtual has been paid more and more attention. How to make good use of these technologies to combine virtual assets with reality is an important development trend in the field of industrial design.</t>
  </si>
  <si>
    <t>978-3-031-21703-6; 978-3-031-21704-3</t>
  </si>
  <si>
    <t>10.1007/978-3-031-21704-3_26</t>
  </si>
  <si>
    <t>WOS:000937041100026</t>
  </si>
  <si>
    <t>Zainab, HE; Bawany, NZ; Imran, J; Rehman, W</t>
  </si>
  <si>
    <t>Zainab, Hijab E.; Bawany, Narmeen Zakaria; Imran, Jaweria; Rehman, Wajiha</t>
  </si>
  <si>
    <t>Virtual Dimension-A Primer to Metaverse</t>
  </si>
  <si>
    <t>The metaverse is a concept of a persistent, online, 3-D World that combines multiple virtual spaces. With Metaverse, these independent, computer-generated environments developed by different organizations come together within a single, integrated network of 3-D worlds where users can hop from one universe to another. For achieving a near-perfect virtual world, Metaverse uses numerous advanced technologies including virtual reality, augmented reality, artificial intelligence, blockchain, etc. A novel technology like metaverse gives rise to various challenges like the standing of virtual avatars in legal systems in case of injury or harm, demand for expensive resources in its upscaling, privacy of user data, and increased risk of cybercrimes. This research presents a brief overview of technologies used in the development of metaverse, the challenges, and the potential aspects of the virtual world.</t>
  </si>
  <si>
    <t>khan, jaweria/HTR-4974-2023</t>
  </si>
  <si>
    <t>10.1109/MITP.2022.3203820</t>
  </si>
  <si>
    <t>WOS:000917257500007</t>
  </si>
  <si>
    <t>Jiang, YA; Kang, JW; Niyato, D; Ge, XH; Xiong, ZH; Miao, CY; Shen, XM</t>
  </si>
  <si>
    <t>Jiang, Yuna; Kang, Jiawen; Niyato, Dusit; Ge, Xiaohu; Xiong, Zehui; Miao, Chunyan; Shen, Xuemin</t>
  </si>
  <si>
    <t>Reliable Distributed Computing for Metaverse: A Hierarchical Game-Theoretic Approach</t>
  </si>
  <si>
    <t>IEEE TRANSACTIONS ON VEHICULAR TECHNOLOGY</t>
  </si>
  <si>
    <t>The metaverse is regarded as a new wave of technological transformation that provides a virtual space for people to interact through digital avatars. To achieve immersive user experiences in the metaverse, real-time rendering is the key technology. However, computing intensive tasks of real-time rendering from metaverse service providers cannot be processed efficiently on a single resource-limited mobile device. Alternatively, such mobile devices can offload the metaverse rendering tasks to other mobile devices by adopting the collaborative computing paradigm based on Coded Distributed Computing (CDC). Therefore, this paper introduces a hierarchical game-theoretic CDC framework for the metaverse services, especially for vehicular metaverse. In the framework, idle resources from vehicles, acting as CDC workers, are aggregated to handle intensive computation tasks in the vehicular metaverse. Specifically, in the upper layer, a miner coalition formation game is formulated based on a reputation metric to select reliable workers. To guarantee the reliable management of reputation values, the reputation values calculated based on the subjective logical model are maintained in a blockchain database. In the lower layer, a Stackelberg game based incentive mechanism is considered to attract reliable workers selected in the upper layer to participate in rendering tasks. The simulation results illustrate that the proposed framework is resistant to malicious workers. Compared with the baseline schemes, the proposed scheme can improve the utility of metaverse service provider and average profit of CDC workers.</t>
  </si>
  <si>
    <t>Xiong, Zehui/B-9792-2019; Ge, Xiaohu/N-8504-2015</t>
  </si>
  <si>
    <t>Xiong, Zehui/0000-0002-4440-941X; Ge, Xiaohu/0000-0002-3204-5241; Shen, Xuemin (Sherman)/0000-0002-4140-287X</t>
  </si>
  <si>
    <t>0018-9545</t>
  </si>
  <si>
    <t>1939-9359</t>
  </si>
  <si>
    <t>10.1109/TVT.2022.3204839</t>
  </si>
  <si>
    <t>WOS:000967074200001</t>
  </si>
  <si>
    <t>Xu, MR; Ng, WC; Lim, WYB; Kang, JW; Xiong, ZH; Niyato, D; Yang, Q; Shen, XM; Miao, CY</t>
  </si>
  <si>
    <t>Xu, Minrui; Ng, Wei Chong; Lim, Wei Yang Bryan; Kang, Jiawen; Xiong, Zehui; Niyato, Dusit; Yang, Qiang; Shen, Xuemin; Miao, Chunyan</t>
  </si>
  <si>
    <t>A Full Dive Into Realizing the Edge-Enabled Metaverse: Visions, Enabling Technologies, and Challenges</t>
  </si>
  <si>
    <t>Dubbed the successor to the mobile Internet,  the concept of the Metaverse has grown in popularity. While there exist lite versions of the Metaverse today, they are still far from realizing the full vision of an immersive, embodied, and interoperable Metaverse. Without addressing the issues of implementation from the communication and networking, as well as computation perspectives, the Metaverse is difficult to succeed the Internet, especially in terms of its accessibility to billions of users today. In this survey, we focus on the edge-enabled Metaverse to realize its ultimate vision. We first provide readers with a succinct tutorial of the Metaverse, an introduction to the architecture, as well as current developments. To enable ubiquitous, seamless, and embodied access to the Metaverse, we discuss the communication and networking challenges and survey cutting-edge solutions and concepts that leverage next-generation communication systems for users to immerse as and interact with embodied avatars in the Metaverse. Moreover, given the high computation costs required, e.g., to render 3D virtual worlds and run data-hungry artificial intelligence-driven avatars, we discuss the computation challenges and cloud-edge-end computation framework-driven solutions to realize the Metaverse on resource-constrained edge devices. Next, we explore how blockchain technologies can aid in the interoperable development of the Metaverse, not just in terms of empowering the economic circulation of virtual user-generated content but also to manage physical edge resources in a decentralized, transparent, and immutable manner. Finally, we discuss the future research directions towards realizing the true vision of the edge-enabled Metaverse.</t>
  </si>
  <si>
    <t>Xiong, Zehui/B-9792-2019; Kang, Jiawen/I-9044-2019</t>
  </si>
  <si>
    <t>Xiong, Zehui/0000-0002-4440-941X; Kang, Jiawen/0000-0002-8218-3490; Ng, Wei Chong/0000-0002-8906-5825; Shen, Xuemin (Sherman)/0000-0002-4140-287X; Lim, Bryan Wei Yang/0000-0003-2150-5561</t>
  </si>
  <si>
    <t>10.1109/COMST.2022.3221119</t>
  </si>
  <si>
    <t>WOS:000942531300022</t>
  </si>
  <si>
    <t>Kwon, HJ; El Azzaoui, A; Park, JH</t>
  </si>
  <si>
    <t>Kwon, Hyuk-Jun; El Azzaoui, Abir; Park, Jong Hyuk</t>
  </si>
  <si>
    <t>MetaQ: A Quantum Approach for Secure and Optimized Metaverse Environment</t>
  </si>
  <si>
    <t>Recently, Metaverse technology became the topic of today's following the news of major companies intending to create their Metaverse environment for various application such as gaming, assets, virtual meetings, and so on. The success of Metaverse-based application is highly depending on fast and secure connectivity, integrated high-end technologies such as virtual reality (VR), augmented reality (AR), and mixed reality (MR). The current Metaverse applications has critical challenges in both hardware and software that urge immediate mitigation. Issues such as security, privacy, connectivity, and computation complexity are the main reasons behind the slow integration of Metaverse. On the other hand, Quantum technology promises fast, optimized, and scalable computation results due to its exponentially fast processing power. To this end, in this paper we propose a comprehensive and detailed review of all the possible cases of Quantum implementation into Metaverse environment. Moreover, we propose as a case scenario the deployment of a hybrid Quantum kernels approach to apply an optimized linear statistical method and fed the results to a classical supervised vector machine model to improve the scalability and performance of Metaverse applications. We believe this work would be a steppingstone for future research direction in order to develop Quantum-based Metaverse applications.</t>
  </si>
  <si>
    <t>SEP 15</t>
  </si>
  <si>
    <t>10.22967/HCIS.2022.12.042</t>
  </si>
  <si>
    <t>WOS:000854915200001</t>
  </si>
  <si>
    <t>Metaverse and Developing Economies</t>
  </si>
  <si>
    <t>Individuals and organizations from developing economies are participating at an increasing rate in the metaverse economy. This article gives an overview of the key benefits to these economies that stem from the metaverse and highlights some challenges that need to be overcome.</t>
  </si>
  <si>
    <t>JUL-AUG</t>
  </si>
  <si>
    <t>10.1109/MITP.2022.3174744</t>
  </si>
  <si>
    <t>WOS:000856113700010</t>
  </si>
  <si>
    <t>Zhao, N; You, FQ</t>
  </si>
  <si>
    <t>Zhao, Ning; You, Fengqi</t>
  </si>
  <si>
    <t>The growing metaverse sector can reduce greenhouse gas emissions by 10 Gt CO(2)e in the united states by 2050</t>
  </si>
  <si>
    <t>ENERGY &amp; ENVIRONMENTAL SCIENCE</t>
  </si>
  <si>
    <t>The metaverse, an immersive combination of the physical and digital world, is becoming a booming industry with the potential to reach billions of users before 2030, but the climate impacts due to its rapid expansion have not been quantitatively understood. Here we show that the growing metaverse sector will facilitate climate change mitigation, through prospective analyses that systematically investigate five prominent metaverse-based applications for working, traveling, education, non-fungible token, and gaming. We find that the increasing metaverse adoption can reduce the global surface temperature by up to 0.02 degrees C before the end of this century and lower the greenhouse gas emissions by 10 Gt CO(2)e throughout the expansion period, based on different metaverse growth projections in the United States. The metaverse growth accelerates decarbonization and improves air quality, through alleviating air pollutant emissions by 10-23% and saving 10% of nationwide energy use by 2050 compared to the projections without further metaverse sector expansion. Therefore, it is suggested that the environmentally responsible adaptation of the metaverse growth requires transformations of domestic energy supply and benefits implementation of less aggressive climate policies.</t>
  </si>
  <si>
    <t>You, Fengqi/B-5040-2011</t>
  </si>
  <si>
    <t>You, Fengqi/0000-0001-9609-4299</t>
  </si>
  <si>
    <t>1754-5692</t>
  </si>
  <si>
    <t>1754-5706</t>
  </si>
  <si>
    <t>10.1039/d3ee00081h</t>
  </si>
  <si>
    <t>APR 2023</t>
  </si>
  <si>
    <t>WOS:000980176300001</t>
  </si>
  <si>
    <t>Zhang, T; Shen, J; Lai, CF; Ji, S; Ren, YJ</t>
  </si>
  <si>
    <t>Zhang, Tao; Shen, Jian; Lai, Chin-Feng; Ji, Sai; Ren, Yongjun</t>
  </si>
  <si>
    <t>Multi-server assisted data sharing supporting secure deduplication for metaverse healthcare systems</t>
  </si>
  <si>
    <t>FUTURE GENERATION COMPUTER SYSTEMS-THE INTERNATIONAL JOURNAL OF ESCIENCE</t>
  </si>
  <si>
    <t>The integration of Metaverse and healthcare will improve the allocation and utilization of healthcare resources. Metaverse healthcare data is stored on a public server and downloaded using Artificial Intelligence devices. Patients are given a diagnosis promptly through Metaverse healthcare systems. However, storing Metaverse healthcare data on public servers leads to a variety of problems, such as leakage of patient health information and loss of vital medical record data. Attribute-based encryption (ABE) has played an important role in securely and efficiently Metaverse healthcare data sharing. In this paper, a feature-rich and efficient ABE-based Metaverse healthcare data sharing scheme is presented, which realizes constant encryption computation overhead according to a multi-server structure. To reduce the number of invalid ciphertexts and achieve secure deduplication, Metaverse healthcare ciphertext validity and equivalence detection are also provided in this scheme. Furthermore, a novel attribute-based re-encryption is proposed for authority delegation after deduplication. Finally, the experiment simulated on the PBC library shows that the proposed scheme possesses good performance. The freshness of Metaverse healthcare data and the utilization of the medical center's private server are ensured in this paper.(c) 2022 Elsevier B.V. All rights reserved.</t>
  </si>
  <si>
    <t>Lai, Chin-Feng/IAP-5353-2023</t>
  </si>
  <si>
    <t>0167-739X</t>
  </si>
  <si>
    <t>1872-7115</t>
  </si>
  <si>
    <t>10.1016/j.future.2022.10.031</t>
  </si>
  <si>
    <t>WOS:000935574100014</t>
  </si>
  <si>
    <t>Shen, JL; Zhou, XY; Wu, W; Wang, L; Chen, ZY</t>
  </si>
  <si>
    <t>Shen, Jinlu; Zhou, Xiangyu; Wu, Wei; Wang, Liang; Chen, Zhenying</t>
  </si>
  <si>
    <t>Worldwide Overview and Country Differences in Metaverse Research: A Bibliometric Analysis</t>
  </si>
  <si>
    <t>As a research topic integrating various subjects and technologies, Metaverse research has been a global concern in recent years. This study explores the hotspots and frontiers of academic research on the Metaverse based on a bibliometric analysis from 2012 to 2021. A keyword retrieval dataset related to Metaverse research was constructed based on expert consultation and manual reading of the literature, retrieving articles and conference papers from the Scopus database. Critical points in Metaverse research are represented in terms of research scale, keyword co-occurrence networks, keyword citation bursts, and international collaborative networks with the application of VOSviewer and CiteSpace's bibliometric visualization software. The results indicate that Metaverse research is experiencing rapid growth, with countries/regions increasing their production at varying speeds. The results also indicate the three most prolific countries, the United States, China and Germany, for comparison, showing the leading topic as virtual reality in Metaverse research, and we find that there are differences in topic clustering and hotspot evolution among the three countries over the past decade. By determining the current research status and the overall development path of the Metaverse field, the paper intends to provide a reference for the future research development and technical application of the Metaverse.</t>
  </si>
  <si>
    <t>10.3390/su15043541</t>
  </si>
  <si>
    <t>WOS:000942105800001</t>
  </si>
  <si>
    <t>Venugopal, JP; Subramanian, AAV; Peatchimuthu, J</t>
  </si>
  <si>
    <t>Venugopal, Jothi Prakash; Subramanian, Arul Antran Vijay; Peatchimuthu, Jegathesh</t>
  </si>
  <si>
    <t>The realm of metaverse: A survey</t>
  </si>
  <si>
    <t>COMPUTER ANIMATION AND VIRTUAL WORLDS</t>
  </si>
  <si>
    <t>The next step of digital development is the metaverse, which has the potential to drastically alter how people use technology and expand the range of services available beyond conventional systems that can be accessed online. As the efficiency, performance, and quality of service access reach their peak levels, the focus has shifted to the user experience. Due to this, there is an increasing demand for more involved and thorough customer service, and service providers are willing to increase their present standards. Consumers are genuinely asking for tactile and immersive elements in their digital interfaces, but these features can only be made possible by the metaverse's potentially futuristic subfields of virtual reality (VR), augmented reality (AR), mixed reality (MR), and extended reality (XR). However, the metaverse may not be widely used due to significant security and privacy issues either from underlying technology or produced by the new digital environment. A variety of fundamental problems, such as scalability and interoperability, can arise in terms of ensuring security for the metaverse because of the metaverse's inherent properties, such as immersive realism, sustainability, and heterogeneity. In this survey, we propose a hypothetical meta-stack framework to understand the various components in the realm of metaverse and then provide wide-ranging insights on the most recent development in metaverse realm in the context of cutting-edge technologies, security vulnerabilities and preventive measures specific to the metaverse and the research challenges pertaining to metaverse.</t>
  </si>
  <si>
    <t>S, Arul Antran Vijay/0000-0002-5543-7547</t>
  </si>
  <si>
    <t>1546-4261</t>
  </si>
  <si>
    <t>1546-427X</t>
  </si>
  <si>
    <t>10.1002/cav.2150</t>
  </si>
  <si>
    <t>WOS:000941930600001</t>
  </si>
  <si>
    <t>Jaimini, U; Zhang, TT; Brikis, GO; Sheth, A</t>
  </si>
  <si>
    <t>Jaimini, Utkarshani; Zhang, Tongtao; Brikis, Georgia Olympia; Sheth, Amit</t>
  </si>
  <si>
    <t>iMetaverseKG: Industrial Metaverse Knowledge Graph to Promote Interoperability in Design and Engineering Applications</t>
  </si>
  <si>
    <t>IEEE INTERNET COMPUTING</t>
  </si>
  <si>
    <t>The term metaverse was coined by author Neal Stephenson in 1992 in his science fiction novel Snow Crash. 1 Metaverse is a conjunction of the Greek prefix meta,  which means beyond, and the stem verse,  which implies universe, hence the meaning beyond the universe.  It is a futuristic, hyperrealistic virtual world where humans will spend time performing their day-to-day activities, such as entertaining, socializing, playing, working, and shopping. This requires that a metaverse offers a real-time virtual representation of the physical world with its entities, relationships, events, states, processes, and activities. According to the Gartner forecast report, the metaverse is among the top five emerging trends and technologies. Gartner predicts that by 2026 25% of people will spend at least one hour every day in the metaverse and 30% of organizations will have products and services developed for metaverse platforms.2 The metaverse is in an early developmental stage but has a considerable promise of occupying prominent space in the next phase of the Internet.</t>
  </si>
  <si>
    <t>Sheth, Amit/ABC-4600-2020</t>
  </si>
  <si>
    <t>Sheth, Amit/0000-0002-0021-5293</t>
  </si>
  <si>
    <t>1089-7801</t>
  </si>
  <si>
    <t>1941-0131</t>
  </si>
  <si>
    <t>10.1109/MIC.2022.3212085</t>
  </si>
  <si>
    <t>WOS:000917730600008</t>
  </si>
  <si>
    <t>Zhang, L; Anjum, MA; Wang, YQ</t>
  </si>
  <si>
    <t>Zhang, Lin; Anjum, Muhammad Adeel; Wang, Yanqing</t>
  </si>
  <si>
    <t>The Impact of Trust-Building Mechanisms on Purchase Intention towards Metaverse Shopping: The Moderating Role of Age</t>
  </si>
  <si>
    <t>INTERNATIONAL JOURNAL OF HUMAN-COMPUTER INTERACTION</t>
  </si>
  <si>
    <t>Given the uncertainty of online transactions in metaverse shopping, the digital economy encourages building a trustworthy virtual environment. Based on media richness theory, this article examines how the perceived media richness of the metaverse helps engender multidimensional trust (i.e., cognitive trust and affective trust) and leads to purchase intention in the context of metaverse shopping. The proposed model is tested based on survey data from 332 consumers on an online scenario-based platform pertaining to metaverse initiatives. Structural equation modeling is used to examine the proposed research model. The empirical research findings show that the perceived media richness of the metaverse builds cognitive trust and affective trust, which in turn affects purchase intention towards metaverse shopping. Furthermore, we classify consumers into digital natives (DNs) and digital immigrants (DIs) based on chronological age and examine the different influences of the two dimensions of trust on purchase intention towards metaverse shopping between the two groups. We identify and address several knowledge gaps in the extant trust literature. We also discuss the theoretical and managerial implications and propose several suggestions for future research.</t>
  </si>
  <si>
    <t>Anjum, Muhammad Adeel/AAC-4137-2021</t>
  </si>
  <si>
    <t>Anjum, Muhammad Adeel/0000-0003-4668-5116</t>
  </si>
  <si>
    <t>1044-7318</t>
  </si>
  <si>
    <t>1532-7590</t>
  </si>
  <si>
    <t>10.1080/10447318.2023.2184594</t>
  </si>
  <si>
    <t>WOS:000946611500001</t>
  </si>
  <si>
    <t>Park, S; Kim, S</t>
  </si>
  <si>
    <t>Park, Sungjin; Kim, Sangkyun</t>
  </si>
  <si>
    <t>Identifying World Types to Deliver Gameful Experiences for Sustainable Learning in the Metaverse</t>
  </si>
  <si>
    <t>The metaverse is expected to turn imagination into reality through the convergence of various technologies and should be considered as a medium for sustainable education, free from the constraints of time and space. The purpose of this study was to identify world types in the metaverse to deliver a gameful experience to users. The relationship between gameful experience and learning motivation was examined by analyzing previous studies. Furthermore, the metaverse platforms were confirmed as virtual worlds using the metaverse classification. This study employed a bottom-up approach based on real cases to identify world types that can be used for metaverse-based education. Survival, maze, multi-choice, racing/jump, and escape room world types were identified. The results of this study can be used to provide equal educational opportunities to learners by creating innovative educational environments. This is expected to enable the achievement of the fourth sustainable development goal.</t>
  </si>
  <si>
    <t>10.3390/su14031361</t>
  </si>
  <si>
    <t>WOS:000756554400001</t>
  </si>
  <si>
    <t>Bansal, G; Rajgopal, K; Chamola, V; Xiong, ZH; Niyato, D</t>
  </si>
  <si>
    <t>Bansal, Gaurang; Rajgopal, Karthik; Chamola, Vinay; Xiong, Zehui; Niyato, Dusit</t>
  </si>
  <si>
    <t>Healthcare in Metaverse: A Survey on Current Metaverse Applications in Healthcare</t>
  </si>
  <si>
    <t>The COVID-19 pandemic has revealed several limitations of existing healthcare systems. Thus, there is a surge in healthcare innovation and new business models using computer-mediated virtual environments to provide an alternative healthcare system. Today, digital transformation is not limited to virtual communication alone but encompasses digitalizing the network of social connections in the healthcare industry using metaverse technology. The metaverse is a universal and immersive virtual world facilitated by virtual reality (VR) and augmented reality (AR). This paper presents the first effort to offer a comprehensive survey that examines the latest metaverse developments in the healthcare industry, which covers seven domains: telemedicine, clinical care, education, mental health, physical fitness, veterinary, and pharmaceuticals. We review metaverse applications and deeply discuss technical issues and available solutions in each domain that can help develop a self-sustaining, persistent, and future-proof solution for medical healthcare systems. Finally, we highlight the challenges that must be tackled before fully embracing the metaverse for the healthcare industry.</t>
  </si>
  <si>
    <t>Xiong, Zehui/B-9792-2019</t>
  </si>
  <si>
    <t>Xiong, Zehui/0000-0002-4440-941X; Chamola, Vinay/0000-0002-6730-3060; Rajgopal, Karthik/0000-0001-7250-5743</t>
  </si>
  <si>
    <t>10.1109/ACCESS.2022.3219845</t>
  </si>
  <si>
    <t>WOS:000886923800001</t>
  </si>
  <si>
    <t>Wang, G; Badal, A; Jia, X; Maltz, JS; Mueller, K; Myers, KJ; Niu, C; Vannier, M; Yan, PK; Yu, Z; Zeng, RP</t>
  </si>
  <si>
    <t>Wang, Ge; Badal, Andreu; Jia, Xun; Maltz, Jonathan S.; Mueller, Klaus; Myers, Kyle J.; Niu, Chuang; Vannier, Michael; Yan, Pingkun; Yu, Zhou; Zeng, Rongping</t>
  </si>
  <si>
    <t>Development of metaverse for intelligent healthcare</t>
  </si>
  <si>
    <t>NATURE MACHINE INTELLIGENCE</t>
  </si>
  <si>
    <t>The metaverse integrates physical and virtual realities, enabling humans and their avatars to interact in an environment supported by technologies such as high-speed internet, virtual reality, augmented reality, mixed and extended reality, blockchain, digital twins and artificial intelligence (AI), all enriched by effectively unlimited data. The metaverse recently emerged as social media and entertainment platforms, but extension to healthcare could have a profound impact on clinical practice and human health. As a group of academic, industrial, clinical and regulatory researchers, we identify unique opportunities for metaverse approaches in the healthcare domain. A metaverse of 'medical technology and AI' (MeTAI) can facilitate the development, prototyping, evaluation, regulation, translation and refinement of AI-based medical practice, especially medical imaging-guided diagnosis and therapy. Here, we present metaverse use cases, including virtual comparative scanning, raw data sharing, augmented regulatory science and metaversed medical intervention. We discuss relevant issues on the ecosystem of the MeTAI metaverse including privacy, security and disparity. We also identify specific action items for coordinated efforts to build the MeTAI metaverse for improved healthcare quality, accessibility, cost-effectiveness and patient satisfaction. The metaverse is gaining prominence in industry, academia and social media. Wang and colleagues envision a medical technology and AI ecosystem, and present this perspective on the future of healthcare in the metaverse.</t>
  </si>
  <si>
    <t>Maltz, Jonathan/0000-0002-8281-255X; Mueller, Klaus/0000-0002-0996-8590; MYERS, KYLE/0000-0001-7394-4932; Yan, Pingkun/0000-0002-9779-2141; Niu, Chuang/0000-0002-3310-7803; Wang, Ge/0000-0002-2656-7705</t>
  </si>
  <si>
    <t>2522-5839</t>
  </si>
  <si>
    <t>10.1038/s42256-022-00549-6</t>
  </si>
  <si>
    <t>NOV 2022</t>
  </si>
  <si>
    <t>WOS:000884215600008</t>
  </si>
  <si>
    <t>Reisman, S; Bojanova, I</t>
  </si>
  <si>
    <t>Reisman, Sorel; Bojanova, Irena</t>
  </si>
  <si>
    <t>Metaverse-Based Instructional Settings: Matters That Matter</t>
  </si>
  <si>
    <t>Teaching in the metaverse can present challenges. Most are unrelated to technology.</t>
  </si>
  <si>
    <t>10.1109/MC.2022.3219635</t>
  </si>
  <si>
    <t>WOS:000966319400001</t>
  </si>
  <si>
    <t>Monaco, S; Sacchi, G</t>
  </si>
  <si>
    <t>Monaco, Salvatore; Sacchi, Giovanna</t>
  </si>
  <si>
    <t>Travelling the Metaverse: Potential Benefits and Main Challenges for Tourism Sectors and Research Applications</t>
  </si>
  <si>
    <t>The paper focuses on analysing the potential benefits and challenges of the Metaverse, particularly in the field of research in the tourism and food and wine sectors. The Metaverse is part of the new generation of the internet known as web 3.0, which also includes AI, blockchain and other digital innovations. The food marketing and tourism sectors are the main fields where companies are experimenting with solutions to offer people a fully functioning immersive Metaverse experience. This paper aims to highlight the potential impact of the Metaverse on tourism sectors as well as on research activities. Open challenges concern the social acceptance, affordability, and environmental sustainability of these technologies. Research is needed on the Metaverse's ability to reduce bias and accurately simulate real experiences, as well as on tourists' perceptions, attitudes, and willingness to pay for mediated experiences. Another important issue is the management of sensitive data that will travel through the Metaverse. Looking forward, the Metaverse has the potential to become a valuable tool for advancing tourism research through virtual collaboration and interdisciplinary research projects.</t>
  </si>
  <si>
    <t>Zhou, Yu/HTN-8810-2023; Sacchi, Giovanna/I-2242-2019</t>
  </si>
  <si>
    <t>Sacchi, Giovanna/0000-0002-9286-7810; Monaco, Salvatore/0000-0002-4218-6267</t>
  </si>
  <si>
    <t>10.3390/su15043348</t>
  </si>
  <si>
    <t>WOS:000939982800001</t>
  </si>
  <si>
    <t>Zyda, M</t>
  </si>
  <si>
    <t>Zyda, Michael</t>
  </si>
  <si>
    <t>The Metaverse University</t>
  </si>
  <si>
    <t>The metaverse that is being created is starting from games but is not limited to games. There are scant educational programs to support this growing field. In this article, we propose the founding of The Metaverse University.</t>
  </si>
  <si>
    <t>Zyda, Mike/0000-0002-7154-9231</t>
  </si>
  <si>
    <t>10.1109/MC.2022.3218389</t>
  </si>
  <si>
    <t>WOS:000966085600001</t>
  </si>
  <si>
    <t>Choi, S; Yoon, K; Kim, M; Yoo, J; Lee, B; Song, I; Woo, J</t>
  </si>
  <si>
    <t>Choi, Sangsu; Yoon, Kajoong; Kim, Miae; Yoo, Jintak; Lee, Bonghyeon; Song, Inho; Woo, Jungyub</t>
  </si>
  <si>
    <t>Building Korean DMZ Metaverse Using a Web-Based Metaverse Platform</t>
  </si>
  <si>
    <t>APPLIED SCIENCES-BASEL</t>
  </si>
  <si>
    <t>Metaverse is a compound word of Meta and Universe, meaning a world that transcends reality, a new virtual world. Due to the COVID-19 pandemic, non-face-to-face further accelerated the activation of the Metaverse. The Metaverse has the attractiveness of arousing user interest, high service scalability, and the potential to combine multiple revenue models. Therefore, many industries are adopting the Metaverse. The Republic of Korea has been on a ceasefire, since 1953, after the Korean War. After the war, the DMZ was decided in an area of 2 km from north to south (total of 4 km), centered on the Military Demarcation Line (MDL). The DMZ area is the largest nature conservation area in Asia and a military area where public access is strictly restricted. The Ministry of Unification is trying to reduce tensions and establish peace in the DMZ area by raising the interest of Korean people, as well as people around the world, through the DMZ Metaverse application. The Korean government has its own e-Government framework and cloud operating environments. In order to adopt the Metaverse to Korean government agencies and operate them sustainably, it is essential to support the e-Government framework and the cloud environments. In this paper, the design features, architecture, models, and functions of OnTwins, a Metaverse platform serviceable in the Korean government IT operating environment, are elaborated in detail. The DMZ Metaverse public service built on the platform will also be introduced. Finally, after comparing it with other Metaverse platforms, future research directions are discussed.</t>
  </si>
  <si>
    <t>2076-3417</t>
  </si>
  <si>
    <t>AUG</t>
  </si>
  <si>
    <t>10.3390/app12157908</t>
  </si>
  <si>
    <t>WOS:000838855100001</t>
  </si>
  <si>
    <t>Suanpang, P; Niamsorn, C; Pothipassa, P; Chunhapataragul, T; Netwong, T; Jermsittiparsert, K</t>
  </si>
  <si>
    <t>Suanpang, Pannee; Niamsorn, Chawalin; Pothipassa, Pattanaphong; Chunhapataragul, Thinnagorn; Netwong, Titiya; Jermsittiparsert, Kittisak</t>
  </si>
  <si>
    <t>Extensible Metaverse Implication for a Smart Tourism City</t>
  </si>
  <si>
    <t>The metaverse is an innovation that has created the recent phenomenon of new tourism experiences from a virtual reality of a smart tourism destination. However, the existing metaverse platform demonstrated that the technology is still difficult to develop, as the service provider did not disclose the internal mechanisms to developers, and it was a closed system, which could not use or share the user's data across platforms. The aim of this paper was to design and develop an open metaverse platform called the extensible metaverse, which would allow new developers to independently develop the capabilities of the metaverse system. The acquisition of this new technology was conducted through requirements analysis, then the analysis and design of the new system architecture, followed by the implementation, and the evaluation of the system by the users. The results found that the extended metaverse was divided into three tiers that created labels, characters, and virtual objects. Furthermore, the linking tier combined the 3D elements, and the deployment tier compiled the results of the link to use all three parts by using the Blender program, Godot Engine, and PHP + WebGL as their respective key mechanisms. This system was tested in Suphan Buri province, Thailand, which was evaluated by 428 users. The results of the metaverse satisfaction, created tourism experience, and overall satisfaction of the variation of the satisfaction of using the metaverse were 86.0%, 79.7%, and 92.9%, respectively. The relative Chi-square (chi(2)/df) of 1.253 indicated that the model was suitable. The comparative fit index (CFI) was 0.984, the goodness-of-fit index (GFI) was 0.998, and the model based on the research hypothesis was consistent with the empirical data. The root mean square error of approximation (RMSEA) was 0.024. In conclusion, the extended metaverse is more flexible than other platforms and also creates the user's satisfaction and tourism experience in the smart destination to support sustainable tourism.</t>
  </si>
  <si>
    <t>Jermsittiparsert, Kittisak/O-5786-2019</t>
  </si>
  <si>
    <t>Jermsittiparsert, Kittisak/0000-0003-3245-8705; Netwong, Titiya/0000-0001-8276-428X</t>
  </si>
  <si>
    <t>10.3390/su142114027</t>
  </si>
  <si>
    <t>WOS:000882211200001</t>
  </si>
  <si>
    <t>Lee, CT; Ho, TY; Xie, HH</t>
  </si>
  <si>
    <t>Lee, Crystal T.; Ho, Tzu-Ya; Xie, Hong-Hao</t>
  </si>
  <si>
    <t>Building brand engagement in metaverse commerce: The role of branded non-fungible toekns (BNFTs)</t>
  </si>
  <si>
    <t>ELECTRONIC COMMERCE RESEARCH AND APPLICATIONS</t>
  </si>
  <si>
    <t>The development of the metaverse has created new opportunities for brands' crypto marketing and metaverse commerce. Non-fungible tokens (NFTs) are blockchain-based digital assets that behave similarly to cryptocurrencies, and many brands participate in the metaverse by developing branded NFTs (BNFTs). Given the potential of this new market, practical issues associated with it, and lack of related research, this study analyzed the attributes associated with metaverse commerce using BNFTs. We used a stimulus-organism-response (SOR) model to examine how BNFT attributes can generate positive brand outcomes using text mining and structural equation modeling. We found that BNFT attributes (i.e., scarcity, financial value, prestige, uniqueness, originality, and communication consistency) promote a favorable brand attitude, which enhances brand commitment, BNFT purchase intention, and active engagement with BNFTs. Our findings indicate that brands can engage the rapidly expanding metaverse economy and use BNFTs to build long-term customer relationships.</t>
  </si>
  <si>
    <t>1567-4223</t>
  </si>
  <si>
    <t>1873-7846</t>
  </si>
  <si>
    <t>MAR-APR</t>
  </si>
  <si>
    <t>10.1016/j.elerap.2023.101248</t>
  </si>
  <si>
    <t>WOS:000958354700001</t>
  </si>
  <si>
    <t>Gruson, D; Greaves, R; Dabla, P; Bernardini, S; Gouget, B; Oz, TK</t>
  </si>
  <si>
    <t>Gruson, Damien; Greaves, Ronda; Dabla, Pradeep; Bernardini, Sergio; Gouget, Bernard; Oz, Tugba Kemaloglu</t>
  </si>
  <si>
    <t>A new door to a different world: opportunities from the metaverse and the raise of meta-medical laboratories</t>
  </si>
  <si>
    <t>CLINICAL CHEMISTRY AND LABORATORY MEDICINE</t>
  </si>
  <si>
    <t>Objectives: In the digital age, the metaverse has emerged with impressive potential for many segments of society. The metaverse could be presented as a parallel dimension able to enhance the physical world as well as our actions and decisions in it with the objective to use a coalition between the natural and virtual worlds for value creation. Our aim was to elaborate on the impact of the metaverse on laboratory medicine.Methods: Based on the available evidence, literature and reports, we analyzed the different perspectives of the metaverse on laboratory medicine and the needs for an efficient transition.Results: The convergence and integration of technologies in the metaverse will participate to the reimagination of laboratory medicine services with augmented services, users' experiences, efficiency, and personalized care. The revolution around the metaverse offers different opportunities for laboratory medicine but also open multiple related challenges that are presented in this article.Conclusions: Scientific societies, multidisciplinary teams and specialists in laboratory medicine must prepare the integration metaverse and meta-medical laboratories, raise the awareness, educate, set guidance to obtain a maximum of value and mitigate potential adverse consequences.</t>
  </si>
  <si>
    <t>Greaves, Ronda F/J-7121-2014</t>
  </si>
  <si>
    <t>Greaves, Ronda F/0000-0001-7823-8797; GOUGET, Bernard/0000-0002-8010-1404</t>
  </si>
  <si>
    <t>1434-6621</t>
  </si>
  <si>
    <t>1437-4331</t>
  </si>
  <si>
    <t>10.1515/cclm-2023-0108</t>
  </si>
  <si>
    <t>WOS:000942070800001</t>
  </si>
  <si>
    <t>Badruddoja, S; Dantu, R; He, Y; Thompson, M; Salau, A; Upadhyay, K</t>
  </si>
  <si>
    <t>Alsmirat, M; Aloqaily, M; Jararweh, Y; Alsmadi, I</t>
  </si>
  <si>
    <t>Badruddoja, Syed; Dantu, Ram; He, Yanyan; Thompson, Mark; Salau, Abiola; Upadhyay, Kritagya</t>
  </si>
  <si>
    <t>Trusted AI with Blockchain to Empower Metaverse</t>
  </si>
  <si>
    <t>2022 FOURTH INTERNATIONAL CONFERENCE ON BLOCKCHAIN COMPUTING AND APPLICATIONS (BCCA)</t>
  </si>
  <si>
    <t>4th International Conference on Blockchain Computing and Applications (BCCA)</t>
  </si>
  <si>
    <t>SEP 05-07, 2022</t>
  </si>
  <si>
    <t>San Antonio, TX</t>
  </si>
  <si>
    <t>IEEE,Texas A &amp; M Univ,Kuwait Coll Sci &amp; Technol,Technol Innovat Inst,XAnalytics</t>
  </si>
  <si>
    <t>The digital experience emerging in the virtual world is a reality with the advent of the metaverse. Augmented reality(AR), virtual reality(VR), extended reality(XR), and artificial intelligence(AI) algorithms would pave the way for an immersive experience for the users in the virtual space. However, the explosion of these technologies broaches new challenges to threaten the success of metaverse due to security risks. The blockchain technology augmented with AI promises to deliver a trusted metaverse for everyone. Nevertheless, smart contracts fail to produce a cognitive prediction, dissuading users from confiding in the metaverse. We arm smart contracts with intelligence to predict using AI algorithms. Moreover, we deploy the smart contracts on the Ethereum blockchain platform and produce a prediction accuracy of 95% compared to Python scikit-learn-based predictions. Our results show that the prediction delay can obstruct the growth of metaverse applications to accept blockchain technologies. Furthermore, the limitation of blockchain technology can make integration unreasonable. Therefore, we discuss possible scalability solutions that can be part of our future work to help more metaverse applications adopt blockchain solutions.</t>
  </si>
  <si>
    <t>Salau, Abiola/0000-0002-2377-4987; Upadhyay, Kritagya/0000-0002-3969-4201</t>
  </si>
  <si>
    <t>978-1-6654-9958-3</t>
  </si>
  <si>
    <t>10.1109/BCCA55292.2022.9922027</t>
  </si>
  <si>
    <t>WOS:000884604500033</t>
  </si>
  <si>
    <t>Hines, P; Netland, TH</t>
  </si>
  <si>
    <t>Hines, Peter; Netland, Torbjorn H.</t>
  </si>
  <si>
    <t>Teaching a Lean masterclass in the metaverse</t>
  </si>
  <si>
    <t>INTERNATIONAL JOURNAL OF LEAN SIX SIGMA</t>
  </si>
  <si>
    <t>Purpose This paper reports exploratory findings about teaching in the metaverse using a virtual reality (VR) platform and head-mounted displays. This paper addresses three research questions: Is the metaverse an appropriate platform for teaching Lean? What are the benefits and problems of this approach over traditional classroom methods? What are the future implications for teaching Lean in the VR-enabled metaverse? Design/methodology/approach The research presented in this paper is exploratory. A critical realism approach is adopted using action research through the preparation, delivery and review of the first four masterclasses entitled Leading Intelligent Lean offered by Gemba (formerly The Leadership Network). The data collection methods included a pre-workshop questionnaire, participant observation, focus groups and end-of-course surveys. Findings It was found that Lean can be taught successfully in the metaverse. There are many related benefits, particularly in terms of the high levels of immersion and the wow factor. Remaining technological limitations are reduced by continually improving the metaverse platform and the course content and delivery. The authors conclude that the metaverse is a useful addition to teaching Lean - and is especially promising when used in a blended teaching approach. Originality/value To the best of the authors' knowledge, this is the first report of teaching Lean in a VR-enabled metaverse and one of the first of teaching and learning in the metaverse regardless of topic. The respective problems and benefits of this approach versus teaching in a traditional classroom setting are discussed.</t>
  </si>
  <si>
    <t>Netland, Torbjørn/C-4944-2013</t>
  </si>
  <si>
    <t>Netland, Torbjørn/0000-0001-7382-1051</t>
  </si>
  <si>
    <t>2040-4166</t>
  </si>
  <si>
    <t>2040-4174</t>
  </si>
  <si>
    <t>10.1108/IJLSS-02-2022-0035</t>
  </si>
  <si>
    <t>SEP 2022</t>
  </si>
  <si>
    <t>WOS:000854233500001</t>
  </si>
  <si>
    <t>Du, HY; Niyato, D; Kang, JW; Kim, DI; Miao, CY</t>
  </si>
  <si>
    <t>Du, Hongyang; Niyato, Dusit; Kang, Jiawen; Kim, Dong In; Miao, Chunyan</t>
  </si>
  <si>
    <t>Optimal Targeted Advertising Strategy For Secure Wireless Edge Metaverse</t>
  </si>
  <si>
    <t>2022 IEEE GLOBAL COMMUNICATIONS CONFERENCE (GLOBECOM 2022)</t>
  </si>
  <si>
    <t>IEEE Global Communications Conference</t>
  </si>
  <si>
    <t>IEEE Global Communications Conference (GLOBECOM)</t>
  </si>
  <si>
    <t>DEC 04-08, 2022</t>
  </si>
  <si>
    <t>Rio de Janeiro, BRAZIL</t>
  </si>
  <si>
    <t>Recently, Metaverse has attracted increasing attention from both industry and academia, because of the significant potential to integrate real and digital worlds ever more seamlessly. By combining advanced wireless communications, edge computing and virtual reality (VR) technologies into Metaverse, a multidimensional, intelligent and powerful wireless edge Metaverse is created for future human society. In this paper, we design a privacy preserving targeted advertising strategy for the wireless edge Metaverse. Specifically, a Metaverse service provider (MSP) allocates bandwidth to the VR users so that the users can access Metaverse from edge access points. To protect users' privacy, the covert communication technique is used in the downlink. Then, the MSP can offer high-quality access services to earn more profits. Motivated by the concept of covert, targeted advertising is used to promote the sale of bandwidth and ensure that the advertising strategy cannot be detected by competitors who may make counter-offer and by attackers who want to disrupt the services. We derive the best advertising strategy in terms of budget input, with the help of the Vidale-Wolfe model and Hamiltonian function. Furthermore, we propose a novel metric named Meta-Immersion to represent the user's experience feelings. The performance evaluation shows that the MSP can boost its revenue with an optimal targeted advertising strategy, especially compared with that without the advertising.</t>
  </si>
  <si>
    <t>2334-0983</t>
  </si>
  <si>
    <t>2576-6813</t>
  </si>
  <si>
    <t>978-1-6654-3540-6</t>
  </si>
  <si>
    <t>10.1109/GLOBECOM48099.2022.10001331</t>
  </si>
  <si>
    <t>WOS:000922633504064</t>
  </si>
  <si>
    <t>Ng, WC; Lim, WYB; Ng, JS; Xiong, ZH; Niyato, D; Miao, CY</t>
  </si>
  <si>
    <t>Ng, Wei Chong; Lim, Wei Yang Bryan; Ng, Jer Shyuan; Xiong, Zehui; Niyato, Dusit; Miao, Chunyan</t>
  </si>
  <si>
    <t>Unified Resource Allocation Framework for the Edge Intelligence-Enabled Metaverse</t>
  </si>
  <si>
    <t>IEEE INTERNATIONAL CONFERENCE ON COMMUNICATIONS (ICC 2022)</t>
  </si>
  <si>
    <t>IEEE International Conference on Communications</t>
  </si>
  <si>
    <t>IEEE,Samsung,LG,Huawei,Qualcomm,Technol Innovat Inst,ZTE,Elect &amp; Telecommunicat Res Inst,KMW,SOLiD,ERICSSON LG,NI</t>
  </si>
  <si>
    <t>Dubbed as the next-generation Internet, the metaverse is a virtual world that allows users to interact with each other or objects in real-time using their avatars. The metaverse is envisioned to support novel ecosystems of service provision in an immersive environment brought about by an intersection of the virtual and physical worlds. The native AI systems in metaverse will personalized user experience over time and shape the experience in a scalable, seamless, and synchronous way. However, the metaverse is characterized by diverse resource types amid a highly dynamic demand environment. In this paper, we propose the case study of virtual education in the metaverse and address the unified resource allocation problem amid stochastic user demand. We propose a stochastic optimal resource allocation scheme (SORAS) based on stochastic integer programming with the objective of minimizing the cost of the virtual service provider. The simulation results show that SORAS can minimize the cost of the virtual service provider while accounting for the users' demands uncertainty.</t>
  </si>
  <si>
    <t>Xiong, Zehui/0000-0002-4440-941X</t>
  </si>
  <si>
    <t>1550-3607</t>
  </si>
  <si>
    <t>978-1-5386-8347-7</t>
  </si>
  <si>
    <t>WOS:000864709905068</t>
  </si>
  <si>
    <t>Donatiello, L; Marfia, G</t>
  </si>
  <si>
    <t>Donatiello, Lorenzo; Marfia, Gustavo</t>
  </si>
  <si>
    <t>Proposing the RecursiVerse Overlay Application for the MetaVerse</t>
  </si>
  <si>
    <t>2022 IEEE CONFERENCE ON VIRTUAL REALITY AND 3D USER INTERFACES ABSTRACTS AND WORKSHOPS (VRW 2022)</t>
  </si>
  <si>
    <t>IEEE Conference on Virtual Reality and 3D User Interfaces (IEEE VR)</t>
  </si>
  <si>
    <t>MAR 12-16, 2022</t>
  </si>
  <si>
    <t>IEEE,IEEE Comp Soc,ChristchurchNZ,Virbela,Univ Canterbury,Immers Learning Res Network,Qualcomm,HIT Lab NZ, Appl Immers Gaming Initiat</t>
  </si>
  <si>
    <t>In a still uncertain future for the MetaVerse, we dare to envision one of its possible future developments, the RecursiVerse. The RecursiVerse is an overlay application that may be built upon the MetaVerse, amounting to symmetrical virtual-real space where a human being may rely on human digital twins which may move, operate and recursively replicate to collaboratively perform multiple tasks. The RecursiVerse may hence extend what will eventually be possible thanks to the MetaVerse, providing a service to a society that poses increasing cognitive and perceptual challenges due to growing work-life imbalances and increasing cognitive loads.</t>
  </si>
  <si>
    <t>Marfia, Gustavo/D-1347-2010</t>
  </si>
  <si>
    <t>978-1-6654-8402-2</t>
  </si>
  <si>
    <t>10.1109/VRW55335.2022.00273</t>
  </si>
  <si>
    <t>WOS:000808111800264</t>
  </si>
  <si>
    <t>Wang, YY; Lee, LH; Braud, T; Hui, P</t>
  </si>
  <si>
    <t>Wang, Yuyang; Lee, Lik-Hang; Braud, Tristan; Hui, Pan</t>
  </si>
  <si>
    <t>Re-shaping Post-COVID-19 Teaching and Learning: A Blueprint of Virtual-Physical Blended Classrooms i n the Metaverse Era</t>
  </si>
  <si>
    <t>During the COVID-19 pandemic, most countries have experienced some form of remote education through video conferencing software platforms. However, these software platforms fail to reduce immersion and replicate the classroom experience. The currently emerging Metaverse addresses many of such limitations by offering blended physical-digital environments. This paper aims to assess how the Metaverse can support and improve e-learning. We first survey the latest applications of blended environments in education and highlight the primary challenges and opportunities. Accordingly, we derive our proposal for a virtual-physical blended classroom configuration that brings students and teachers into a shared educational Metaverse. We lOcus on the system architecture of the Metaverse classroom to achieve real-time synchronization of a large number of participants and activities across physical (mixed reality classrooms) and virtual (remote VR platform) learning spaces. Our proposal attempts to transform the traditional physical classroom into virtual-physical cyberspace as a new social network of learners and educators connected at an unprecedented scale.</t>
  </si>
  <si>
    <t>Lee, Lik Hang/0000-0003-1361-1612</t>
  </si>
  <si>
    <t>10.1109/ICDCSW56584.2022.00053</t>
  </si>
  <si>
    <t>WOS:000895984800044</t>
  </si>
  <si>
    <t>Wang, CHZ; Yu, CJ; Li, Y</t>
  </si>
  <si>
    <t>Wang, Chenhuizi; Yu, Chunjing; Li, Yang</t>
  </si>
  <si>
    <t>Toward Understanding Attention Economy in Metaverse: A Case Study of NFT Value</t>
  </si>
  <si>
    <t>IEEE TRANSACTIONS ON COMPUTATIONAL SOCIAL SYSTEMS</t>
  </si>
  <si>
    <t>With the blooming of NFT platforms such as Opensea, metaverse has become the most booming concept in both industry and academia all around the universe. Comprehending the way metaverse economy operates and the intrinsic value propping, it has become the key to the essence of metaverse. We try to reveal the value of metaverse via two academic resources, attention economy and media theory, and describe the principle of value creation in metaverse economy. To better examine how the value of NFT projects is affected by human time and attention devoted to metaverse, we first study systems with structured rules, e.g., blockchain games, to measure the players' time spent and to quantify the players' rewards. In addition, we investigate systems without dominant rules, in which the value of the NFTs relies more on users' subjective valuation of their community symbols. Two representative projects, Aavegotchi and Bored Ape Yacht Club, are examined as cases of the above two scenarios. We analyze the data of NFTs such as price, time devoted, and the number of likes and acquire some meaningful findings of how NFTs drive prices up. Building on the above researches, we consider NFT systems as partly attention economy fused with finance and propose a theory of physical products combined with NFT collections to help set the value anchor of early metaverse. This will have profound implications for areas of economy such as pricing theory.</t>
  </si>
  <si>
    <t>Wang, Chenhuizi/0000-0003-1042-2402</t>
  </si>
  <si>
    <t>2329-924X</t>
  </si>
  <si>
    <t>10.1109/TCSS.2022.3221669</t>
  </si>
  <si>
    <t>WOS:000912810700001</t>
  </si>
  <si>
    <t>Roman-Belmonte, J; Rodriguez-Merchan, EC; De la Corte-Rodriguez, H</t>
  </si>
  <si>
    <t>Roman-Belmonte, Juan M.; Rodriguez-Merchan, E. Carlos; De la Corte-Rodriguez, Hortensia</t>
  </si>
  <si>
    <t>Metaverse applied to musculoskeletal pathology: Orthoverse and Rehabverse</t>
  </si>
  <si>
    <t>POSTGRADUATE MEDICINE</t>
  </si>
  <si>
    <t>The Metaverse is 'an integrated network of 3D virtual worlds.' It incorporates digitally created realities into the real world, involves virtual copies of existing places and changes the physical reality by superimposing digital aspects, allowing its users to interact with these elements in an immersive, real-time experience. The applications of the Metaverse are numerous, with an increasing number of experiences in the field of musculoskeletal disease management. In the field of medical training, the Metaverse can help facilitate the learning experience and help develop complex clinical skills. In clinical care, the Metaverse can help clinicians perform orthopedic surgery more accurately and safely and can improve pain management, the performance of rehabilitation techniques and the promotion of healthy lifestyles. Virtualization can also optimize aspects of healthcare information and management, increasing the effectiveness of procedures and the functioning of organizations. This optimization can be especially relevant in departments that are under significant care provider pressure. However, we must not lose sight of the fundamental challenges that still need to be solved, such as ensuring patient privacy and fairness. Several studies are underway to assess the feasibility and safety of the Metaverse.</t>
  </si>
  <si>
    <t>Roman Belmonte, Juan Manuel/0000-0003-2693-1439; De la Corte-Rodriguez, Hortensia/0000-0002-9179-201X</t>
  </si>
  <si>
    <t>0032-5481</t>
  </si>
  <si>
    <t>1941-9260</t>
  </si>
  <si>
    <t>10.1080/00325481.2023.2180953</t>
  </si>
  <si>
    <t>WOS:000934277800001</t>
  </si>
  <si>
    <t>Hare, R; Tang, Y</t>
  </si>
  <si>
    <t>Hare, Ryan; Tang, Ying</t>
  </si>
  <si>
    <t>Hierarchical Deep Reinforcement Learning With Experience Sharing for Metaverse in Education</t>
  </si>
  <si>
    <t>Metaverse has gained increasing interest in education, with much of literature focusing on its great potential to enhance both individual and social aspects of learning. However, little work has been done to address the systems and technologies behind providing meaningful Metaverse learning. This article proposes a technical framework to address this research gap, where a hierarchical multiagent reinforcement learning approach with experience sharing is developed to augment the intelligence of nonplayer characters in Metaverse learning for personalization. The utility and benefits of the proposed framework and methodologies are demonstrated in Gridlock, a Metaverse learning game, as well as through extensive simulations.</t>
  </si>
  <si>
    <t>Tang, Ying/0000-0001-6064-1908; Hare, Ryan/0000-0003-3318-2034</t>
  </si>
  <si>
    <t>10.1109/TSMC.2022.3227919</t>
  </si>
  <si>
    <t>WOS:000903546900001</t>
  </si>
  <si>
    <t>Guan, J; Irizawa, J; Morris, A</t>
  </si>
  <si>
    <t>Guan, Jie; Irizawa, Jay; Morris, Alexis</t>
  </si>
  <si>
    <t>Extended Reality and Internet of Things for Hyper-Connected Metaverse Environments</t>
  </si>
  <si>
    <t>The Metaverse encompasses technologies related to the internet, virtual and augmented reality, and other domains toward smart interfaces that are hyper-connected, immersive, and engaging. However, Metaverse applications face inherent disconnects between virtual and physical components and interfaces. This work explores how an Extended Metaverse framework can be used to increase the seamless integration of interoperable agents between virtual and physical environments. It contributes an early theory and practice toward the synthesis of virtual and physical smart environments anticipating future designs and their potential for connected experiences.</t>
  </si>
  <si>
    <t>Guan, Jie/0000-0003-4135-7017</t>
  </si>
  <si>
    <t>10.1109/VRW55335.2022.00043</t>
  </si>
  <si>
    <t>WOS:000808111800034</t>
  </si>
  <si>
    <t>Park, D; Kim, JM; Jung, J; Choi, S</t>
  </si>
  <si>
    <t>Chen, JYC; Fragomeni, G</t>
  </si>
  <si>
    <t>Park, Daehee; Kim, Jeong Min; Jung, Jingi; Choi, Saemi</t>
  </si>
  <si>
    <t>Method to Create a Metaverse Using Smartphone Data</t>
  </si>
  <si>
    <t>VIRTUAL, AUGMENTED AND MIXED REALITY: DESIGN AND DEVELOPMENT, PT I</t>
  </si>
  <si>
    <t>14th International Conference on Virtual, Augmented and Mixed Reality (VAMR) Held as Part of the 24th International Conference on Human-Computer Interaction (HCII)</t>
  </si>
  <si>
    <t>With the development of internet technology, several IT companies and users have become interested in virtual worlds, called metaverses. However, one of the main problems for a metaverse is the number of resources required to develop it. To reduce the burden of high computing power and other related resources, we propose a method that uses mobile phone functions and data to generate a personal virtual space as there is still a research gap in this area. In this study, we propose a method to intuitively generate a personal virtual space using smartphone data. We propose the development of a new type of metaverse application using the photo data saved on a smartphone. We hypothesized that using the new metaverse application induces more happiness and excitement than using the smartphone gallery application to view memorable photos. To evaluate the new metaverse application, we measured the emotional responses of users and compared the two applications. The results indicate that using the new metaverse application results in higher happiness and excitement.</t>
  </si>
  <si>
    <t>978-3-031-05939-1; 978-3-031-05938-4</t>
  </si>
  <si>
    <t>10.1007/978-3-031-05939-1_4</t>
  </si>
  <si>
    <t>WOS:000870217300004</t>
  </si>
  <si>
    <t>Choi, HY</t>
  </si>
  <si>
    <t>Choi, Hyoung-Yong</t>
  </si>
  <si>
    <t>Working in the Metaverse: Does Telework in a Metaverse Office Have the Potential to Reduce Population Pressure in Megacities? Evidence from Young Adults in Seoul, South Korea</t>
  </si>
  <si>
    <t>Despite the growing number of teleworkers and the unsustainable challenges (e.g., environmental pollution) facing megacities due to population pressure, few studies have investigated whether telework can reduce population pressure in megacities. This study conducts a scenario-based experiment and proposes that telework can reduce population pressure in megacities by enticing megacity residents to leave the megacity. Specifically, given the increasing number of companies that are adopting metaverse teleworking offices, this study classifies telework into metaverse telework and non-metaverse telework and empirically demonstrates that both types of telework positively influence an individual's intention to relocate from a megacity to a non-megacity. Additionally, this study further shows that metaverse telework has a greater impact on an individual's intention to relocate from a megacity to a non-megacity than non-metaverse telework. This study demonstrates how different types of telework can differentially reduce population pressure in megacities and provides practical recommendations for policymakers and strategy managers to support this practice.</t>
  </si>
  <si>
    <t>Choi, Hyoung-Yong/0000-0003-0809-7014</t>
  </si>
  <si>
    <t>10.3390/su14063629</t>
  </si>
  <si>
    <t>WOS:000774313100001</t>
  </si>
  <si>
    <t>El Said, GR</t>
  </si>
  <si>
    <t>El Said, Ghada Refaat</t>
  </si>
  <si>
    <t>Metaverse-Based Learning Opportunities and Challenges: A Phenomenological Metaverse Human-Computer Interaction Study</t>
  </si>
  <si>
    <t>The Metaverse is an end-users-oriented integration of various layers of Information Technology (IT), where Human-Computer Interaction (HCI) would be the core technology. With the rapid development of IT, the Metaverse would allow users to connect, work, conduct business, and access educational resources, all in a technology-mediated environment in new interaction ways. The Metaverse can play a major role in the future of online learning and enable a rich active learning environment, where learners have the opportunity to obtain first-hand experiences that might not be accessible in the physical world. While currently there is a severe shortage in Metaverse-Learning studies, such research strands are expected to soon emerge. The main objective of this paper is to investigate challenges and opportunities for human-centric Metaverse technology in the learning sector, hence accelerating research in this field. A phenomenological research method was used, including semi-structured in-depth interviews, essays written by participants, a focus group discussion with 19 experts in the areas of HCI, intelligent interactive technologies, and online learning. The individual interviews took place in May 2022, with a focus group meeting held online in June 2022 to formulate a collective opinion of the 19 experts. Five challenges were identified for the Metaverse-Learning context: immersive design, privacy and security, universal access, physical and psychological health concerns, and governance. While the research provided suggestions to overcome those challenges, three Meta-Learning opportunities were identified: hands-on training and learning, game-based learning, and collaboration in creating knowledge. The findings of this research contribute to understanding the complexity of the online learning in the Metaverse from the Human-Computer Interaction point of view. These findings can be used to further research the Metaverse as a virtual communication environment and potential business and learning platform.</t>
  </si>
  <si>
    <t>10.3390/electronics12061379</t>
  </si>
  <si>
    <t>WOS:000955886500001</t>
  </si>
  <si>
    <t>Ali, S; Abdullah; Armand, TPT; Athar, A; Hussain, A; Ali, M; Yaseen, M; Joo, MI; Kim, HC</t>
  </si>
  <si>
    <t>Ali, Sikandar; Abdullah, Tagne Poupi Theodore; Armand, Tagne Poupi Theodore; Athar, Ali; Hussain, Ali; Ali, Maisam; Yaseen, Muhammad; Joo, Moon-Il; Kim, Hee-Cheol</t>
  </si>
  <si>
    <t>Metaverse in Healthcare Integrated with Explainable AI and Blockchain: Enabling Immersiveness, Ensuring Trust, and Providing Patient Data Security</t>
  </si>
  <si>
    <t>SENSORS</t>
  </si>
  <si>
    <t>Digitization and automation have always had an immense impact on healthcare. It embraces every new and advanced technology. Recently the world has witnessed the prominence of the metaverse which is an emerging technology in digital space. The metaverse has huge potential to provide a plethora of health services seamlessly to patients and medical professionals with an immersive experience. This paper proposes the amalgamation of artificial intelligence and blockchain in the metaverse to provide better, faster, and more secure healthcare facilities in digital space with a realistic experience. Our proposed architecture can be summarized as follows. It consists of three environments, namely the doctor's environment, the patient's environment, and the metaverse environment. The doctors and patients interact in a metaverse environment assisted by blockchain technology which ensures the safety, security, and privacy of data. The metaverse environment is the main part of our proposed architecture. The doctors, patients, and nurses enter this environment by registering on the blockchain and they are represented by avatars in the metaverse environment. All the consultation activities between the doctor and the patient will be recorded and the data, i.e., images, speech, text, videos, clinical data, etc., will be gathered, transferred, and stored on the blockchain. These data are used for disease prediction and diagnosis by explainable artificial intelligence (XAI) models. The GradCAM and LIME approaches of XAI provide logical reasoning for the prediction of diseases and ensure trust, explainability, interpretability, and transparency regarding the diagnosis and prediction of diseases. Blockchain technology provides data security for patients while enabling transparency, traceability, and immutability regarding their data. These features of blockchain ensure trust among the patients regarding their data. Consequently, this proposed architecture ensures transparency and trust regarding both the diagnosis of diseases and the data security of the patient. We also explored the building block technologies of the metaverse. Furthermore, we also investigated the advantages and challenges of a metaverse in healthcare.</t>
  </si>
  <si>
    <t>Hussain, Ali/GLV-0191-2022</t>
  </si>
  <si>
    <t>Hussain, Ali/0000-0001-6208-6100; Ali, Sikandar/0000-0002-8479-4084; Athar, Ali/0000-0002-2331-7663; , Abdullah/0000-0001-7515-5371</t>
  </si>
  <si>
    <t>1424-8220</t>
  </si>
  <si>
    <t>10.3390/s23020565</t>
  </si>
  <si>
    <t>WOS:000918933500001</t>
  </si>
  <si>
    <t>Ramadan, Z</t>
  </si>
  <si>
    <t>Ramadan, Zahy</t>
  </si>
  <si>
    <t>Marketing in the metaverse era: toward an integrative channel approach</t>
  </si>
  <si>
    <t>VIRTUAL REALITY</t>
  </si>
  <si>
    <t>The development pace of digital socialization has accelerated drastically in the past decade, especially with the COVID-19 pandemic. Through that continuing digital shift, the idea of the metaverse, a virtual parallel world that can digitally replicate people's lives, is developing fast through Meta's (previously known as Facebook) announcement in October 2021 that it will dedicate sizeable investments in it. While the metaverse provides immense opportunities to brands, the primary concern will be on how integrate it with current media and retail channels, whether they are offline or online. Accordingly, using an exploratory qualitative approach, this study examined the potential strategic channel-based marketing routes that companies would face in the presence of the metaverse. The findings show that the route to market will become much more complex given the metaverse's own platform setup. Strategic multichannel and omnichannel routes are examined through a proposed framework that takes into consideration the expected evolution of the metaverse platform.</t>
  </si>
  <si>
    <t>1359-4338</t>
  </si>
  <si>
    <t>1434-9957</t>
  </si>
  <si>
    <t>10.1007/s10055-023-00783-2</t>
  </si>
  <si>
    <t>WOS:000951298500001</t>
  </si>
  <si>
    <t>Di Pietro, R; Cresci, S</t>
  </si>
  <si>
    <t>Di Pietro, Roberto; Cresci, Stefano</t>
  </si>
  <si>
    <t>Metaverse: Security and Privacy Issues</t>
  </si>
  <si>
    <t>2021 THIRD IEEE INTERNATIONAL CONFERENCE ON TRUST, PRIVACY AND SECURITY IN INTELLIGENT SYSTEMS AND APPLICATIONS (TPS-ISA 2021)</t>
  </si>
  <si>
    <t>3rd EEE International Conference on Trust, Privacy and Security in Intelligent Systems and Applications (TPS-ISA)</t>
  </si>
  <si>
    <t>DEC 13-15, 2021</t>
  </si>
  <si>
    <t>The metaverse promises a host of bright opportunities for business, economics, and society. Though, a number of critical aspects are still to be considered and the analysis of their impact is almost non-existent. In this paper, we provide several contributions. We start by analysing the foundations of the metaverse, later we focus on the novel privacy and security issues introduced by this new paradigm, and finally we broaden the scope of the contribution highlighting some of the far-reaching yet logical implications of the metaverse on a number of domains, not all of them in tech. Throughout the paper, we also discuss possible research directions. We believe that the provided holistic view on the foundations, technology, and issues related to the metaverse-with a focus on security and privacy-, other than being an interesting contribution on its own, could also pave the way for a few multidisciplinary research avenues.</t>
  </si>
  <si>
    <t>978-1-6654-1623-8</t>
  </si>
  <si>
    <t>10.1109/TPSISA52974.2021.00032</t>
  </si>
  <si>
    <t>WOS:000852717500033</t>
  </si>
  <si>
    <t>Bian, YY; Leng, JW; Zhao, JL</t>
  </si>
  <si>
    <t>Wei, J; Zhang, LJ</t>
  </si>
  <si>
    <t>Bian, Yiyang; Leng, Jiewu; Zhao, J. Leon</t>
  </si>
  <si>
    <t>Demystifying Metaverse as a New Paradigm of Enterprise Digitization</t>
  </si>
  <si>
    <t>BIG DATA, BIGDATA 2021</t>
  </si>
  <si>
    <t>10th International Conference on Big Data (BigData) Held as Part of the 19th Services Conference Federation (SCF)</t>
  </si>
  <si>
    <t>As Facebook takes on metaverse as its new business infrastructure and company image, this new development blows a swirling wind through the IT industry. However, metaverse as a new enterprise paradigm is still quite unfamiliar to many technical people, letting along most business managers. In this paper, we give an overview of metaverse as a potential business platform and propose a framework for enterprise digitization. In particular, we clarify several critical concepts such as blockchainization, gamification, tokenization, and virtualization in relation to four Ps of marketing mix: People, Place, Product, and Process; although as many as ten Ps have been proposed, four of them are sufficient for our purposes.</t>
  </si>
  <si>
    <t>Zhao, J. Leon/A-3921-2008; Leng, Jiewu/ABC-2322-2020</t>
  </si>
  <si>
    <t>Leng, Jiewu/0000-0003-4068-3910</t>
  </si>
  <si>
    <t>978-3-030-96282-1; 978-3-030-96281-4</t>
  </si>
  <si>
    <t>10.1007/978-3-030-96282-1_8</t>
  </si>
  <si>
    <t>WOS:000774371600008</t>
  </si>
  <si>
    <t>Rillig, MC; Gould, KA; Maeder, M; Kim, SW; Duenas, JF; Pinek, L; Lehmann, A; Bielcik, M</t>
  </si>
  <si>
    <t>Rillig, Matthias C.; Gould, Kenneth A.; Maeder, Marcus; Kim, Shing Woong; Duenas, Juan F.; Pinek, Liliana; Lehmann, Anika; Bielcik, Milos</t>
  </si>
  <si>
    <t>Opportunities and Risks of the Metaverse For Biodiversity and theEnvironment</t>
  </si>
  <si>
    <t>ENVIRONMENTAL SCIENCE &amp; TECHNOLOGY</t>
  </si>
  <si>
    <t>Dueñas, Juan F./GWV-2519-2022; Rillig, Matthias/B-3675-2009; Maeder, Marcus/P-4878-2017</t>
  </si>
  <si>
    <t>Dueñas, Juan F./0000-0001-9770-3447; Rillig, Matthias/0000-0003-3541-7853; Maeder, Marcus/0000-0002-3469-0172; Kim, Shin Woong/0000-0002-1434-9444</t>
  </si>
  <si>
    <t>0013-936X</t>
  </si>
  <si>
    <t>1520-5851</t>
  </si>
  <si>
    <t>APR 19</t>
  </si>
  <si>
    <t>10.1021/acs.est.2c01562</t>
  </si>
  <si>
    <t>WOS:000793137500006</t>
  </si>
  <si>
    <t>Sanjaya, R; Hastuti, TD; Koeswoyo, F</t>
  </si>
  <si>
    <t>Sanjaya, Ridwan; Hastuti, Theresia Dwi; Koeswoyo, Freddy</t>
  </si>
  <si>
    <t>Technical Aspects of Metaverse Development for Batik SMEs Exhibitions</t>
  </si>
  <si>
    <t>2022 20TH INTERNATIONAL CONFERENCE ON ICT AND KNOWLEDGE ENGINEERING (ICT&amp;KE)</t>
  </si>
  <si>
    <t>International Conference on ICT and Knowledge Engineering</t>
  </si>
  <si>
    <t>20th International Conference on ICT and Knowledge Engineering (ICT and KE)</t>
  </si>
  <si>
    <t>NOV 23-25, 2022</t>
  </si>
  <si>
    <t>Siam Univ, Bangkok, THAILAND</t>
  </si>
  <si>
    <t>IEEE,Asia &amp; Pacific Distance Multimedia Educ Network,Comp Assoc Thailand,IEEE Thailand Sect</t>
  </si>
  <si>
    <t>Siam Univ</t>
  </si>
  <si>
    <t>Lasem Batik, which is famous for its uniqueness in the 3 ethnic elements, is currently experiencing considerable challenges due to changes in traveler routes between provincial capitals. Batik craftsmen need events and innovations to showcase their products as before the Covid-19 pandemic, to attract the attention of buyers at the local and global levels. One of the innovations that make it possible to showcase their products and meet with various parties at the local and global level is Metaverse. Metaverse is seen as a solution to display Batik products in their entirety without having to be disturbed by road access barriers to their village and the increasing prices of airline tickets between countries to their countries. The metaverse that was developed to organize the Batik exhibition requires technical details that need to be prepared. This paper explores the technical aspects of developing Metaverse for Batik exhibitions that can result in business transactions.</t>
  </si>
  <si>
    <t>Sanjaya, Ridwan/M-5497-2016</t>
  </si>
  <si>
    <t>Sanjaya, Ridwan/0000-0003-3865-5937</t>
  </si>
  <si>
    <t>2157-0981</t>
  </si>
  <si>
    <t>978-1-6654-8660-6</t>
  </si>
  <si>
    <t>10.1109/ICTKE55848.2022.9983314</t>
  </si>
  <si>
    <t>WOS:000927636200011</t>
  </si>
  <si>
    <t>Jian, SY; Chen, X; Yan, JP</t>
  </si>
  <si>
    <t>Rauterberg, M</t>
  </si>
  <si>
    <t>Jian, Shengyu; Chen, Xin; Yan, Jiaping</t>
  </si>
  <si>
    <t>From Online Games to Metaverse: The Expanding Impact of Virtual Reality in Daily Life</t>
  </si>
  <si>
    <t>CULTURE AND COMPUTING, C&amp;C 2022</t>
  </si>
  <si>
    <t>10th International Conference on Culture and Computing (C and C) Held as Part of the 24th International Conference on Human-Computer Interaction (HCII)</t>
  </si>
  <si>
    <t>Due to its wider and wider range of applications, virtual reality technology plays a very important role in expanding the field of human existence. From traditional video games to online games to Metaverse, human beings have made virtual reality more refined and comprehensive. Technical entertainment based on virtual reality has also caused social problems such as addictive dependence and escapism. Metaverse, or the so-called virtual reality Internet, as a representative of the next generation of Internet, contains both risks and opportunities.</t>
  </si>
  <si>
    <t>978-3-031-05434-1; 978-3-031-05433-4</t>
  </si>
  <si>
    <t>10.1007/978-3-031-05434-1_3</t>
  </si>
  <si>
    <t>WOS:000876897600003</t>
  </si>
  <si>
    <t>Situmorang, DDB</t>
  </si>
  <si>
    <t>Situmorang, Dominikus David Biondi</t>
  </si>
  <si>
    <t>Metaverse as a new place for online mental health services in the post-COVID-19 era: Is it a challenge or an opportunity?</t>
  </si>
  <si>
    <t>JOURNAL OF PUBLIC HEALTH</t>
  </si>
  <si>
    <t>In this article, the author describes the challenges and opportunities of metaverse's presence in the world for online mental health services. Aside from that, the author provides insight that metaverse can become a new place that is more comfortable and enjoyable for everyone who can relish the online mental health meetings with a new atmosphere and sensation, especially in the post-COVID-19 era.</t>
  </si>
  <si>
    <t>Situmorang, Dominikus David Biondi/AAB-8293-2021</t>
  </si>
  <si>
    <t>Situmorang, Dominikus David Biondi/0000-0002-6065-2022</t>
  </si>
  <si>
    <t>1741-3842</t>
  </si>
  <si>
    <t>1741-3850</t>
  </si>
  <si>
    <t>10.1093/pubmed/fdac159</t>
  </si>
  <si>
    <t>WOS:000901830500001</t>
  </si>
  <si>
    <t>Kaddoura, S; Al Husseiny, F</t>
  </si>
  <si>
    <t>Kaddoura, Sanaa; Al Husseiny, Fatima</t>
  </si>
  <si>
    <t>The rising trend of Metaverse in education: challenges, opportunities, and ethical considerations</t>
  </si>
  <si>
    <t>PEERJ COMPUTER SCIENCE</t>
  </si>
  <si>
    <t>Metaverse is invading the educational sector and will change human-computer interaction techniques. Prominent technology executives are developing novel ways to turn the Metaverse into a learning environment, considering the rapid growth of technology. Since the COVID-19 outbreak, people have grown accustomed to teleworking, telemedicine, and numerous other forms of distance interaction. Recently, the Metaverse has been the focus of many educators. With Facebook's statement that it was rebranding and promoting itself as Meta, this field saw a surge in interest in the areas of computer science and education. There is a literature gap in studying the Metaverse's role in education. This article is a systematic review following the PRISMA framework that reviews the role of the Metaverse in education to shrink the literature gap. It presents various educational uses to aid future research in this field. Additionally, it demonstrates how enabling technologies like extended reality (XR) and the internet of everything (IoE) will significantly impact educational services in the Metaverses of the future of teaching and learning. The article also outlines key challenges, ethical issues, and potential threats to using the Metaverse for education to offer a road map for future research that will investigate how the Metaverse will improve learning and teaching experiences.</t>
  </si>
  <si>
    <t>2376-5992</t>
  </si>
  <si>
    <t>FEB 13</t>
  </si>
  <si>
    <t>e1252</t>
  </si>
  <si>
    <t>10.7717/peerj-cs.1252</t>
  </si>
  <si>
    <t>WOS:000964156800001</t>
  </si>
  <si>
    <t>Kahambing, JG</t>
  </si>
  <si>
    <t>Kahambing, Jan Gresil</t>
  </si>
  <si>
    <t>Metaverse, mental health and museums in post-COVID-19</t>
  </si>
  <si>
    <t>In this article, I extend the modalities of mental health integration to the metaverse further toward the alternative case of museums. Some countries have modeled health facilitations of psychological nature to museums either physically or virtually. The metaverse as the incorporation of digital and actual bodies poses a further philosophical question of addressing the network of institutional and personal somatic modifications in the post-COVID-19 era.</t>
  </si>
  <si>
    <t>Kahambing, Jan Gresil S./0000-0002-4258-0563</t>
  </si>
  <si>
    <t>10.1093/pubmed/fdad002</t>
  </si>
  <si>
    <t>WOS:000967786900001</t>
  </si>
  <si>
    <t>Cheng, RZ; Wu, N; Chen, SQ; Han, B</t>
  </si>
  <si>
    <t>Cheng, Ruizhi; Wu, Nan; Chen, Songqing; Han, Bo</t>
  </si>
  <si>
    <t>Will Metaverse Be NextG Internet? Vision, Hype, and Reality</t>
  </si>
  <si>
    <t>IEEE NETWORK</t>
  </si>
  <si>
    <t>Metaverse, with the combination of the prefix meta (meaning transcending) and the word universe, has been deemed as a hypothetical next-generation (NextG) Internet. It aims to create a shared virtual space that connects all virtual worlds via the Internet, where users, represented as digital avatars, can communicate and collaborate as if they are in the physical world. Nevertheless, there is still no unified definition of the Metaverse. This article first reviews what has been heavily advocated by the industry and the positions of various high-tech companies. It then presents our vision of what the key requirements of Metaverse should be. After that, it briefly introduces existing social virtual reality (VR) platforms that can be viewed as early prototypes of the Metaverse, and conducts a reality check by diving into the network operation and performance of two representative platforms: Workrooms from Meta and AltspaceVR from Microsoft. Finally, it concludes by discussing several opportunities and future directions for further innovation.</t>
  </si>
  <si>
    <t>0890-8044</t>
  </si>
  <si>
    <t>1558-156X</t>
  </si>
  <si>
    <t>SEP-OCT</t>
  </si>
  <si>
    <t>10.1109/MNET.117.2200055</t>
  </si>
  <si>
    <t>WOS:000933406900043</t>
  </si>
  <si>
    <t>Niu, XY; Feng, W</t>
  </si>
  <si>
    <t>Streitz, NA; Konomi, S</t>
  </si>
  <si>
    <t>Niu, Xueying; Feng, Wei</t>
  </si>
  <si>
    <t>Immersive Entertainment Environments - From Theme Parks to Metaverse</t>
  </si>
  <si>
    <t>DISTRIBUTED, AMBIENT AND PERVASIVE INTERACTIONS, SMART ENVIRONMENTS, ECOSYSTEMS, AND CITIES, PT I</t>
  </si>
  <si>
    <t>10th International Conference on Distributed, Ambient and Pervasive Interactions (DAPI) Held as Part of the 24th International Conference on Human-Computer Interaction (HCII)</t>
  </si>
  <si>
    <t>This paper explores the interaction between the virtual world and the real world through the integration of the analysis of the metaverse and the theme park. At the same time, case studies of the application of the concept ofmetaverse in games andmovies are conducted to explore the current manifestations of metaverse and critically explore the ethical issues it raises. The theme park here represents not only an IP, but also a broader cultural symbol. Under the development trend of metaverse, how real world theme parks should convey their cultural symbols, and in what form we can bring real world theme parks into the world of metaverse will become urgent issues to be solved. This paper will illustrate the process of a real theme park elements by transforming them into digital artworks through a design concept. This transformation not only enables virtualization of the real world, but also enables cultural dissemination to the world while virtualizing.</t>
  </si>
  <si>
    <t>978-3-031-05463-1; 978-3-031-05462-4</t>
  </si>
  <si>
    <t>10.1007/978-3-031-05463-1_27</t>
  </si>
  <si>
    <t>WOS:000870124200027</t>
  </si>
  <si>
    <t>Salloum, S; Al Marzouqi, A; Alderbashi, KY; Shwedeh, F; Aburayya, A; Al Saidat, MR; Al-Maroof, RS</t>
  </si>
  <si>
    <t>Salloum, Said; Al Marzouqi, Amina; Alderbashi, Khaled Younis; Shwedeh, Fanar; Aburayya, Ahmad; Al Saidat, Mohammed Rasol; Al-Maroof, Rana Saeed</t>
  </si>
  <si>
    <t>Sustainability Model for the Continuous Intention to Use Metaverse Technology in Higher Education: A Case Study from Oman</t>
  </si>
  <si>
    <t>This paper investigates adopting metaverse in academic institutions based on a conceptual model. The proposed conceptual model was created to empower future perspectives of the metaverse system. Even though the metaverses system was just recently launched, few attempts have been made to evaluate its impact on the educational sector. This paper attempted to determine the impact of metaverse system by providing a conceptual model that encompasses innovativeness, context awareness, perceived enjoyment, ubiquity, complexity, and value. The information was gathered using an online questionnaire completed by 953 people. The findings indicate that an innovative academic environment can influence teachers' and students' attitudes toward new technology. Understanding how the metaverse system functions as an innovative educational tool can influence students' views regarding the use of new technology, assisting higher education institutions in developing regulations that enhance the learning process. As a result, the study discovered that the moderating impact of' innovativeness is critical since it contributes to the pervasiveness of users' perceptions of adopting new technology. The findings show that inventiveness is important in determining the metaverse system's effectiveness. However, apparent ubiquity appears to have a less effective function in promoting the use of the metaverse system. The factors of context-awareness, perceived complexity and perceived enjoyment possess a substantial impact on the metaverse system's adoption. Researchers have gained some insight into how university leaders can use current findings to spread awareness about the metaverse system in the educational environment by organizing seminars and workshops, offering incentives for teachers to use it, and allowing experts to assist teachers in better understanding the system's benefits.</t>
  </si>
  <si>
    <t>Aburayya, Ahmad/ABF-6600-2021; Salloum, Said/R-7208-2019</t>
  </si>
  <si>
    <t>Aburayya, Ahmad/0000-0002-1428-0547; Salloum, Said/0000-0002-6073-3981</t>
  </si>
  <si>
    <t>10.3390/su15065257</t>
  </si>
  <si>
    <t>WOS:000959059900001</t>
  </si>
  <si>
    <t>Wortley, DJ</t>
  </si>
  <si>
    <t>Bandrova, T; Konecny, M; Marinova, S</t>
  </si>
  <si>
    <t>Wortley, David John</t>
  </si>
  <si>
    <t>GIS, COVID-19 AND THE METAVERSE</t>
  </si>
  <si>
    <t>8TH INTERNATIONAL CONFERENCE ON CARTOGRAPHY AND GIS, VOL. 2</t>
  </si>
  <si>
    <t>International Conference on Cartography and GIS</t>
  </si>
  <si>
    <t>8th International Conference on Cartography and GIS</t>
  </si>
  <si>
    <t>JUN 14-19, 2021</t>
  </si>
  <si>
    <t>Nessebar, BULGARIA</t>
  </si>
  <si>
    <t>Int Cartog Assoc,Bulgarian Cartog Assoc,Univ Architecture, Civil Engn &amp; Geodesy,Mil Geog Serv</t>
  </si>
  <si>
    <t>The Metaverse is a concept with related technologies that has been the subject of massive interest and investment in from industry giants such as Facebook (now Meta), Google and Microsoft. Emerging disruptive enabling technologies such as 5G, mixed reality, big data and IOT have made it possible to work and socialise in virtual world environments. The creation of a virtual universe that can be built, visualised, explored and navigated has significant potential for both the application of cartographic and GIS expertise to the metaverse and the use of the metaverse for supporting GIS real-world applications for GIS data visualisation and collaboration. COVID-19 has accelerated the use of digtal technologies in medicine and healthcare and, with global travel restrictions, has arguably had a positive impact on the environment. In the case of digital earth applications designed to raise awareness of environmental issues and build an understanding of global challenges such as pollution, environmental disasters such as earthquakes and flooding, the metaverse has already demonstrated its potential value for data visualisation and collaboration. This paper explores metaverse GIS application in the past, present and future.</t>
  </si>
  <si>
    <t>1314-0604</t>
  </si>
  <si>
    <t>WOS:000853259700017</t>
  </si>
  <si>
    <t>Chengoden, R; Victor, N; Huynh-The, T; Yenduri, G; Jhaveri, RH; Alazab, M; Bhattacharya, S; Hegde, P; Maddikunta, PKR; Gadekallu, TR</t>
  </si>
  <si>
    <t>Chengoden, Rajeswari; Victor, Nancy; Huynh-The, Thien; Yenduri, Gokul; Jhaveri, Rutvij H.; Alazab, Mamoun; Bhattacharya, Sweta; Hegde, Pawan; Maddikunta, Praveen Kumar Reddy; Gadekallu, Thippa Reddy</t>
  </si>
  <si>
    <t>Metaverse for Healthcare: A Survey on Potential Applications, Challenges and Future Directions</t>
  </si>
  <si>
    <t>The rapid progress in digitalization and automation have led to an accelerated growth in healthcare, generating novel models that are creating new channels for rendering treatment at reduced cost. The Metaverse is an emerging technology in the digital space which has huge potential in healthcare, enabling realistic experiences to the patients as well as the medical practitioners. The Metaverse is a confluence of multiple enabling technologies such as artificial intelligence, virtual reality, augmented reality, internet of medical devices, robotics, quantum computing, etc. through which new directions for providing quality healthcare treatment and services can be explored. The amalgamation of these technologies ensures immersive, intimate and personalized patient care. It also provides adaptive intelligent solutions that eliminates the barriers between healthcare providers and receivers. This article provides a comprehensive review of the Metaverse for healthcare, emphasizing on the state of the art, the enabling technologies to adopt the Metaverse for healthcare, the potential applications, and the related projects. The issues in the adaptation of the Metaverse for healthcare applications are also identified and the plausible solutions are highlighted as part of future research directions.</t>
  </si>
  <si>
    <t>Alazab, Mamoun/AAG-6684-2021; Maddikunta, Praveen Kumar Reddy/HSG-8292-2023; Huynh-The, Thien/X-1291-2018; Bhattacharya, Sweta/HPH-3283-2023; Jhaveri, Rutvij H./A-5354-2018; Gadekallu, Thippa Reddy/T-4254-2019; VICTOR, NANCY/ACQ-3206-2022</t>
  </si>
  <si>
    <t xml:space="preserve">Alazab, Mamoun/0000-0002-1928-3704; Maddikunta, Praveen Kumar Reddy/0000-0003-4209-2495; Huynh-The, Thien/0000-0002-9172-2935; Bhattacharya, Sweta/0000-0002-6082-164X; Jhaveri, Rutvij H./0000-0002-3285-7346; Gadekallu, Thippa Reddy/0000-0003-0097-801X; </t>
  </si>
  <si>
    <t>10.1109/ACCESS.2023.3241628</t>
  </si>
  <si>
    <t>WOS:000935646100001</t>
  </si>
  <si>
    <t>Mourtzis, D; Panopoulos, N; Angelopoulos, J; Wang, BC; Wang, LH</t>
  </si>
  <si>
    <t>Mourtzis, Dimitris; Panopoulos, Nikos; Angelopoulos, John; Wang, Baicun; Wang, Lihui</t>
  </si>
  <si>
    <t>Human centric platforms for personalized value creation in metaverse</t>
  </si>
  <si>
    <t>JOURNAL OF MANUFACTURING SYSTEMS</t>
  </si>
  <si>
    <t>The term Metaverse first used in Neal Stephenson's sci-fi book Snow Crash in 1992, refers to a fusion of virtual and real existence. Nearly 30 years later, that definition is taking shape and promises to alter how people live and operate. This next evolution of Internet also known as Web3.0 will combine digital and physical elements. Multiple definitions can be found in the literature, with the most prevalent being the new internet, among others such as democratized virtual society, persistent virtual spaces, a digital twin of our own world for personalized value creation. Consequently, the common consensus dictates that Metaverse can be realized as a new form of the Internet, totally reshaped from what is already known. As we are heading towards the coexistence of Industry 5.0 and Society 5.0 (super smart and intelligent society), this paper attempts to present the definition of Metaverse, its evolution, the advantages and disadvantages, the pillars for the technological advancement which could be the fuel to spark future investigation and discussion as well as to accelerate the development of Metaverse towards the human centric and personalized society. Furthermore, in this manuscript, challenges and opportunities are presented (including Manufacturing), a brief comparison is performed versus Virtual Reality, and a conceptual framework for integrating Metaverse in Manufacturing is also presented.</t>
  </si>
  <si>
    <t>Mourtzis, Dimitris/H-6934-2018; Wang, Lihui/O-3907-2014</t>
  </si>
  <si>
    <t>Mourtzis, Dimitris/0000-0002-7923-7363; Wang, Lihui/0000-0001-8679-8049</t>
  </si>
  <si>
    <t>0278-6125</t>
  </si>
  <si>
    <t>1878-6642</t>
  </si>
  <si>
    <t>10.1016/j.jmsy.2022.11.004</t>
  </si>
  <si>
    <t>WOS:000974372700001</t>
  </si>
  <si>
    <t>Hwang, I; Shim, H; Lee, WJ</t>
  </si>
  <si>
    <t>Hwang, Inho; Shim, Hoshik; Lee, Woo Jin</t>
  </si>
  <si>
    <t>Do an Organization's Digital Transformation and Employees' Digital Competence Catalyze the Use of Telepresence?</t>
  </si>
  <si>
    <t>Rapid changes in the external environment are increasing interest in digital transformation. In particular, the recent breakout of infectious diseases such as COVID-19 has required certain companies to restrict physical exchanges among their members. As a result, companies must strive to maintain productivity and performance by supporting business exchange activities through online platforms. A metaverse technology that supports individuals' exchange activities in a virtual space based on 3D technology has recently attracted attention from companies. However, as previous studies related to the metaverse have focused on strengthening personalized content and services, additional research is needed in order to understand the metaverse's effects at the organizational level. This study aims to present the conditions for strengthening the motivation to use the metaverse from the perspective of organizations and members who have applied the metaverse in the workplace on a trial basis. In this study, an online questionnaire was conducted targeting workers of organizations with a history of using the metaverse for business, and the hypotheses were tested using 304 valid samples. As a result of the analysis, it was found that telepresence, a characteristic of the metaverse, influences the intention to continue using the metaverse through informativeness, interactivity, and enjoyment. In addition, the shared goal of the organization's digital transformation moderated the influence relationship between telepresence and an individual's motivations, and an individual's digital competence moderated the influence relationship between motivation and the intention of continuous use. This study suggests a digital transformation strategy for an organization in terms of suggesting ways to strengthen the motivations for the use of the metaverse of employees in the organization.</t>
  </si>
  <si>
    <t>Shim, Hoshik/0000-0002-3761-7317; hwang, inho/0000-0003-2850-2566</t>
  </si>
  <si>
    <t>10.3390/su14148604</t>
  </si>
  <si>
    <t>WOS:000832442800001</t>
  </si>
  <si>
    <t>Policy, Ethical, Social, and Environmental Considerations of Web3 and the Metaverse</t>
  </si>
  <si>
    <t>This article analyzes national, political, global geopolitical, ethical, social, and environmental issues associated with Web3 and the metaverse. It also introduces the feature articles, columns, and departments that appear in this issue.</t>
  </si>
  <si>
    <t>MAY-JUN</t>
  </si>
  <si>
    <t>10.1109/MITP.2022.3178509</t>
  </si>
  <si>
    <t>WOS:000819825800006</t>
  </si>
  <si>
    <t>Ning, HS; Lin, YJ; Wang, WX; Wang, H; Shi, FF; Zhang, XH; Daneshmand, M</t>
  </si>
  <si>
    <t>Ning, Huansheng; Lin, Yujia; Wang, Wenxi; Wang, Hang; Shi, Feifei; Zhang, Xiaohong; Daneshmand, Mahmoud</t>
  </si>
  <si>
    <t>Cyberology: Cyber-Physical-Social-Thinking Spaces-Based Discipline and Interdiscipline Hierarchy for Metaverse (General Cyberspace)</t>
  </si>
  <si>
    <t>IEEE INTERNET OF THINGS JOURNAL</t>
  </si>
  <si>
    <t>It is well known that the metaverse, also named general cyberspace (GC), is virtual-real fusion spaces, consisting of a virtual space, namely, cyberspace and virtual-real spaces, namely, cyber-enabled physical, social, and thinking (cyber-enabled) spaces. This article discusses the open issues of the metaverse in terms of science and technology and proposes a new discipline and interdiscipline hierarchy for the metaverse (GC), namely, cyberology first. Then, it explores various relevant standards of discipline classification and a discipline and interdiscipline hierarchy based on physical, social, and thinking spaces, and investigates the cyberspace and cyber-enabled spaces. On the basis of the above research, this article enriches the contents of cyberology in two terms: 1) the disciplines in cyberspace and 2) the interdisciplines in cyber-enabled spaces. Finally, this article gives predictions of cyberology on the future development of the metaverse from the aspects of cyber-physical space, cyber-social space and cyber-thinking space.</t>
  </si>
  <si>
    <t>2327-4662</t>
  </si>
  <si>
    <t>MAR 1</t>
  </si>
  <si>
    <t>10.1109/JIOT.2022.3217821</t>
  </si>
  <si>
    <t>WOS:000966895900001</t>
  </si>
  <si>
    <t>Ersoy, M; Gurfidan, R</t>
  </si>
  <si>
    <t>Ersoy, Mevlut; Gurfidan, Remzi</t>
  </si>
  <si>
    <t>Blockchain-based asset storage and service mechanism to metaverse universe: Metarepo</t>
  </si>
  <si>
    <t>TRANSACTIONS ON EMERGING TELECOMMUNICATIONS TECHNOLOGIES</t>
  </si>
  <si>
    <t>Digital modeling of the real world with 3D modeling technologies has recently prepared the groundwork for Metaverse. Metaverse is an ecosystem that will allow social and cultural events in the real world to be carried out in the digital world as well. Inspired by this framework, this study presents an approach called MetaRepo, where users can securely store digital assets (cryptocurrency, avatars, clothes, tickets, etc.) and use them in various activities within the metaverse universe. The motivation for the realization of this study is the security problems in the exchange, buying and selling transactions that take place in the virtual universes that have become popular in recent days. Another source of motivation is the anxiety of the object owners having their possessions stolen, lost, and transferred to another universe in the Metaverse. Blockchain technology, which can store assets in MetaRepo, has been used to address these concerns. In the developed blockchain structure, New User Engine, Transaction Centre, Authenticator Engine (W-eng) and Repos models have been developed for user interaction, transaction processing and security mechanism. An exemplary metaverse universe including social activities has been designed for the testing and evaluation processes of the proposed MetaRepo approach. MetaRepo is communicated from the browser via APIs. Detailed performance analysis has been carried out for the proposed model. As a result, with MetaRepo, a mechanism is aimed at which users can communicate with different metaverse universes and platforms without the need for extra verification and security measures within the metaverse universe.</t>
  </si>
  <si>
    <t>2161-3915</t>
  </si>
  <si>
    <t>10.1002/ett.4658</t>
  </si>
  <si>
    <t>OCT 2022</t>
  </si>
  <si>
    <t>WOS:000864919300001</t>
  </si>
  <si>
    <t>Kato, R; Kikuchi, Y; Yem, V; Ikei, Y</t>
  </si>
  <si>
    <t>Yamamoto, S; Mori, H</t>
  </si>
  <si>
    <t>Kato, Ryoto; Kikuchi, Yusuke; Yem, Vibol; Ikei, Yasushi</t>
  </si>
  <si>
    <t>Reality Avatar for Customer Conversation in the Metaverse</t>
  </si>
  <si>
    <t>HUMAN INTERFACE AND THE MANAGEMENT OF INFORMATION: APPLICATIONS IN COMPLEX TECHNOLOGICAL ENVIRONMENTS, THEMATIC AREA HIMI 2022 HELD AS PART OF HCII 2022, PT II</t>
  </si>
  <si>
    <t>Much emphasis has been placed on the expansion of the metaverse space, which enables a large number of people to participate concurrently and conduct business or entertainment in their field of interest. A close connection between the metaverse and the real space is expected to significantly increase the availability of the two spaces; however, an effective method for this connection has not yet been presented. In this paper, we propose the XR (cross reality) Telexperience Portal as one method for connecting both remote real space and past space with the metaverse. Furthermore, when people communicate in the metaverse's 3D space, they require avatars to represent themselves, for which a variety of avatar designs are used. However, highly realistic avatars that hold the identity of the participant are not yet used. In this paper, we propose a method for generating natural facial expressions of a high-reality avatar to become a reliable conversation partner.</t>
  </si>
  <si>
    <t>Kato, Ryoto/0000-0002-6520-8270; Kikuchi, Yusuke/0000-0002-9385-9732</t>
  </si>
  <si>
    <t>978-3-031-06509-5; 978-3-031-06508-8</t>
  </si>
  <si>
    <t>10.1007/978-3-031-06509-5_10</t>
  </si>
  <si>
    <t>WOS:000931950100009</t>
  </si>
  <si>
    <t>Fan, ZL; Chen, CC; Huang, HY</t>
  </si>
  <si>
    <t>Fan, Zhanling; Chen, Chongcheng; Huang, Hongyu</t>
  </si>
  <si>
    <t>Immersive cultural heritage digital documentation and information service for historical figure metaverse: a case of Zhu Xi, Song Dynasty, China</t>
  </si>
  <si>
    <t>HERITAGE SCIENCE</t>
  </si>
  <si>
    <t>Cultural heritage is closely linked with individual historical figures, who become a key focus for cultural tourism. Confucianism laid the foundation for much of Chinese civilization, and Confucius and Mencius have been studied extensively and have been influential in many parts of the world. Zhu Xi, the founder and master of Neo-Confucianism (an important part of the Mount Wuyi world cultural heritage), has received less research attention. With the big bang of the metaverse, research on the immersive cultural heritage digital documentation and information service for historical figures has become a new perspective. This paper presents a metaverse-based digital documentation framework for historical figures. This framework addresses the digitization of multimodal data for cultural heritage and adapts to the needs of metaverse presentations. For cultural research and cultural preservation, the paper has explored a combined contactless virtual and real cultural heritage experience system. For tourists, we intend to develop an immersive and holistic cultural tourism information service before, during and after the tour. In particular, we have also developed the Zhu Xi metaverse system. This is a step forward in the construction of a metaverse of historical figures.</t>
  </si>
  <si>
    <t>2050-7445</t>
  </si>
  <si>
    <t>SEP 23</t>
  </si>
  <si>
    <t>10.1186/s40494-022-00749-8</t>
  </si>
  <si>
    <t>WOS:000856978800001</t>
  </si>
  <si>
    <t>Zhou, BB</t>
  </si>
  <si>
    <t>Zhou, Binbin</t>
  </si>
  <si>
    <t>Building a Smart Education Ecosystem from a Metaverse Perspective</t>
  </si>
  <si>
    <t>MOBILE INFORMATION SYSTEMS</t>
  </si>
  <si>
    <t>Metaverse is the future of the Internet and integrates a variety of information technologies. It leads future education trends and brings profound changes to education. On the basis of analysis of the development trend of smart education and the connotation and action mechanism of edu-metaverse in the view of metaverse, this paper structures the smart education ecosystem, builds the scenario and modular smart learning space of three education scenarios of resource collaborative interaction, virtuality-reality integration experience, and ubiquitous spatial inquiry by using the six core technologies, and forms the new education mode of virtuality-reality symbiosis, trans-spatial fusion, and collaborative inquiry. Then, it verifies the application effect by AHP. Finally, it creates the smart education ecosystem of four ecology integration-resource ecology, interaction ecology, space ecology, and collaboration ecology, which accelerates the organic integration of metaverse and smart education and provides theoretical basis and reference for the new application of future education.</t>
  </si>
  <si>
    <t>wang, wjd/GSD-2051-2022</t>
  </si>
  <si>
    <t>1574-017X</t>
  </si>
  <si>
    <t>1875-905X</t>
  </si>
  <si>
    <t>SEP 9</t>
  </si>
  <si>
    <t>10.1155/2022/1938329</t>
  </si>
  <si>
    <t>WOS:000882943800003</t>
  </si>
  <si>
    <t>Yilmaz, M; O'Farrell, E; Clarke, P</t>
  </si>
  <si>
    <t>Yilmaz, Murat; O'Farrell, Emer; Clarke, Paul</t>
  </si>
  <si>
    <t>Examining the training and education potential of the metaverse: Results from an empirical study of next generation SAFe training</t>
  </si>
  <si>
    <t>JOURNAL OF SOFTWARE-EVOLUTION AND PROCESS</t>
  </si>
  <si>
    <t>Restrictions imposed by the COVID-19 pandemic have forced many to seek alternative means of training and learning, which ended up with increasing investment in the notion of the metaverse. Metaverse is envisioned as the next iteration of the Internet in which the virtual and the real world are blended to materialize a highly immersive experience. Not surprisingly, perhaps, next-generation training and education systems are concerned with methods to integrate themselves into metaverse environments. In particular, participants are looking for more interactive and flexible training while maintaining a degree of educational content and high quality for their training plans and interactive workflows. In this paper, we conducted research to explore the role of metaverse in employee training. To this end, we utilized a variant of PlaySAFe (i.e., a 3D game) to investigate its metaverse adoption and usage. A qualitative design was adopted, using semistructured interviews to explore practitioners' experiences using the new version of PlaySAFe. After having it played in an industrial setting, we interviewed a group of software practitioners to compare the actual and expected features. This research has explored the pros and cons of using the current technologies for the practical groundwork of SAFe training. Findings from this research suggest that the metaverse holds the potential to deliver improved practical alignment in training and education programs, but that at the present time, practitioners expect more metaverse compatible features.</t>
  </si>
  <si>
    <t>Yilmaz, Murat/O-8060-2018</t>
  </si>
  <si>
    <t>Yilmaz, Murat/0000-0002-2446-3224</t>
  </si>
  <si>
    <t>2047-7473</t>
  </si>
  <si>
    <t>2047-7481</t>
  </si>
  <si>
    <t>10.1002/smr.2531</t>
  </si>
  <si>
    <t>WOS:000907544800001</t>
  </si>
  <si>
    <t>Zhang, GS; Wu, JJ; Jeon, G; Chen, Y; Wang, YH; Tan, MZ</t>
  </si>
  <si>
    <t>Zhang, Guoshuai; Wu, Jiaji; Jeon, Gwanggil; Chen, Yuan; Wang, Yuhui; Tan, Mingzhou</t>
  </si>
  <si>
    <t>Towards Understanding Metaverse Engagement via Social Patterns and Reward Mechanism: A Case Study of Nova Empire</t>
  </si>
  <si>
    <t>With the constant fusion of virtual and reality, a new vision of human beings has emerged-Metaverse. At present, the development of metaverse is still in its infancy, and although the industry has put feverish investment into it, there are still many problems that need to be discussed in academia. The first thing is user engagement. Metaverse relies heavily on massive online users to realize its social value. In other words, user engagement is the foundation of the metaverse ecosystem. Therefore, our research uses Nova Empire as a case study, aiming at understanding metaverse engagement via complexity analysis of social patterns and reward mechanisms. Specifically, the behavioral data of 46 954 players in September 2021 are used for analysis. Our observations show that social behavior is not the main factor for user engagement. Then, we perform a correlation analysis of trigger times for different gaming behaviors to verify the above observations. The results prove that the main factors affecting user engagement are game tasks and reward mechanisms in the early stage and social gaming behaviors environment with alliances in the middle and late stages. Finally, we discuss the implications of our findings for the design of future games and propose operation strategies on user engagement to improve the metaverse ecosystem and other online social space.</t>
  </si>
  <si>
    <t>Wu, Jiaji/0000-0003-3769-0271; Zhang, Guoshuai/0000-0001-7432-3484</t>
  </si>
  <si>
    <t>10.1109/TCSS.2022.3211679</t>
  </si>
  <si>
    <t>WOS:000890855800001</t>
  </si>
  <si>
    <t>Tian, XY; Chen, XZ; Feng, LL</t>
  </si>
  <si>
    <t>Tian, Xiaoyan; Chen, Xinzhang; Feng, Linlin</t>
  </si>
  <si>
    <t>Quality improvement path and countermeasures for future-oriented film and animation teaching: based on fuzzy comprehensive evaluation method</t>
  </si>
  <si>
    <t>JOURNAL OF INTELLIGENT &amp; FUZZY SYSTEMS</t>
  </si>
  <si>
    <t>As the latest and hottest concept in the international arena, the metaverse concept has attracted the attention of various industries including information, economy, art, management, education and teaching for its application and technology integration research, but whether to define metaverse as a technology or a scenario has not yet reached a unified understanding in the academic and scientific communities. We believe that metaverse should be used as a key concept and emerging theory in building the future intelligent field. Therefore, we introduce the concept of metaverse in future film and animation teaching as a novel, strategic and disruptive teaching field with great potential, and the constructed metaverse self-directed learning field will become an important part of school education resource optimization. In this study, we focus on the quality improvement path of film and animation teaching in the context of metaverse, and conduct a study on the assessment method of teaching quality after the introduction of metaverse concept. Specifically, we discuss the quality improvement measures in the future teaching of film and animation, construct a teaching field of film and animation based on the metaverse, and propose a related teaching quality assessment model and establish an index system for the quality assessment of film and animation teaching in the context of the metaverse. The index system is composed of 3 primary indicators, 9 secondary indicators and 27 tertiary indicators, and the quantitative calculation is carried out by the Analytic Hierarchy Process (AHP) in fuzzy mathematics, and the weighting results of the indicators are calculated. The research goal of combining quantitative analysis and qualitative research was achieved. What can be seen through our research is that the metaverse online classroom built with virtual reality and other technologies will have more advantages than the traditional teaching classroom. In the future, similar learning devices can be introduced in film and animation teaching, and diversified learning modules can be established. Not only can the learning efficiency of offline classroom be improved, but also more learning space can be opened for online classroom. This study bridges the gap in the theory of quality assessment of film and animation teaching after the introduction of the future metaverse concept, innovates the analysis of the new concept and the improvement of the old method, builds a new scenario of organic combination of new technology and traditional education teaching, and provides a new idea for international and domestic future education research.</t>
  </si>
  <si>
    <t>tian, xiaoyan/HOF-5311-2023</t>
  </si>
  <si>
    <t>1064-1246</t>
  </si>
  <si>
    <t>1875-8967</t>
  </si>
  <si>
    <t>10.3233/JIFS-222779</t>
  </si>
  <si>
    <t>WOS:000925063400093</t>
  </si>
  <si>
    <t>Hui, P</t>
  </si>
  <si>
    <t>Hui, Pan</t>
  </si>
  <si>
    <t>The Hitchhiker's Guide to the Metaverse</t>
  </si>
  <si>
    <t>We envision in the future the virtual world will mix and co-exist with the physical world in such an immersive way that we cannot tell what is real and what is virtual. We will live and interact with the virtual objects that are blended into our environments with advanced holographic technology or with high-quality head mounted displays and lose the virtuality boundary. We call such a new reality Surreality. Our vision of metaverse is a multi-world. There are multiple virtual worlds developed by different technology companies and there is also the Surreality where real and virtual merged. While the metaverse may seem futuristic, catalysed by emerging technologies such as Extended Reality, 5G, and Artificial Intelligence, the digital big bang of our cyberspace is not far away. This talk aims to offer a comprehensive framework that examines the latest metaverse development under the dimensions of state-of-the-art technologies and metaverse ecosystems, illustrates the possibility of the digital big bang, and propose a concrete research agenda for the development of the metaverse. Reality will die; long live Surreality.</t>
  </si>
  <si>
    <t>10.1109/VRW55335.2022.00049</t>
  </si>
  <si>
    <t>WOS:000808111800040</t>
  </si>
  <si>
    <t>Bouachir, O; Aloqaily, M; Karray, F; Elsaddik, A</t>
  </si>
  <si>
    <t>Bouachir, Ouns; Aloqaily, Moayad; Karray, Fakhri; Elsaddik, Abdulmotaleb</t>
  </si>
  <si>
    <t>AI-based Blockchain for the Metaverse: Approaches and Challenges</t>
  </si>
  <si>
    <t>The recent advances in AI have enabled novel approaches and remarkable enhancements in the provision of existing services and applications. The metaverse is one of the emerging applications that got the advantages of this technological progression. Due to the cooperation between several cutting-edge technologies including IoT, digital twin (DT), and big data, the metaverse highly relies on the manipulation of an immense amount of gathered data. In this context, security is a major challenge, and as such, blockchain brings several advantages to the metaverse ecosystem as it allows secure and transparent data storage. However, with the dynamic nature of such an ecosystem and the fast variation in its AI-based services, the traditional blockchain features (e.g. smart contracts and consensus protocols) will face big challenges to meet the needed dynamic service requirements and scalability. This positioning paper proposes the concept of using a blockchain governed by AI to leverage the various features and advantages of blockchain services. The paper provides a review of the role of blockchain in the metaverse, challenges that arise, and then the role of AI in building intelligent blockchain features and their impact on the metaverse ecosystem.</t>
  </si>
  <si>
    <t>Aloqaily, Moayad/AAV-9016-2021</t>
  </si>
  <si>
    <t>10.1109/BCCA55292.2022.9922509</t>
  </si>
  <si>
    <t>WOS:000884604500032</t>
  </si>
  <si>
    <t>Deveci, M; Pamucar, D; Gokasar, I; Koppen, M; Gupta, BB</t>
  </si>
  <si>
    <t>Deveci, Muhammet; Pamucar, Dragan; Gokasar, Ilgin; Koppen, Mario; Gupta, Brij B.</t>
  </si>
  <si>
    <t>Personal Mobility in Metaverse With Autonomous Vehicles Using Q-Rung Orthopair Fuzzy Sets Based OPA-RAFSI Model</t>
  </si>
  <si>
    <t>IEEE TRANSACTIONS ON INTELLIGENT TRANSPORTATION SYSTEMS</t>
  </si>
  <si>
    <t>The term metaverse, which shows a 3D-designed virtual medium where people can connect through their avatars to spend time, telecommute, and socialize, has entered our lives fast. There are limitless implementations that can take place in the metaverse. Integration of another technological innovation, which is autonomous vehicles to the metaverse, is at hand. There are numerous alternative uses of autonomous vehicles in the metaverse. In this study, three alternative implementation options for autonomous vehicles in the metaverse are investigated. These alternatives are evaluated using the proposed multi-criteria decision-making (MCDM) method under twelve different criteria, which are grouped under four main aspects, namely technological, societal, legal and ethical, and transportation. A novel hybrid model based on q-rung orthopair fuzzy sets (q-ROFSs) which consists of three stages is presented to express the framework definition, calculate the weight coefficients of the criteria, and rank various alternatives. In the first stage, the structure of the problem is created. In the second stage, q-ROFSs based OPA algorithm is used to calculate the weights of the criteria. In the last stage, q-ROFSs based RAFSI (Ranking of Alternatives through Functional mapping of criterion sub-intervals into a Single Interval) is applied to choose the best alternative among the three alternatives. Finally, we present a case study to verify our proposed method. The results of this study have the potential to be used as a guide by decision-makers of the metaverse while integrating autonomous vehicles into the transportation system.</t>
  </si>
  <si>
    <t>Pamucar, Dragan/AAG-8288-2019; Deveci, Muhammet/V-8347-2017; GOKASAR, ILGIN/N-7044-2016; Gupta, Brij B/E-9813-2011</t>
  </si>
  <si>
    <t>Pamucar, Dragan/0000-0001-8522-1942; Deveci, Muhammet/0000-0002-3712-976X; GOKASAR, ILGIN/0000-0001-9896-9220; Gupta, Brij B/0000-0003-4929-4698</t>
  </si>
  <si>
    <t>1524-9050</t>
  </si>
  <si>
    <t>1558-0016</t>
  </si>
  <si>
    <t>10.1109/TITS.2022.3186294</t>
  </si>
  <si>
    <t>JUL 2022</t>
  </si>
  <si>
    <t>WOS:000826059700001</t>
  </si>
  <si>
    <t>Building a Human-Intelligent Metaverse</t>
  </si>
  <si>
    <t>This article describes research into computational human perception's potential to be the core of a human-intelligent metaverse, a sensed world that interacts with our physical, emotional, and mental states.</t>
  </si>
  <si>
    <t>10.1109/MC.2022.3182035</t>
  </si>
  <si>
    <t>WOS:000848240100017</t>
  </si>
  <si>
    <t>Chen, XZ; Tian, XY; Ye, HT</t>
  </si>
  <si>
    <t>Chen, Xinzhang; Tian, Xiaoyan; Ye, Hongtu</t>
  </si>
  <si>
    <t>Quality improvement path and countermeasures of visual arts for future metaverse: Based on G1-entropy value method</t>
  </si>
  <si>
    <t>As the most popular art category in the contemporary art field, visual art is no longer limited to traditional art categories such as painting, sculpture and photography, but develops into more diverse forms of expression with the continuous iteration of science and technology. As the most cutting-edge and popular concept in the world today, the research, development and application of science and technology have attracted close attention from all walks of life, including management, economy, transportation, education and teaching. However, there is no in-depth and clear research between the concept of metaverse and the concept of metaverse in the art field, especially in the visual art field. We believe that visual art creation under the background of the metaverse will be an important direction of art development in the future, and will also greatly promote the improvement of the visual presentation quality of the metaverse. Therefore, we focus our research in this study on the issue of visual art quality assessment and propose a theory and method for assessing the quality of visual art in a future-oriented metaverse. This method is based on the G1 entropy method in fuzzy mathematics. In our research, we have built a visual art field architecture based on the metaverse. Considering the difference between the traditional visual art evaluation index system and the index system after the introduction of the concept of the future metaverse, we have built a brand-newvisual art quality evaluation index system facing the future metaverse. This indicator is composed of four first-class indicators and twelve second-class indicators. We combine the subjective and objective weighting G1 entropy method as the method basis for the quantitative calculation results of the indicator weight. On the basis of quantitative analysis, we propose three-point countermeasures for improving the visual art quality of the future metaverse. Our research makes up for the gap in the theory of visual art quality evaluation after the introduction of the concept of the future metaverse, innovates the analysis of new concepts and the improvement of old methods, builds a new scene of organic combination of new technology and traditional visual art, and provides a new idea for the improvement of visual art quality in the future at home and abroad, It can also provide experience and theoretical support for the academic topic of similar art quality evaluation research at home and abroad.</t>
  </si>
  <si>
    <t>10.3233/JIFS-223351</t>
  </si>
  <si>
    <t>WOS:000949027400075</t>
  </si>
  <si>
    <t>Lee, CS; Wang, MH; Huang, SH; Yang, FJ; Tsai, CH; Wang, LQ</t>
  </si>
  <si>
    <t>Lee, Chang-Shing; Wang, Mei-Hui; Huang, Sheng-Hui; Yang, Fu-Jie; Tsai, Chun-Hao; Wang, Ling-Qing</t>
  </si>
  <si>
    <t>Fuzzy Ontology-based Intelligent Agent for High-School Student Learning in AI-FML Metaverse</t>
  </si>
  <si>
    <t>2022 IEEE INTERNATIONAL CONFERENCE ON FUZZY SYSTEMS (FUZZ-IEEE)</t>
  </si>
  <si>
    <t>IEEE International Fuzzy Systems Conference Proceedings</t>
  </si>
  <si>
    <t>IEEE International Conference on Fuzzy Systems (FUZZ-IEEE) / IEEE World Congress on Computational Intelligence (IEEE WCCI) / International Joint Conference on Neural Networks (IJCNN) / IEEE Congress on Evolutionary Computation (IEEE CEC)</t>
  </si>
  <si>
    <t>JUL 18-23, 2022</t>
  </si>
  <si>
    <t>Padua, ITALY</t>
  </si>
  <si>
    <t>IEEE,Int Neural Network Soc,IEEE Computat Intelligence Soc,Evolutionary Programming Soc,IET,Univ Padova, Dept Math Tullio Levi Civita,European Space Agcy,expert.ai,Elsevier,Springer Nature,Google,Baker &amp; Hughes,NVIDIA</t>
  </si>
  <si>
    <t>This article applies the fuzzy ontology concepts of Heart Sutra to artificial intelligence (AI) for elementary and high-school students learning English and fuzzy markup language (FML) in AI-FML Metaverse. Computational Intelligence (CI) is an imperative branch of AI and it includes fuzzy logic (FL), neural network (NN), and evolutionary computation (EC). Based on the technologies of reinforcement learning (RL), intelligent agent, ontology, and AI-FML human and machine co-learning, we propose a fuzzy ontology-based intelligent agent for young students to learn and experience CI applications, including basic concepts of FL, NN, and EC, on the AI-FML Metaverse platform. Additionally, we combine the core technologies of fuzzy ontology and AI-FML with the tenets of the Heart Sutra for constructing the intelligent agent in the AI-FML Metaverse with computational, perceptive, and cognitive intelligence. Moreover, we also apply the human semantic understanding of the Heart Sutra to explain the concept of the AI-FML Metaverse platform to elementary and high-school students to learn and experience CI. The intelligent agent interacts with the environment of the learning field and AI-FML Metaverse, it can help teachers and students evaluate learners' interest in each episode's learning content. Finally, it predicts their learning temperature in thermometers to present learners' performance in the learning contents, such as English or CI application. After evaluating the implementation of AI-FML Metaverse in the elementary school (grades 5-6), junior high school (grades 7-8), and senior high school (grades 10-12) students in Taiwan, we observe that the intelligent agent can work effectively and students' learning thermometer has an increasing tendency at the end of the 2021 fall semesters in AI-FML Metaverse and 2022 AI-FML winter camp in Taiwan.</t>
  </si>
  <si>
    <t>1544-5615</t>
  </si>
  <si>
    <t>978-1-6654-6710-0</t>
  </si>
  <si>
    <t>10.1109/FUZZ-IEEE55066.2022.9882549</t>
  </si>
  <si>
    <t>WOS:000861288500005</t>
  </si>
  <si>
    <t>Reality Check of Metaverse: A First Look at Commercial Social Virtual Reality Platforms</t>
  </si>
  <si>
    <t>Metaverse has grasped the news headlines recently. While being heavily advocated by the industry, there are great interests from academia as it demands various technological support from both hardware and software research. There has been an extensive visionary discussion of metaverse lately, but there are few studies on its technical challenges and user experience in practice. To fill this critical gap, in this paper, we take a first look at Workrooms, arguably a premature metaverse product released by Meta (a.k.a. Face-book). The goal of our study is to gain an in-depth understanding of the current state of the metaverse and identify potential issues for improvement. Through extensive measurement studies, we dissect the underlying network support and demand of Workrooms. Our investigation reveals several interesting findings. For example, Workrooms utilizes different network flows to transmit virtual content and real-time multimedia content separately. This might be a principled approach that should be adopted in general. On the other hand, the current design of Workrooms faces imperative scalability challenges that should be addressed in any large-scale metaverse platform.</t>
  </si>
  <si>
    <t>10.1109/VRW55335.2022.00040</t>
  </si>
  <si>
    <t>WOS:000808111800031</t>
  </si>
  <si>
    <t>Liu, YY; Ma, TH; Huang, XJ; Li, T</t>
  </si>
  <si>
    <t>Liu, Yuyang; Ma, Tinghuai; Huang, Xuejian; Li, Ting</t>
  </si>
  <si>
    <t>Fuzzy theory and method for evaluating the importance of college course teaching for future education</t>
  </si>
  <si>
    <t>As the latest and most popular concept in the world, metaverse as well as its application and technology integration has attracted the attention of all walks of life including information, economics, management, design and education, etc. However, the definition of metaverse as a technology or an intelligent scene still has no unified consensus in the academic and scientific fields. We believe that the metaverse should be a key concept and emerging theory in the future field of wisdom. This research focuses on the evaluation of the importance of college teaching courses for future education in the context of the metaverse, and discusses which courses may be greatly affected by the concept of the metaverse. First, on the basis of analyzing the scholars' understanding of the concept of the metaverse and related application research literature, we give the specific framework of this paper and the definition of the edu-metaverse, and propose a future intelligent teaching environment construction model based on the metaverse. It should be noted that our research is under the framework of the metaverse intelligent teaching construction model, and mainly focuses on the in-depth analysis of the teaching evaluation problem in colleges, which is a multi-attribute decision-making problem in the field of systems science. We propose an improved Pythagorean fuzzy multi-attribute decision-making method based on cumulative prospect theory, including improved scoring function, improved distance measure method, improved combination weighting method, etc., and construct a cumulative prospect value function. The proposed theory and method were applied to teaching courses of 10 majors in Chinese colleges to construct an importance evaluation indicator system. The importance of the courses was ranked, verifying the applicability and scientificity of the proposed method. The research content of this paper can provide a reference for the decision-making of Chinese education authorities. More importantly, the method proposed in this research is also universal, and can also provide theoretical support and experience reference for multi disciplines and fields, such as financial investment, engineering construction evaluation, enterprise management decision-making, and emergency management, etc.</t>
  </si>
  <si>
    <t>Ma, Tinghuai/0000-0003-2320-1692</t>
  </si>
  <si>
    <t>10.3233/JIFS-221671</t>
  </si>
  <si>
    <t>WOS:000949027400053</t>
  </si>
  <si>
    <t>Huynh, DV; Khosravirad, SR; Masaracchia, A; Dobre, OA; Duong, TQ</t>
  </si>
  <si>
    <t>Dang Van Huynh; Khosravirad, Saeed R.; Masaracchia, Antonino; Dobre, Octavia A.; Duong, Trung Q.</t>
  </si>
  <si>
    <t>Edge Intelligence-Based Ultra-Reliable and Low-Latency Communications for Digital Twin-Enabled Metaverse</t>
  </si>
  <si>
    <t>IEEE WIRELESS COMMUNICATIONS LETTERS</t>
  </si>
  <si>
    <t>In this letter, we propose a novel digital twin scheme supported metaverse by jointly considering the integrated model of communications, computing, and storage through the employment of mobile edge computing (MEC) and ultra-reliable and low latency communications (URLLC). The MEC-based URLLC digital twin architecture is proposed to provide powerful computing infrastructure by exploring task offloading, and task caching techniques in nearby edge servers to reduce the latency. In addition, the proposed digital twin scheme can guarantee stringent requirements of reliability and low latency, which are highly applicable for the future networked systems of metaverse. For this first time in the literature, our paper addresses the optimal problem of the latency/reliablity in digital twins-enabled metaverse by optimizing various communication and computation variables, namely, offloading portions, edge caching policies, bandwidth allocation, transmit power, computation resources of user devices and edge servers. The proposed scheme can improve the quality-of-experience of the digital twin in terms of latency and reliability with respect to metaverse applications.</t>
  </si>
  <si>
    <t>Dobre, Octavia/B-1435-2008; Duong, Trung Q./AAI-6708-2020; Huynh, Dang Van/ABS-9642-2022; Duong, Trung Q./I-1291-2013</t>
  </si>
  <si>
    <t>Dobre, Octavia/0000-0001-8528-0512; Huynh, Dang Van/0000-0002-2314-4934; Masaracchia, Antonino/0000-0002-2299-8487; Duong, Trung Q./0000-0002-4703-4836</t>
  </si>
  <si>
    <t>2162-2337</t>
  </si>
  <si>
    <t>2162-2345</t>
  </si>
  <si>
    <t>10.1109/LWC.2022.3179207</t>
  </si>
  <si>
    <t>WOS:000838680900039</t>
  </si>
  <si>
    <t>De Giovanni, P</t>
  </si>
  <si>
    <t>De Giovanni, Pietro</t>
  </si>
  <si>
    <t>Sustainability of the Metaverse: A Transition to Industry 5.0</t>
  </si>
  <si>
    <t>This study analyzes the sustainability of the metaverse technology by adopting a responsible digitalization perspective to drive the transition to Industry 5.0. This is motivated by the current experiences of digital transformation paths, which appear careless regarding the side effects induced when adopting digital technologies-for example, the energy consumption associated with blockchain, the jobs lost due to 3D printing, and the continuous payments required by artificial intelligence systems. While very few sustainable solutions are currently available to properly address these issues, similar effects might materialize when adopting metaverse technology. Therefore, this study provides tools to undertake a responsible digital transformation path through the metaverse to properly manage the transition to Industry 5.0. Specifically, it offers a set of frameworks to analyze the metaverse either from the perspective of the triple bottom line or by adopting an environmental, social, and governance (ESG) perspective and linking it to the most impacted business strategies or by connecting the technology to the sustainable development goals (SDGs). These tools enable readers to understand how society at large can responsibly implement, adopt, and manage a metaverse. By utilizing these frameworks, businesses can identify the most impacted strategies and take action to address any potential negative impacts.</t>
  </si>
  <si>
    <t>De Giovanni, Pietro/F-3115-2016</t>
  </si>
  <si>
    <t>De Giovanni, Pietro/0000-0002-1247-4807</t>
  </si>
  <si>
    <t>APR</t>
  </si>
  <si>
    <t>10.3390/su15076079</t>
  </si>
  <si>
    <t>WOS:000970428000001</t>
  </si>
  <si>
    <t>Fan, JJ</t>
  </si>
  <si>
    <t>Fan, Jiongjiong</t>
  </si>
  <si>
    <t>Theory and method for evaluating the importance of college course teaching for future education: From virtual reality to metaverse</t>
  </si>
  <si>
    <t>10.3233/JIFS-220931</t>
  </si>
  <si>
    <t>WOS:000967533700027</t>
  </si>
  <si>
    <t>Wang, SM; Yaqin, MA; Hsu, FH</t>
  </si>
  <si>
    <t>Kurosu, M</t>
  </si>
  <si>
    <t>Wang, Sheng-Ming; Yaqin, Muhammad Ainul; Hsu, Fu-Hsiang</t>
  </si>
  <si>
    <t>Improving Emotional Intelligence in the New Normal Using Metaverse Applications for Digital Native</t>
  </si>
  <si>
    <t>HUMAN-COMPUTER INTERACTION: THEORETICAL APPROACHES AND DESIGN METHODS, PT I</t>
  </si>
  <si>
    <t>Human Computer Interaction Thematic Area Conference Held as Part of the 24th International Conference on Human-Computer Interaction (HCII)</t>
  </si>
  <si>
    <t>This research provides a study on analyzing emotional intelligence in the New Normal using Metaverse application for digital native generation. Coronavirus 2019 (COVID-19) outbreak has created new behavior and characterized human life to be more aware of the new digital applications. Significantly, research results show that the digital native generation, whose internet environment was typical from their birth, is optimistic in New Normal life amid COVID 19. In 2021, Metaverse set off a new generation of online interactive user behavior concepts. According to some research, the developing concept of Metaverse fits precisely in line with the future living of the digital native generation. However, some psychological side consequences should be revealed concurrently with the positive impact conceived. People's emotional intelligence argues for reduction due to the dissatisfaction of rapid adaptation to the New Normal condition. Thus, this research demonstrates an analysis to mitigate the psychological side effects of emotional intelligence when people are bound to the New Normal life. The improvement of the Web-based Extended Reality (WebXR), a critical development field of Metaverse, is proposed together to assist the immersive experience demands in addressing the problem-solution methods.</t>
  </si>
  <si>
    <t>Hsu, Fu-Hsiang/GQP-9038-2022</t>
  </si>
  <si>
    <t>Hsu, Fu-Hsiang/0009-0005-5470-1595</t>
  </si>
  <si>
    <t>978-3-031-05311-5; 978-3-031-05310-8</t>
  </si>
  <si>
    <t>10.1007/978-3-031-05311-5_37</t>
  </si>
  <si>
    <t>WOS:000870723000037</t>
  </si>
  <si>
    <t>Zhang, JX; Zong, MY; Li, WD</t>
  </si>
  <si>
    <t>Zhang, Jixian; Zong, Mingyi; Li, Weidong</t>
  </si>
  <si>
    <t>A Truthful Mechanism for Multibase Station Resource Allocation in Metaverse Digital Twin Framework</t>
  </si>
  <si>
    <t>PROCESSES</t>
  </si>
  <si>
    <t>The concept of the metaverse has gained increasing attention in recent years, and the development of various new technologies, including digital twin technology, has made it possible to see the metaverse coming to pass. Many academics have begun to investigate various problems after realizing the importance of digital twin technology in building the metaverse. However, when utilizing digital twin technology to construct a metaverse, there remains limited research on how to allocate multibase station resources. This research translates a multibase station wireless resource allocation problem into an integer linear programming constraint model when virtual service providers construct a metaverse. In addition, the optimal VCG reverse auction (OPT-VCGRA) mechanism is designed to maximize social welfare and solve the problem of IoT devices competing for base station wireless resources. Specifically, the problem of the optimal allocation of wireless channel resources and payment rule based on the Vickrey-Clarke-Groves mechanism is solved to achieve optimal allocation and calculation of payment prices. Since the optimal allocation problem is NP-hard, this paper also designs a metaverse digital twin resource allocation and pricing (MDTRAP) mechanism based on monotonic allocation and key value theory. The mechanism sends the resource allocation results of multiple base stations to IoT devices and calculates the price payment when building a metaverse in the real world. This paper shows that both auction mechanisms have incentive compatibility and individual rationality properties. Through experiments, this paper compares the two mechanisms in terms of social welfare, the number of winners, and the overall payment. The MDTRAP mechanism performs similarly to the OPT-VCGRA mechanism in terms of social welfare, the number of winners, and channel utilization but is far superior to the OPT-VCGRA mechanism in terms of execution time and total payment. The trustful experiment also verified the truthfulness of the MDTRAP mechanism. The experimental results show that the MDTRAP mechanism can be used to solve the resource allocation problem of multiple base stations to IoT devices when building a metaverse in the real world and can effectively maximize social welfare.</t>
  </si>
  <si>
    <t>ji, denon/IAO-9707-2023</t>
  </si>
  <si>
    <t>Li, Weidong/0000-0003-3094-4347; Zhang, Jixian/0000-0003-0830-0369</t>
  </si>
  <si>
    <t>2227-9717</t>
  </si>
  <si>
    <t>10.3390/pr10122601</t>
  </si>
  <si>
    <t>WOS:000904117900001</t>
  </si>
  <si>
    <t>Hwang, Y</t>
  </si>
  <si>
    <t>Hwang, Yohan</t>
  </si>
  <si>
    <t>When makers meet the metaverse: Effects of creating NFT metaverse exhibition in maker education</t>
  </si>
  <si>
    <t>COMPUTERS &amp; EDUCATION</t>
  </si>
  <si>
    <t>The main purpose of this paper is to conduct empirical research on the effectiveness of application of a metaverse in maker education. While the control group of students participate in a general maker class that encourages making digital content for relevant contest participation, the experimental group was treated to register their digital artwork as an NFT certified by blockchain technology and display them in the metaverse as a form of a virtual exhibition. The study findings show that while there was a significant statistical difference in terms of creative problem-solving and creative curiosity for both groups, only experimental participants showed improvement in creative cognition. In addition, following the addition of the metaverse treatment, a significant statistical improvement was found in terms of a sense of achievement towards their making process as well as ownership of their making products. Furthermore, the sentiment analysis collected from students' reflection papers reveals that the compounding result of their opinions, appraisals, complaints, emotions, or attitudes towards the metaverse exhibition was generally positive. Based on the findings, this paper suggests a new maker education model by expanding the previous one, TMSI (Thinkering, Making, Sharing, Improving), to a concept of TMIOS (Thinkering, Making, Improving, Ownering, Sharing).</t>
  </si>
  <si>
    <t>Hwang, Yohan/0000-0003-3688-4779</t>
  </si>
  <si>
    <t>0360-1315</t>
  </si>
  <si>
    <t>1873-782X</t>
  </si>
  <si>
    <t>10.1016/j.compedu.2022.104693</t>
  </si>
  <si>
    <t>WOS:000901496100007</t>
  </si>
  <si>
    <t>Han, Y; Niyato, D; Leung, C; Miao, CY; Kim, DI</t>
  </si>
  <si>
    <t>Han, Yue; Niyato, Dusit; Leung, Cyril; Miao, Chunyan; Kim, Dong In</t>
  </si>
  <si>
    <t>A Dynamic Resource Allocation Framework for Synchronizing Metaverse with IoT Service and Data</t>
  </si>
  <si>
    <t>Spurred by the severe restrictions on mobility due to the COVID-19 pandemic, there is currently intense interest in developing the Metaverse, to offer virtual services/business online. A key enabler of such virtual service is the digital twin, i.e., a digital replication of real-world entities in the Metaverse, e.g., city twin, avatars, etc. The real-world data collected by IoT devices and sensors are key for synchronizing the two worlds. In this paper, we consider the scenario in which a group of IoT devices are employed by the Metaverse platform to collect such data on behalf of virtual service providers (VSPs). Device owners, who are self-interested, dynamically select a VSP to maximize rewards. We adopt hybrid evolutionary dynamics, in which heterogeneous device owner populations can employ different revision protocols to update their strategies. Extensive simulations demonstrate that a hybrid protocol can lead to evolutionary stable states.</t>
  </si>
  <si>
    <t>10.1109/ICC45855.2022.9838422</t>
  </si>
  <si>
    <t>WOS:000864709901087</t>
  </si>
  <si>
    <t>Schlichting, MS; Fuchter, SK; Schlichting, MS; Alexander, K</t>
  </si>
  <si>
    <t>Taqvi, Z; Fuchter, SK; Filho, GG</t>
  </si>
  <si>
    <t>Schlichting, Mario Sergio; Fuchter, Simone Keller; Schlichting, Marcio Sergio; Alexander, Karen</t>
  </si>
  <si>
    <t>Metaverse: Virtual and Augmented Reality Presence</t>
  </si>
  <si>
    <t>2022 INTERNATIONAL SYMPOSIUM ON MEASUREMENT AND CONTROL IN ROBOTICS (ISMCR)</t>
  </si>
  <si>
    <t>International Symposium on Measurement and Control in Robotics (ISMCR)</t>
  </si>
  <si>
    <t>SEP 28-30, 2022</t>
  </si>
  <si>
    <t>Houston, TX</t>
  </si>
  <si>
    <t>Clear Lake Council Techn Soc</t>
  </si>
  <si>
    <t>More and more, our daily lives are entwined with technology. Our interactions with other people increasingly take place in virtual encounters. Many different concepts have appeared to describe the various virtual experiences that we might have. Recently the idea of the Metaverse has become prominent as a way to describe the digital realm in which we interact with objects, environments, and other people. But there is disagreement and confusion about what the Metaverse actually is. This review aims to bring different concepts and meanings to technologies that sometimes work in a complementary way to enable the Metaverse. Virtual Reality, Augmented Reality, and Mixed Reality, the Web or the Internet, and Blockchain or Distributed Ledger Technology are some concepts discussed and compared in this paper. After a clarification of their differences and similarities, this study also presents the concept of the Metaverse, a complex virtual world where many activities, including commerce, can take place and where avatars may be used to facilitate social experiences and make them feel more like real interactions. The methodology used in this study was a mix of Literature Review and Critical Review and the results presented show characteristics and particularities that allow a better understanding of virtual technologies and the Metaverse.</t>
  </si>
  <si>
    <t>978-1-6654-5496-4</t>
  </si>
  <si>
    <t>10.1109/ISMCR56534.2022.9950565</t>
  </si>
  <si>
    <t>WOS:000931900700002</t>
  </si>
  <si>
    <t>Rosenberg, LB</t>
  </si>
  <si>
    <t>DePaolis, LT; Arpaia, P; Sacco, M</t>
  </si>
  <si>
    <t>Rosenberg, Louis B.</t>
  </si>
  <si>
    <t>Regulating the Metaverse, a Blueprint for the Future</t>
  </si>
  <si>
    <t>EXTENDED REALITY, XR SALENTO 2022, PT I</t>
  </si>
  <si>
    <t>1st International Conference on Extended Reality (XR Salento)</t>
  </si>
  <si>
    <t>JUL 06-08, 2022</t>
  </si>
  <si>
    <t>Lecce, ITALY</t>
  </si>
  <si>
    <t>Univ Salento, Augmented &amp; Virtual Real Lab</t>
  </si>
  <si>
    <t>The core Immersive Media (IM) technologies of Virtual Reality (VR) and Augmented Reality (AR) have steadily advanced over the last thirty years, enabling high fidelity experiences at consumer prices. Over the same period, networking speeds have increased dramatically, culminating in the deployment of 5G networks. Combined, these advancements greatly increase the prospects for widespread adoption of virtual and augmented worlds. Recently branded the metaverse by Meta and other large platforms, major corporations are currently investing billions to deploy immersive worlds that target mainstream activities from socializing and shopping to education and business. With the prospect that corporate-controlled metaverse environments proliferate society over the next decade, it is important to consider the risks to consumers and plan for meaningful regulation. This is especially true in light of the unexpected negative impact that social media platforms have had on society in recent years. The dangers of the metaverse are outlined herein along with proposals for sensible regulation.</t>
  </si>
  <si>
    <t>978-3-031-15546-8; 978-3-031-15545-1</t>
  </si>
  <si>
    <t>10.1007/978-3-031-15546-8_23</t>
  </si>
  <si>
    <t>WOS:000886159100023</t>
  </si>
  <si>
    <t>Lin, ZX; Yao, NJ; Wu, X; Wang, L</t>
  </si>
  <si>
    <t>Lin, Zexin; Yao, Nanjun; Wu, Xiao; Wang, Lin</t>
  </si>
  <si>
    <t>A Peek at Metaverse Society from Web 3.0 Games: A Preliminary Case Study of Dark Forest</t>
  </si>
  <si>
    <t>The notion of metaverse powered by blockchain technology has been buzzing in recent years, raising expectations for an advanced social vision of Web 3.0. Thus far, online multiplayer games are considered to be the sole counterparts of the full-state metaverse, and their in-game group behavior becomes a microscopic sample for estimating social dynamics in metaverse. In this paper, we select massive data from Dark Forest relating to players' behavior to explore how and to what extent the web 3.0 game simulates the social system. By analyzing and clustering the time series of players' behavior, We reveal the consistency of behavioral habits both inside and outside of the simulated gaming system; suggest that games based on blockchain technology have the advantage of digitally representing reality, and therefore constitute a key venue for future social practice.</t>
  </si>
  <si>
    <t>10.1109/MMSP55362.2022.9949551</t>
  </si>
  <si>
    <t>WOS:000893205800148</t>
  </si>
  <si>
    <t>Wang, GF; Shin, C</t>
  </si>
  <si>
    <t>Wang, Gaofeng; Shin, Changhoon</t>
  </si>
  <si>
    <t>Influencing Factors of Usage Intention of Metaverse Education Application Platform: Empirical Evidence Based on PPM and TAM Models</t>
  </si>
  <si>
    <t>We explored the influencing factors of the usage intention of a metaverse education application platform that directly influence the optimization of its service function, improve the usage intention, and realize the promotion and application of metaverse technology in the education domain. Based on the characteristics of the metaverse education application platform, we integrated the PPM (push-pull-mooring) model and the TAM (technology acceptance model) to construct the model of influencing factors of usage intention. Ultimately, 275 valid questionnaires were collected through expert demonstration, pre-investigation, formal investigation, and other processes. In addition, our paper used the SEM (structural equation model) and fsQCA (fuzzy-set qualitative comparative analysis) to analyze the influencing factors of user willingness and their configuration paths. The study found that personalized learning, contextualized teaching, perceived usefulness, perceived ease of use, social needs, and social impact play significant positive roles in the willingness to use the metaverse education platform. Meanwhile, the obtained findings show that the experience-led community-driven mode, personality-led community-driven mode, and social-led utility-driven mode serve as potential guidelines for usage intention enhancement.</t>
  </si>
  <si>
    <t>WANG, GAOFENG/0000-0002-9630-1013</t>
  </si>
  <si>
    <t>10.3390/su142417037</t>
  </si>
  <si>
    <t>WOS:000902599600001</t>
  </si>
  <si>
    <t>Yang, FF; Ren, LF; Gu, C</t>
  </si>
  <si>
    <t>Yang, Fangfang; Ren, Longfei; Gu, Chao</t>
  </si>
  <si>
    <t>A study of college students' intention to use metaverse technology for basketball learning based on UTAUT2</t>
  </si>
  <si>
    <t>HELIYON</t>
  </si>
  <si>
    <t>Recent advancements in virtual reality technology have attracted increasing attention from enterprises and scholars, and many new related products have been launched. Due to the current COVID-19 epidemic, the nonface-to-face teaching environment will seriously affect students' basketball learning. We therefore combined basketball learning with metaverse technology, discussed basketball teaching in a virtual reality environment, and examined the influencing factors of college students' intentions to use metaverse technology. In the light of UTAUT2, a new research model was proposed, and quantitative research was carried out. The results of a survey of 1074 valid samples revealed that habits and attitudes are crucial factors in the success of basketball learning using a metaverse. The findings also indicate that grade and gender are moderator variables.</t>
  </si>
  <si>
    <t>Gu, Chao/AFW-9911-2022</t>
  </si>
  <si>
    <t>Gu, Chao/0000-0002-9810-3168; Ren, Longfei/0000-0002-5164-7993; Yang, Fangfang/0000-0002-3882-3876</t>
  </si>
  <si>
    <t>2405-8440</t>
  </si>
  <si>
    <t>e10562</t>
  </si>
  <si>
    <t>10.1016/j.heliyon.2022.e10562</t>
  </si>
  <si>
    <t>WOS:000862501000010</t>
  </si>
  <si>
    <t>Benrimoh, D; Chheda, F; Margolese, HC</t>
  </si>
  <si>
    <t>Benrimoh, David; Chheda, Forum; Margolese, Howard C.</t>
  </si>
  <si>
    <t>The Best Predictor of the Future-the Metaverse, Mental Health, and Lessons Learned From Current Technologies</t>
  </si>
  <si>
    <t>JMIR MENTAL HEALTH</t>
  </si>
  <si>
    <t>The metaverse-a virtual world accessed via virtual reality technology-has been heralded as the next key digital experience. It is meant to provide the next evolution of human interaction after social media and telework. However, in the context of the growing awareness of the risks to mental health posed by current social media technologies, there is a great deal of uncertainty as to the potential effects of this new technology on mental health. This uncertainty is compounded by a lack of clarity regarding what form the metaverse will ultimately take and how widespread its application will be. Despite this, given the nascent state of the metaverse, there is an opportunity to plan the research and regulatory approaches needed to understand it and promote its positive effects while protecting vulnerable groups. In this viewpoint, we examine the following three current technologies whose functions comprise a portion of what the metaverse seeks to accomplish: teleworking, virtual reality, and social media. We attempted to understand in what ways the metaverse may have similar benefits and pitfalls to these technologies but also how it may fundamentally differ from them. These differences suggest potential research questions to be addressed in future work. We found that current technologies have enabled tools such as virtual reality-assisted therapy, avatar therapy, and teletherapy, which have had positive effects on mental health care, and that the metaverse may provide meaningful improvements to these tools. However, given its similarities to social media and its expansion upon the social media experience, the metaverse raises some of the same concerns that we have with social media, such as the possible exacerbation of certain mental health problems. These concerns led us to consider questions such as how the users will be protected and what regulatory mechanisms will be put in place to ensure user safety. Although clear answers to these questions are challenging in this early phase of metaverse research, in this viewpoint, we use the context provided by comparator technologies to provide recommendations to maximize the potential benefits and limit the putative harms of the metaverse. We hope that this paper encourages discussions among researchers and policy makers.</t>
  </si>
  <si>
    <t>Margolese, Howard/0000-0002-3912-0566; Chheda, Forum Dhiraj/0000-0002-1237-6772; Benrimoh, David/0000-0002-1452-4791</t>
  </si>
  <si>
    <t>2368-7959</t>
  </si>
  <si>
    <t>OCT 28</t>
  </si>
  <si>
    <t>e40410</t>
  </si>
  <si>
    <t>10.2196/40410</t>
  </si>
  <si>
    <t>WOS:000952994600001</t>
  </si>
  <si>
    <t>Shi, HR; Liu, GJ; Zhang, KW; Zhou, ZY; Wang, JC</t>
  </si>
  <si>
    <t>Shi, Haoran; Liu, Guanjun; Zhang, Kaiwen; Zhou, Ziyuan; Wang, Jiacun</t>
  </si>
  <si>
    <t>MARL Sim2real Transfer: Merging Physical Reality With Digital Virtuality in Metaverse</t>
  </si>
  <si>
    <t>Metaverse is an artificial virtual world mapped from and interacting with the real world. In metaverse, digital entities coexist with their physical counterparts. Powered by deep learning, metaverse is inevitably becoming more intelligent in the interactions between reality and virtuality. However, it is confronted with a nontrivial problem known as sim2real transfer when deep learning techniques try to bridge the reality gap between the physical world and simulations. In this article, we use multiagent deep reinforcement learning (MARL) to implement collective intelligence for digital entities as well as their physical counterparts. To model the immersive environments in metaverse, we define a nonstationary variant of Markov games and propose a recurrent MARL solution to it. Based on the solution, MARL sim2real transfer that bridges real and virtual multiple unmanned aerial vehicle (multi-UAV) systems is successfully conducted by employing recurrent multiagent deep deterministic policy gradient (R-MADDPG) with the domain randomization technique. Additionally, we use perception-control modularization to improve the generalization performance of MARL policies and make training more efficient.</t>
  </si>
  <si>
    <t>Wang, Jiacun/HSF-1978-2023</t>
  </si>
  <si>
    <t>Wang, Jiacun/0000-0003-4176-3947; Liu, Guanjun/0000-0002-7523-4827; Wang, Jiacun/0000-0001-6601-3515</t>
  </si>
  <si>
    <t>10.1109/TSMC.2022.3229213</t>
  </si>
  <si>
    <t>WOS:000903530200001</t>
  </si>
  <si>
    <t>Web 3.0 and the Metaverse Shaping Organizations' Brand and Product Strategies</t>
  </si>
  <si>
    <t>Investments in Web 3.0 and the metaverse are growing rapidly. This paper focuses on the impacts of these developments on organizations' brand and product strategies.</t>
  </si>
  <si>
    <t>10.1109/MITP.2022.3157206</t>
  </si>
  <si>
    <t>WOS:000803110800003</t>
  </si>
  <si>
    <t>Koshnicharova, D; Nidhi; Mihovska, A; Koleva, P; Poulkov, V</t>
  </si>
  <si>
    <t>Koshnicharova, Dessislava; Nidhi; Mihovska, Albena; Koleva, Pavlina; Poulkov, Vladimir</t>
  </si>
  <si>
    <t>Data-driven Interactive Crowd Management Systems for Metaverse Scenarios</t>
  </si>
  <si>
    <t>2022 25TH INTERNATIONAL SYMPOSIUM ON WIRELESS PERSONAL MULTIMEDIA COMMUNICATIONS (WPMC)</t>
  </si>
  <si>
    <t>International Symposium on Wireless Personal Multimedia Communications</t>
  </si>
  <si>
    <t>25th International Symposium on Wireless Personal Multimedia Communications (WPMC)</t>
  </si>
  <si>
    <t>OCT 30-NOV 02, 2022</t>
  </si>
  <si>
    <t>Herning, DENMARK</t>
  </si>
  <si>
    <t>Understanding human behavior in urban settings has never been more accessible thanks to the growing accessibility of enormous volumes of data produced by people, cars, and other connected objects. We are entering a new era of innovation and creativity with the Metaverse. It will integrate comprehensive technologies such as 3D imaging, eXtended reality (XR), and advanced sensing into next-generation Internet services. Moreover, recent advances in disruptive technology, such as Artificial Intelligence (AI), and Machine Learning (ML), adding to the increasing decentralization of the Internet due to the possibility to deploy complex analytics across Edge-Cloud, are driving the further development of the Metaverse, as a 3D network of experiences and services. It allows users a sense of synchronous and persistent presence, with continuity of data, which highlights Crowd Management (CM) techniques to manage and control data-driven communications. CM techniques are vital in channelizing the data to help design mobile networks, control emergencies, and plan infrastructures. In this research, we will provide an overview of CM, its properties, and its functional breakdown following the integration of AI into CM. We will introduce the concept of Metaverse Crowd Management (MCM) and examine the various scenarios and associated challenges and opportunities.</t>
  </si>
  <si>
    <t>, Nidhi/0000-0001-5861-9752</t>
  </si>
  <si>
    <t>1347-6890</t>
  </si>
  <si>
    <t>978-1-6654-7318-7</t>
  </si>
  <si>
    <t>10.1109/WPMC55625.2022.10014794</t>
  </si>
  <si>
    <t>WOS:000947852500091</t>
  </si>
  <si>
    <t>Zhang, H; Luo, GY; Li, YD; Wang, FY</t>
  </si>
  <si>
    <t>Zhang, Hui; Luo, Guiyang; Li, Yidong; Wang, Fei-Yue</t>
  </si>
  <si>
    <t>Parallel Vision for Intelligent Transportation Systems in Metaverse: Challenges, Solutions, and Potential Applications</t>
  </si>
  <si>
    <t>Metaverse and intelligent transportation system (ITS) are disruptive technologies that have the potential to transform the current transportation system by decreasing traffic accidents and improving driving safety. The integration of Metaverse and transportation technology, called metaverse transportation system (MTS), can greatly improve the intelligence of real transportation system. The digital models built in MTS help to simulate the full life cycle of physical entities, which equip the virtual space with controllability and flexibility. In this article, we concentrate on the field of environment perception, which is the basic function of intelligent vehicles in MTS. To overcome the poor scalability of traditional environment perception methods, we develop the framework of parallel vision for ITS in metaverse (PVITS), consisting of construction of virtual transportation space, model learning based on computational experiments, and feedback optimization based on parallel execution. This article highlights opportunities brought by PVITS in terms of model precision and generalization improvement. Then, the challenges of PVITS are discussed, i.e., distribution difference between virtual and real transportation space, structure design and theoretical interpretation of vision models, and data security and privacy in virtual transportation space. After that, we present several solutions to tackle the application challenges and fully exploit the superior characteristics of PVITS while attenuating their negative side effects. Some potential applications are also given to represent the effectiveness and reliability of PVITS.</t>
  </si>
  <si>
    <t>Zhang, Hui/HNJ-1265-2023</t>
  </si>
  <si>
    <t>Zhang, Hui/0000-0001-7267-5179</t>
  </si>
  <si>
    <t>10.1109/TSMC.2022.3228314</t>
  </si>
  <si>
    <t>WOS:000903354500001</t>
  </si>
  <si>
    <t>Lin, J; Xu, YH; Guo, W; Cui, LZ; Miao, CY</t>
  </si>
  <si>
    <t>Fang, L; Povey, D; Zhai, G; Mei, T; Wang, R</t>
  </si>
  <si>
    <t>Lin, Jun; Xu, Yonghui; Guo, Wei; Cui, Lizhen; Miao, Chunyan</t>
  </si>
  <si>
    <t>XIVA: An Intelligent Voice Assistant with Scalable Capabilities for Educational Metaverse</t>
  </si>
  <si>
    <t>ARTIFICIAL INTELLIGENCE, CICAI 2022, PT III</t>
  </si>
  <si>
    <t>2nd CAAI International Conference on Artificial Intelligence (CICAI)</t>
  </si>
  <si>
    <t>AUG 27-28, 2022</t>
  </si>
  <si>
    <t>Chinese Assoc Artificial Intelligence, Beijing, PEOPLES R CHINA</t>
  </si>
  <si>
    <t>Chinese Assoc Artificial Intelligence</t>
  </si>
  <si>
    <t>We introduce XIVA, an intelligent voice assistant to support Chinese voice interaction for the future educational metaverse system. Unlike existing commercial voice assistants within a closed or limited ecosystem, XIVA focuses on providing open programming interfaces to third-party developers, to supporting them to develop new voice commands and functions. XIVA can be customized and run on different operating systems and different devices, such as a raspberry Pi, a personal computer, a VR headset or other intelligent devices developed by metaverse practitioners. In this demo, we present XIVA's capabilities of basic voice interaction and various capabilities extended by third-party for smart classroom operation control.</t>
  </si>
  <si>
    <t>Lin, Jun/0000-0002-5926-5391</t>
  </si>
  <si>
    <t>978-3-031-20502-6; 978-3-031-20503-3</t>
  </si>
  <si>
    <t>10.1007/978-3-031-20503-3_49</t>
  </si>
  <si>
    <t>WOS:000916066400048</t>
  </si>
  <si>
    <t>Mesko, B</t>
  </si>
  <si>
    <t>Mesko, Bertalan</t>
  </si>
  <si>
    <t>The promise of the metaverse in cardiovascular health</t>
  </si>
  <si>
    <t>EUROPEAN HEART JOURNAL</t>
  </si>
  <si>
    <t>Since Mark Zuckerberg announced he was rebranding Facebook Inc as Meta Platforms in order to develop a metaverse, there has been much debate about the promise of such a technological concept. The use of virtual reality (VR) has been analysed in evidence-based studies in niche areas, but the metaverse offers so much more: a complex, virtual realm where people can communicate with each other and build relationships. This is something worth considering in the delivery of healthcare.</t>
  </si>
  <si>
    <t>Mesko, Bertalan/0000-0002-7005-7083</t>
  </si>
  <si>
    <t>0195-668X</t>
  </si>
  <si>
    <t>1522-9645</t>
  </si>
  <si>
    <t>JUL 21</t>
  </si>
  <si>
    <t>SI</t>
  </si>
  <si>
    <t>10.1093/eurheartj/ehac231</t>
  </si>
  <si>
    <t>MAY 2022</t>
  </si>
  <si>
    <t>WOS:000798409800001</t>
  </si>
  <si>
    <t>Xu, LM; Towey, D; French, AP; Benford, S</t>
  </si>
  <si>
    <t>Leong, HV; Sarvestani, SS; Teranishi, Y; Cuzzocrea, A; Kashiwazaki, H; Towey, D; Yang, JJ; Shahriar, H</t>
  </si>
  <si>
    <t>Xu, Liming; Towey, Dave; French, Andrew P.; Benford, Steve</t>
  </si>
  <si>
    <t>Connecting Everyday Objects with the Metaverse: A Unified Recognition Framework</t>
  </si>
  <si>
    <t>2022 IEEE 46TH ANNUAL COMPUTERS, SOFTWARE, AND APPLICATIONS CONFERENCE (COMPSAC 2022)</t>
  </si>
  <si>
    <t>46th Annual IEEE-Computer-Society International Computers, Software, and Applications Conference (COMPSAC) - Computers, Software, and Applications in an Uncertain World</t>
  </si>
  <si>
    <t>JUN 27-JUL 01, 2022</t>
  </si>
  <si>
    <t>The recent Facebook rebranding to Meta has drawn renewed attention to the metaverse. Technology giants, amongst others, are increasingly embracing the vision and opportunities of a hybrid social experience that mixes physical and virtual interactions. As the metaverse gains in traction, it is expected that everyday objects may soon connect more closely with virtual elements. However, discovering this hidden virtual world will be a crucial first step to interacting with it in this new augmented world. In this paper, we address the problem of connecting physical objects with their virtual counterparts, especially through connections built upon visual markers. We propose a unified recognition framework that guides approaches to the metaverse access points. We illustrate the use of the framework through experimental studies under different conditions, in which an interactive and visually attractive decoration pattern, an Artcode, is used as the approach to enable the connection. This paper will be of interest to, amongst others, researchers working in Interaction Design or Augmented Reality who are seeking techniques or guidelines for augmenting physical objects in an unobtrusive, complementary manner.</t>
  </si>
  <si>
    <t>French, Andrew P/A-5310-2012</t>
  </si>
  <si>
    <t>Benford, Steve/0000-0001-8041-2520</t>
  </si>
  <si>
    <t>978-1-6654-8810-5</t>
  </si>
  <si>
    <t>10.1109/COMPSAC54236.2022.00063</t>
  </si>
  <si>
    <t>WOS:000855983300055</t>
  </si>
  <si>
    <t>Qi, L; Dou, SS; Guo, ZH; Li, CL; Li, Y; Zhu, TT</t>
  </si>
  <si>
    <t>Qi, Li; Dou, Songshi; Guo, Zehua; Li, Changlin; Li, Yang; Zhu, Tengteng</t>
  </si>
  <si>
    <t>Low Control Latency SD-WANs for Metaverse</t>
  </si>
  <si>
    <t>Metaverse is a shared virtual environment to provide users with an immersive experience and the same feeling as reality. In Software-Defined Wide Area Networks (SD-WANs), the controller dynamically routes flows from metaverse applications to maintain good performance by sending control messages to underlying switches. Thus, the control latency between controllers and switches for rerouting flows is one critical factor for metaverse's performance. However, existing works may introduce high control latency between switches and controllers since they do not consider the dynamic state of each switch in the real world situation. In this paper, we propose to optimize the control latency in SD-WANs by solving a critical programmability-aware problem. Inspired by critical flows, which have a critical impact on network performance, our proposed solution considers the programmability of critical flows at switches to decide the placement of controllers and mapping between switches and controllers. Simulation results show that our work can reduce the control latency by up to 27.5% compared with the baseline algorithms.</t>
  </si>
  <si>
    <t>Dou, Songshi/AAB-5605-2022</t>
  </si>
  <si>
    <t>Dou, Songshi/0000-0002-6665-0917</t>
  </si>
  <si>
    <t>10.1109/ICDCSW56584.2022.00057</t>
  </si>
  <si>
    <t>WOS:000895984800048</t>
  </si>
  <si>
    <t>Rosnberg, L</t>
  </si>
  <si>
    <t>Chakrabarti, S; Paul, R</t>
  </si>
  <si>
    <t>Rosnberg, Louis</t>
  </si>
  <si>
    <t>Marketing in the Metaverse and the Need for Consumer Protections</t>
  </si>
  <si>
    <t>2022 IEEE 13TH ANNUAL UBIQUITOUS COMPUTING, ELECTRONICS &amp; MOBILE COMMUNICATION CONFERENCE (UEMCON)</t>
  </si>
  <si>
    <t>IEEE 13th Annual Ubiquitous Computing, Electronics and Mobile Communication Conference (UEMCON)</t>
  </si>
  <si>
    <t>OCT 26-29, 2022</t>
  </si>
  <si>
    <t>IEEE,IEEE New York Sect,IEEE USA,IEEE Reg 1,Inst Engn &amp; Management,Univ Engn &amp; Management,SMART</t>
  </si>
  <si>
    <t>Over the next five to ten years, the metaverse is likely to transform how consumers interact with digital content, transitioning society from flat media viewed in the third person to immersive experiences engaged in the first person. This will greatly impact the marketing industry, transforming the basic tools, techniques, and tactics from flat artifacts such as images and videos, to immersive and interactive promotional experiences. In the metaverse, marketing campaigns will likely include extensive use of Virtual Product Placements (VPPs) and Virtual Spokespeople (VSPs). Such methods will be highly effective forms of advertising, for they will target users through natural, personal, and immersive means. At the same time, these methods can easily be used and abused in predatory ways. This paper reviews the most likely marketing techniques of the metaverse, outlines the potential risks to consumers, and makes recommendations for policymakers and business leaders that could protect the public.</t>
  </si>
  <si>
    <t>978-1-6654-9299-7</t>
  </si>
  <si>
    <t>10.1109/UEMCON54665.2022.9965661</t>
  </si>
  <si>
    <t>WOS:000946108300008</t>
  </si>
  <si>
    <t>Zaman, U; Koo, I; Abbasi, S; Raza, SH; Qureshi, MG</t>
  </si>
  <si>
    <t>Zaman, Umer; Koo, Inhyouk; Abbasi, Saba; Raza, Syed Hassan; Qureshi, Madeeha Gohar</t>
  </si>
  <si>
    <t>Meet Your Digital Twin in Space? Profiling International Expat's Readiness for Metaverse Space Travel, Tech-Savviness, COVID-19 Travel Anxiety, and Travel Fear of Missing Out</t>
  </si>
  <si>
    <t>The metaverse promises an unimaginable future for digital travelers by enabling them to gain unique experiences (e.g., space travel) that would otherwise be impossible in non-virtual reality. Moreover, COVID-19 travel anxiety has triggered growing interest in virtual environments (e.g., metaverse travel) in the aftermath of the pandemic. The cost-conscious and tech-savvy behavior of travelers has been resurrected in the 'new normal'; however, the fear of missing out (FOMO) is now dictating travelers' choices for newness, immersive and rewarding travel experiences. To address these emerging trends, promising new technologies, and untested relationships, the present study explored the effects of COVID-19 travel anxiety on the readiness for metaverse space travel. In addition, the moderating influence of tech savviness and travel FOMO was tested on this relationship. Drawing on data of international expats (N = 386) in UAE, the finding based on structural equation modeling (SEM) revealed that the international expat's readiness for metaverse space travel is positively influenced by their COVID-19 travel anxiety. Moreover, expats with high tendencies of travel FOMO and tech savviness will experience a stronger impact of COVID-19 travel anxiety on their readiness for metaverse space travel. These novel findings guided by prominent theories (e.g., self-determination, SOR, and protection motivation) offer new insights for policy makers and practitioners to strategically achieve digital-tourism transformation and sustainability through emerging and immersive metaverse technologies.</t>
  </si>
  <si>
    <t>Zaman, Umer/AAD-5227-2021; Raza, Syed Hassan/I-7274-2017</t>
  </si>
  <si>
    <t>Zaman, Umer/0000-0002-3729-3543; Raza, Syed Hassan/0000-0002-1318-7818; Qureshi, Madeeha/0000-0002-9148-3508</t>
  </si>
  <si>
    <t>JUN</t>
  </si>
  <si>
    <t>10.3390/su14116441</t>
  </si>
  <si>
    <t>WOS:000808804100001</t>
  </si>
  <si>
    <t>Han, JP; Yang, MZ; Chen, XG; Liu, HT; Wang, YT; Li, JH; Su, Z; Li, Z; Ma, XB</t>
  </si>
  <si>
    <t>Han, Jinpeng; Yang, Manzhi; Chen, Xiaoguang; Liu, Hongtao; Wang, Yuntao; Li, Jianhao; Su, Zhou; Li, Zhen; Ma, Xiaobo</t>
  </si>
  <si>
    <t>ParaDefender: A Scenario-Driven Parallel System for Defending Metaverses</t>
  </si>
  <si>
    <t>The metaverse, as an instance of cyber-physical-social systems (CPSS) that originates in cyber-physical systems (CPS), features growing complexity, and diversity in terms of functionalities, as well as the exponentially increasing demand in network bandwidth and computational resources, thereby leading to exaggerated security threats. However, compared with the extensive attention received by the metaverse, solutions defending against the threats have not kept pace. A major obstacle to such solutions is virtuality-reality-synthesized threats. Therefore, it is imperative to design new paradigms to defend the metaverse effectively. In this article, we advance a parallel system, dubbed ParaDefender, to defend the metaverse against emerging new threats effectively. Inspired by parallel intelligence, ParaDefender comprises artificial cyberspace, computational experiments, and parallel execution. The basic idea is to make artificial and real cyberspaces executed in parallel to mutually guide each other for enhanced security, wherein the parallel execution is scenario driven in the sense that the scenarios originate from all possible spatial-temporal combinations of security threats in the metaverse. We also demonstrate how to land ParaDefender onto real-world applications, including the Industrial Internet of Things (IIoT) security operation application in the industrial metaverse, and the social governance application.</t>
  </si>
  <si>
    <t>Han, Jinpeng/0000-0002-2451-5880</t>
  </si>
  <si>
    <t>10.1109/TSMC.2022.3228928</t>
  </si>
  <si>
    <t>WOS:000903435300001</t>
  </si>
  <si>
    <t>Wang, HX; Wang, ZR; Chen, DW; Liu, Q; Ke, HY; Han, KK</t>
  </si>
  <si>
    <t>Wang, Haoxin; Wang, Ziran; Chen, Dawei; Liu, Qiang; Ke, Hongyu; Han, Kyungtae K. T.</t>
  </si>
  <si>
    <t>Metamobility: Connecting Future Mobility With the Metaverse</t>
  </si>
  <si>
    <t>IEEE VEHICULAR TECHNOLOGY MAGAZINE</t>
  </si>
  <si>
    <t>The metaverse is a perpetual, immersive, and shared digital universe that is linked to but is beyond the physical reality, and this emerging technology is attracting enormous attention from different industries. In this article, we define the first holistic realization of the metaverse in the mobility domain, coined as metamobility. We present our vision of what metamobility will be and describe its basic architecture. We also propose two use cases, tactile live maps and metaempowered advanced driver-assistance systems (ADASs), to demonstrate how metamobility will benefit and reshape future mobility systems. Each use case is discussed from the perspective of the technology evolution, future vision, and critical research challenges. Finally, we identify multiple concrete open research issues.</t>
  </si>
  <si>
    <t>Wang, Ziran/Q-3630-2016</t>
  </si>
  <si>
    <t>Wang, Ziran/0000-0003-2702-7150</t>
  </si>
  <si>
    <t>1556-6072</t>
  </si>
  <si>
    <t>1556-6080</t>
  </si>
  <si>
    <t>10.1109/MVT.2023.3263330</t>
  </si>
  <si>
    <t>WOS:000976073300001</t>
  </si>
  <si>
    <t>Maksymyuk, T; Gazda, J; Bugar, G; Gazda, V; Liyanage, M; Dohler, M</t>
  </si>
  <si>
    <t>Maksymyuk, Taras; Gazda, Juraj; Bugar, Gabriel; Gazda, Vladimir; Liyanage, Madhusanka; Dohler, Mischa</t>
  </si>
  <si>
    <t>Blockchain-Empowered Service Management for the Decentralized Metaverse of Things</t>
  </si>
  <si>
    <t>The future of networking will be driven by the current emerging trends of combining the physical and virtual realities in cyberspace. Considering the ambient pandemic challenges, the role of virtual and augmented reality will definitely grow over time by transforming into the paradigm of the Metaverse of Things, where each person, thing or other entity will simultaneously exist within multiple synchronized realities. In this paper, we propose a novel framework for future metaverse applications composed of multiple synchronized data flows from multiple operators through multiple wearable devices and with different quality requirements. A new service quality model is proposed based on a customizable utility function for each individual data flow. The proposed approach is based on dynamic fine-grained data flow allocation and service selection using non-fungible tokens, which can be traded over the blockchain among users and operators in a decentralized mobile network environment.</t>
  </si>
  <si>
    <t>Liyanage, Madhusanka/N-1183-2013; Gazda, Juraj/AAE-4542-2019</t>
  </si>
  <si>
    <t>Liyanage, Madhusanka/0000-0003-4786-030X; Gazda, Juraj/0000-0002-7334-9540</t>
  </si>
  <si>
    <t>10.1109/ACCESS.2022.3205739</t>
  </si>
  <si>
    <t>WOS:000857365400001</t>
  </si>
  <si>
    <t>Si, PY; Zhao, J; Han, HM; Lam, KY; Liu, Y</t>
  </si>
  <si>
    <t>Si, Peiyuan; Zhao, Jun; Han, Huimei; Lam, Kwok-Yan; Liu, Yang</t>
  </si>
  <si>
    <t>Resource Allocation and Resolution Control in the Metaverse with Mobile Augmented Reality</t>
  </si>
  <si>
    <t>With the development of blockchain and communication techniques, the Metaverse is considered as a promising next-generation Internet paradigm, which enables the connection between reality and the virtual world. The key to rendering a virtual world is to provide users with immersive experiences and virtual avatars, which is based on virtual reality (VR) technology and high data transmission rate. However, current VR devices require intensive computation and communication, and users suffer from high delay while using wireless VR devices. To build the connection between reality and the virtual world with current technologies, mobile augmented reality (MAR) is a feasible alternative solution due to its cheaper communication and computation cost. This paper proposes an MAR-based connection model for the Metaverse, and proposes a communication resources allocation algorithm based on outer approximation (OA) to achieve the best utility. Simulation results show that our proposed algorithm is able to provide users with basic MAR services for the Metaverse, and outperforms the benchmark greedy algorithm.</t>
  </si>
  <si>
    <t>10.1109/GLOBECOM48099.2022.10001548</t>
  </si>
  <si>
    <t>WOS:000922633503050</t>
  </si>
  <si>
    <t>Angelini, L; Mecella, M; Liang, HN; Abou Khaled, O; Mugellini, E; Bernardini, D; Caon, M</t>
  </si>
  <si>
    <t>Angelini, Leonardo; Mecella, Massimo; Liang, Hai-Ning; Abou Khaled, Omar; Mugellini, Elena; Bernardini, Danilo; Caon, Maurizio</t>
  </si>
  <si>
    <t>Towards an Emotionally Augmented Metaverse: a Framework for Recording and Analysing Physiological Data and User Behaviour</t>
  </si>
  <si>
    <t>Several big tech companies are currently eager of building the metaverse, mainly through virtual reality experiences. Albeit immersive, in shared virtual environments it might be difficult to have emotionally rich interactions. Indeed, current available headsets and VR applications have limited possibilities for tracking and sharing emotions. We believe that physiological signal technology could enhance future metaverse applications. In this context, this paper presents a framework for visualizing, recording and synchronizing experiences in VR with human body signals. In order to prove the effectiveness of the system, we illustrate a use case and the development of a proof-of-concept scenario. Finally, we present the results of the tests conducted on this proof-of-concept that demonstrate the validity of the proposed system. Such framework could be used to design new emotionally augmented experiences in VR.</t>
  </si>
  <si>
    <t>10.1145/3532530.3532546</t>
  </si>
  <si>
    <t>WOS:000944005200010</t>
  </si>
  <si>
    <t>Lee, SH; Lee, YE; Lee, SW</t>
  </si>
  <si>
    <t>Lee, Seo-Hyun; Lee, Young-Eun; Lee, Seong-Whan</t>
  </si>
  <si>
    <t>Toward Imagined Speech based Smart Communication System: Potential Applications on Metaverse Conditions</t>
  </si>
  <si>
    <t>10TH INTERNATIONAL WINTER CONFERENCE ON BRAIN-COMPUTER INTERFACE (BCI2022)</t>
  </si>
  <si>
    <t>International Winter Conference on Brain-Computer Interface BCI</t>
  </si>
  <si>
    <t>10th International Winter Conference on Brain-Computer Interface (BCI)</t>
  </si>
  <si>
    <t>FEB 21-23, 2022</t>
  </si>
  <si>
    <t>Korea Univ Inst Artificial Intelligence,Korea Brain Educ Soc,IEEE Syst Man &amp; Cybernet Soc Tech Comm Brain Machine Interface Syst,IEEE Brain Initiat,Tech Univ Berlin,Korea Brain Educ Res Inst,Korea Univ, Artificial Intelligence Res Ctr</t>
  </si>
  <si>
    <t>Metaverse provides an alternative platform for human interaction in the virtual world. Since virtual platform holds few restrictions in changing the surrounding environments or the appearance of the avatars, it can serve as a platform that reflects human thoughts or even dreams at least in the metaverse world. When it is merged together with the current brain-computer interface (BCI) technology, which enables system control via brain signals, a new paradigm of human interaction through mind may be established in the metaverse conditions. Recent BCI systems are aiming to provide user-friendly and intuitive means of communication using brain signals. Imagined speech has become an alternative neuro-paradigm for communicative BCI since it relies directly on a person's speech production process, rather than using speech-unrelated neural activity as the means of communication. In this paper, we propose a brain-to-speech (BTS) system for real-world smart communication using brain signals. Also, we show a demonstration of imagined speech based smart home control through communication with a virtual assistant, which can be one of the future applications of brain-metaverse system. We performed pseudo-online analysis using imagined speech electroencephalography data of nine subjects to investigate the potential use of virtual BTS system in the real-world. Average accuracy of 46.54 +/- 9.37 % and 75.56 +/- 5.83 % was acquired in the thirteen-class and binary pseudo-online analysis, respectively. Our results support the potential of imagined speech based smart communication to be applied in the metaverse world.</t>
  </si>
  <si>
    <t>Lee, Seo-Hyun/ABC-3967-2020</t>
  </si>
  <si>
    <t>2572-7672</t>
  </si>
  <si>
    <t>978-1-6654-1337-4</t>
  </si>
  <si>
    <t>10.1109/BCI53720.2022.9734827</t>
  </si>
  <si>
    <t>WOS:000814683300009</t>
  </si>
  <si>
    <t>Hong, RM; He, H</t>
  </si>
  <si>
    <t>Hong, Rongman; He, Hao</t>
  </si>
  <si>
    <t>Interference and Consultation in Virtual Public Space: The Practice of Intermedia Art in Metaverse</t>
  </si>
  <si>
    <t>2021 17TH INTERNATIONAL CONFERENCE ON MOBILITY, SENSING AND NETWORKING (MSN 2021)</t>
  </si>
  <si>
    <t>17th IEEE International Conference on Mobility, Sensing and Networking (MSN)</t>
  </si>
  <si>
    <t>IEEE,IEEE Comp Soc,IEEE Comp Soc, Tech Comm Distributed Proc,Hong Kong Polytechn Univ,City Univ Hong Kong</t>
  </si>
  <si>
    <t>Intermedia art is an art form that spans many fields such as digital art, biological art, interactive machinery, artificial intelligence, etc. Because of its multi-domain collaborative creation has become an inevitable choice for intermedia art creators to spread in public spaces with more complicated social relations. The public spaces can be recognized as the ones in the physical world involving the flesh of human bodies and those in the virtual world called metaverse in recent years. In this paper, based on the traditional intervention methods of intermedia art in physical public spaces, interference and consultation, we conclude the challenges when intermedia reveals its tendency to migrate from the physical world to the virtual world as the changing of social background. After that, we discuss the past, present and the future of metaverse serving as a new form of public space for the expression of intermedia art by analyzing the data collected from the two mainstream metaverse platforms called CryptoVoxels and Decentraland.</t>
  </si>
  <si>
    <t>978-1-6654-0668-0</t>
  </si>
  <si>
    <t>10.1109/MSN53354.2021.00124</t>
  </si>
  <si>
    <t>WOS:000817822300106</t>
  </si>
  <si>
    <t>Cai, Y; Llorca, J; Tulino, AM; Molisch, AF</t>
  </si>
  <si>
    <t>Cai, Yang; Llorca, Jaime; Tulino, Antonia M.; Molisch, Andreas F.</t>
  </si>
  <si>
    <t>Compute- and Data-Intensive Networks: The Key to the Metaverse</t>
  </si>
  <si>
    <t>2022 1ST INTERNATIONAL CONFERENCE ON 6G NETWORKING (6GNET)</t>
  </si>
  <si>
    <t>1st International Conference on 6G Networking (6GNet)</t>
  </si>
  <si>
    <t>Orange, Paris, FRANCE</t>
  </si>
  <si>
    <t>IEEE,IEEE Commun Soc,Finnish Univ Oulu, 6G Flagship Initiat,Technol Innovat Inst,Nokia,DNAC</t>
  </si>
  <si>
    <t>Orange</t>
  </si>
  <si>
    <t>The worlds of computing, communication, and storage have for a long time been treated separately, and even the recent trends of cloud computing, distributed computing, and mobile edge computing have not fundamentally changed the role of networks, still designed to move data between end users and pre-determined computation nodes, without true optimization of the end-to-end compute-communication process. However, the emergence of Metaverse applications, where users consume multimedia experiences that result from the real-time combination of distributed live sources and stored digital assets, has changed the requirements for, and possibilities of, systems that provide distributed caching, computation, and communication. We argue that the real-time interactive nature and high demands on data storage, streaming rates, and processing power of Metaverse applications will accelerate the merging of the cloud into the network, leading to highly-distributed tightly-integrated compute- and data-intensive networks becoming universal compute platforms for next-generation digital experiences. In this paper, we first describe the requirements of Metaverse applications and associated supporting infrastructure, including relevant use cases. We then outline a comprehensive cloud network flow mathematical framework, designed for the end-to-end optimization and control of such systems, and show numerical results illustrating its promising role for the efficient operation of Metaverse-ready networks.</t>
  </si>
  <si>
    <t>Llorca, Jaime/AGF-3177-2022</t>
  </si>
  <si>
    <t>Cai, Yang/0000-0001-8015-9705</t>
  </si>
  <si>
    <t>978-1-6654-6763-6</t>
  </si>
  <si>
    <t>10.1109/6GNet54646.2022.9830429</t>
  </si>
  <si>
    <t>WOS:000860313400028</t>
  </si>
  <si>
    <t>Moro, C</t>
  </si>
  <si>
    <t>Moro, Christian</t>
  </si>
  <si>
    <t>Utilizing the metaverse in anatomy and physiology</t>
  </si>
  <si>
    <t>ANATOMICAL SCIENCES EDUCATION</t>
  </si>
  <si>
    <t>Of the many disruptive technologies being introduced within modern curricula, the metaverse, is of particular interest for its ability to transform the environment in which students learn. The modern metaverse refers to a computer-generated world which is networked, immersive, and allows users to interact with others by engaging a number of senses (including eyesight, hearing, kinesthesia, and proprioception). This multisensory involvement allows the learner to feel part of the virtual environment, in a way that somewhat resembles real-world experiences. Socially, it allows learners to interact with others in real-time regardless of where on earth they are located. This article outlines 20 use-cases where the metaverse could be employed within a health sciences, medicine, anatomy, and physiology disciplines, considering the benefits for learning and engagement, as well as the potental risks.</t>
  </si>
  <si>
    <t>Moro, Christian/0000-0003-2190-8301</t>
  </si>
  <si>
    <t>1935-9772</t>
  </si>
  <si>
    <t>1935-9780</t>
  </si>
  <si>
    <t>10.1002/ase.2244</t>
  </si>
  <si>
    <t>WOS:000908439700001</t>
  </si>
  <si>
    <t>Ricoy-Casas, RM</t>
  </si>
  <si>
    <t>Lopez-Lopez, PC; Barredo, D; Torres-Toukoumidis, A; De-Santis, A; Aviles, O</t>
  </si>
  <si>
    <t>Maria Ricoy-Casas, Rosa</t>
  </si>
  <si>
    <t>The Metaverse as a New Space for Political Communication</t>
  </si>
  <si>
    <t>COMMUNICATION AND APPLIED TECHNOLOGIES, ICOMTA 2022</t>
  </si>
  <si>
    <t>Smart Innovation Systems and Technologies</t>
  </si>
  <si>
    <t>International Conference on Communication and Applied Technologies (ICOMTA)</t>
  </si>
  <si>
    <t>SEP 07-09, 2022</t>
  </si>
  <si>
    <t>Cuenca, ECUADOR</t>
  </si>
  <si>
    <t>A metaverse is an exponentially growing virtual reality. The heavy investments augur its rapid implementation, favored by the development of cryptocurrencies, virtual currencies, and other technological advances such as virtual, augmented or mixed reality, 5G, and new communicative logics. The possibilities it offers go beyond being video games, through them we can have fun, socialize, work, do business, and buy almost anything. Professionals in marketing, communication, and branding professionals should pay attention to the metaverse because it will be another revolution in their market, just as social networks were in their time. That is also why administrations and political parties are making their way into this disruptive environment. As analyzed in this paper, there are several politicians and institutions that have begun to understand the relevance of the metaverse and other virtual spaces in the lives of their voters and do not want to miss this new opportunity to expand their electoral returns.</t>
  </si>
  <si>
    <t>2190-3018</t>
  </si>
  <si>
    <t>2190-3026</t>
  </si>
  <si>
    <t>978-981-19-6346-9; 978-981-19-6347-6</t>
  </si>
  <si>
    <t>10.1007/978-981-19-6347-6_29</t>
  </si>
  <si>
    <t>WOS:000921943800029</t>
  </si>
  <si>
    <t>Abbate, S; Centobelli, P; Cerchione, R; Oropallo, E; Riccio, E</t>
  </si>
  <si>
    <t>Abbate, Stefano; Centobelli, Piera; Cerchione, Roberto; Oropallo, Eugenio; Riccio, Emanuela</t>
  </si>
  <si>
    <t>A first bibliometric literature review on Metaverse</t>
  </si>
  <si>
    <t>2022 IEEE TECHNOLOGY AND ENGINEERING MANAGEMENT CONFERENCE (TEMSCON EUROPE)</t>
  </si>
  <si>
    <t>IEEE-Technology-and-Engineering-Management-Society (IEEE TEMS) Technology and Engineering Management Conference - Europe (IEEE TEMSCON EUROPE)</t>
  </si>
  <si>
    <t>APR 25-29, 2022</t>
  </si>
  <si>
    <t>Izmir, TURKEY</t>
  </si>
  <si>
    <t>IEEE Technol &amp; Engn Management Soc</t>
  </si>
  <si>
    <t>The term Metaverse first appeared in Neal Stephenson's 1992 science fiction novel Snow Crash. It was defined as a virtual environment shared through the Internet in which avatars represent persons in three dimensions and users can build what they wish. Since the publication of Stephenson's novel, technology advances have enabled the creation of several Metaverses for popular usage, such as virtual world platforms like World of Warcraft and Second Life. This paper aims to review studies on the Metaverse using bibliometric analysis. The findings include a summary of the most important scientific articles and journals in the subject area, as well as the most prolific and prominent authors, organisations, and nations. Furthermore, keyword co-occurrence analysis revealed the core research clusters and their sub-themes, allowing for more pertinent debates and viewpoints on vital areas for future research. Finally, the implications for theory and practice have been addressed, offering a comprehensive overview of expected Metaverse impacts on industry and society.</t>
  </si>
  <si>
    <t>Abbate, Stefano/HRD-2704-2023; Oropallo, Eugenio/GZG-9710-2022; Riccio, Emanuela/HHD-0578-2022</t>
  </si>
  <si>
    <t xml:space="preserve">Abbate, Stefano/0000-0002-0801-2984; </t>
  </si>
  <si>
    <t>978-1-6654-8313-1</t>
  </si>
  <si>
    <t>10.1109/TEMSCONEUROPE54743.2022.9802015</t>
  </si>
  <si>
    <t>WOS:000851402000041</t>
  </si>
  <si>
    <t>Cooksey, T</t>
  </si>
  <si>
    <t>Cooksey, Tommy</t>
  </si>
  <si>
    <t>Siemens, Nvidia Enabling the Industrial Metaverse</t>
  </si>
  <si>
    <t>MANUFACTURING ENGINEERING</t>
  </si>
  <si>
    <t>0361-0853</t>
  </si>
  <si>
    <t>WOS:000908536400014</t>
  </si>
  <si>
    <t>Let's Rename Everything the Metaverse!</t>
  </si>
  <si>
    <t>10.1109/MC.2021.3130480</t>
  </si>
  <si>
    <t>WOS:000769986500018</t>
  </si>
  <si>
    <t>Wu, LY; Yu, RJ; Su, W; Ye, SS</t>
  </si>
  <si>
    <t>Wu, Lingyi; Yu, Riji; Su, Wei; Ye, Shishu</t>
  </si>
  <si>
    <t>Design and implementation of a metaverse platform for traditional culture: the chime bells of Marquis Yi of Zeng</t>
  </si>
  <si>
    <t>Metaverse platforms have become increasingly prevalent for collaboration in virtual environments. Metaverse platforms, as opposed to virtual reality, augmented reality, and mixed reality, expand with enhanced social meanings within virtual worlds. The research object in this study is the chime bells of Marquis Yi of Zeng, one of China's most treasured cultural heritage sites. We aimed to create a metaverse platform for the chime bells of Marquis Yi of Zeng to provide visitors with a highly immersive and interactive experience. First, we collected the materials and data of the chime bells and other exhibits, as well as historical information. Then, the data were processed and integrated for 3D model reconstruction. In addition, we designed the virtual roaming system through which visitors could interact with the exhibits to obtain multimedia information and even knock to ring the chime bells. Finally, we built our system to connect multiple visitors in different geographic locations and encourage them to collaborate and communicate within the virtual space. This platform helps users visualize cultural heritage, simulates real-life tour experiences with intuitive manners of interaction, and motivates visitors' interest in traditional culture. This research also reveals the potential use of metaverse-related techniques in cultural heritage sectors.</t>
  </si>
  <si>
    <t>NOV 25</t>
  </si>
  <si>
    <t>10.1186/s40494-022-00828-w</t>
  </si>
  <si>
    <t>WOS:000887904200001</t>
  </si>
  <si>
    <t>Pathania, YS</t>
  </si>
  <si>
    <t>Pathania, Yashdeep Singh</t>
  </si>
  <si>
    <t>The scope of metaverse in dermatology</t>
  </si>
  <si>
    <t>INTERNATIONAL JOURNAL OF DERMATOLOGY</t>
  </si>
  <si>
    <t>/0000-0003-3462-1625</t>
  </si>
  <si>
    <t>0011-9059</t>
  </si>
  <si>
    <t>1365-4632</t>
  </si>
  <si>
    <t>10.1111/ijd.16604</t>
  </si>
  <si>
    <t>WOS:000921818900001</t>
  </si>
  <si>
    <t>Jaleel, S</t>
  </si>
  <si>
    <t>Jaleel, Sherwin</t>
  </si>
  <si>
    <t>The Metaverse - A universe of human digital clones</t>
  </si>
  <si>
    <t>The Metaverse is ubiquitously characterized as a 3D environment where augmented reality and virtual reality technologies bring to bear the virtual worlds of avatars. Prominent voices from the technology industry envision the Metaverse to replace the current makeup of the internet. Some even go as far as proposing it as a universe where humans in the future will live. This paper discusses a technical approach where the digital representations in the Metaverse will not be limited to the caricatures of people's appearance but can also be digital clones of their intellect. The strides in software technology and sophisticated forms of artificial intelligence present a framework that enables us to digitally clone aspects of human beings, such as voice and intellect. This paper investigates the hypothesis of building an artificial intelligence model with a person's digitized intellect and voice. The investigation focuses on the domain of an evangelic Church. It explores if a pastor's voice and preaching intellect can be cloned digitally with the supposition that such a digital clone that preaches sermons can be deployed to a Church that operates in the Metaverse.</t>
  </si>
  <si>
    <t>10.1109/MetroXRAINE54828.2022.9967489</t>
  </si>
  <si>
    <t>WOS:000947347200015</t>
  </si>
  <si>
    <t>Ding, SS; Kou, L; Wu, T</t>
  </si>
  <si>
    <t>Ding, Shanshuo; Kou, Liang; Wu, Ting</t>
  </si>
  <si>
    <t>A GAN-Based Intrusion Detection Model for 5G Enabled Future Metaverse</t>
  </si>
  <si>
    <t>MOBILE NETWORKS &amp; APPLICATIONS</t>
  </si>
  <si>
    <t>Metaverse is a future virtual reality technology, and Internet of Things(Iot)is one of its important components. For the metaverse security problem under the future 5G mobile network, this paper proposes a metaverse network intrusion detection model based on the underlying technology of metaverse, the Internet of Things. The model is a hybrid intrusion detection model based on Generative Adversarial Network (GAN). The GAN generator and discriminator are alternately trained based on gradient penalty Wasserstein distance to achieve Nash equilibrium, and the generator learns the real sample distribution features and generate data indistinguishable by the discriminator to enrich the dataset and improve its imbalance. At the same time, this paper combines the deep autoencoder (DAE) and random forest (RF) algorithms on the basis of GAN to construct a hybrid abnormal traffic detection model. DAE optimizes parameters through Back Propagation(BP) algorithm to obtain optimal dimensionality reduction data, which is used to optimize the model training process and improve training efficiency. Random forest constructs nodes by calculating Gini coefficient and random sampling with replacement, and synthesizes the judgment results of multiple sub-decision trees to determine the final classification result. The accuracy of the model proposed in this paper reaches 99.8% and 99.6% in the binary classification and multiple classification experiments.</t>
  </si>
  <si>
    <t>Liang, Kou/0000-0002-4625-4271</t>
  </si>
  <si>
    <t>1383-469X</t>
  </si>
  <si>
    <t>1572-8153</t>
  </si>
  <si>
    <t>10.1007/s11036-022-02075-6</t>
  </si>
  <si>
    <t>WOS:000910161300001</t>
  </si>
  <si>
    <t>Will Metaverse become a more exciting place to listen to streaming music for mental health?</t>
  </si>
  <si>
    <t>In this article, the author provides several points of view regarding some of the advantages of the existence of Metaverse on music streaming, especially as a healing medicine for mental health. It is hoped that it can provide another viewpoint from the five key themes, or a series of criticisms that have been discussed in the previous article.</t>
  </si>
  <si>
    <t>10.1093/pubmed/fdac136</t>
  </si>
  <si>
    <t>WOS:000893222100001</t>
  </si>
  <si>
    <t>Lee, HJ; Gu, HH</t>
  </si>
  <si>
    <t>Lee, Han Jin; Gu, Hyun Hee</t>
  </si>
  <si>
    <t>Empirical Research on the Metaverse User Experience of Digital Natives</t>
  </si>
  <si>
    <t>The metaverse has been settled as a platform that is widely beloved by digital natives that are familiar with mobile devices and immersive contents. Thanks to the protocol enabling hedonic interaction, the user experience provides significant value from its communication, enabling learning experiences anytime and anywhere. However, the research topics are focused on the promotions of technology development, marketing effects, and relevant investment consensus. Surprisingly, the biggest problem was the lack of research from the perspective of the young generation, who mainly use the metaverse. This paper intends to examine the usability of digital native participants in detail and suggest how immersive contents, usage environment, and interface aspects should be designed from their point of view. As a result, the significant engagement factors and improvements, through heuristic usability evaluation considering content and user control, were discovered from individual interviews. Conversely, the elements to be supplemented in user experience were derived from information architecture and usage environment categories. In conclusion, the theoretical basis of the empirical usability evaluation on metaverse platforms and following recommendations with practical implications could gain more importance from this research.</t>
  </si>
  <si>
    <t>10.3390/su142214747</t>
  </si>
  <si>
    <t>WOS:000887808800001</t>
  </si>
  <si>
    <t>Chen, SC</t>
  </si>
  <si>
    <t>Chen, Shu-Ching</t>
  </si>
  <si>
    <t>Multimedia Research Toward the Metaverse</t>
  </si>
  <si>
    <t>IEEE MULTIMEDIA</t>
  </si>
  <si>
    <t>Metaverse, a set of fully immersive digital worlds where people can interact with one another using three-dimensional (3-D) avatars, is poised to become an increasingly popular modality to communicate with others. Many in the space consider it an evolution of the Internet, with augmented and virtual reality headsets providing the hardware to both visualize and interact with it. However, creating custom 3-D content and environments for a digital world can be extremely time-consuming and costly compared to typical web pages. To this end, research in procedural content generation is required to empower the efficient creation of high-quality multimedia contents for the metaverse. One other core concern when creating a fully decentralized metaverse is the need to download relevant environments on demand as people traverse across different worlds. Further research by the multimedia community on efficient multimedia networking, storage, and compression is necessary to ensure that digital worlds remain easily accessible to others.</t>
  </si>
  <si>
    <t>Chen, Shu-Ching/0000-0001-9209-390X</t>
  </si>
  <si>
    <t>1070-986X</t>
  </si>
  <si>
    <t>1941-0166</t>
  </si>
  <si>
    <t>JAN 1</t>
  </si>
  <si>
    <t>10.1109/MMUL.2022.3156185</t>
  </si>
  <si>
    <t>WOS:000803109900021</t>
  </si>
  <si>
    <t>Zhang, MM; Wang, Y; Zhou, JH; Pan, ZG</t>
  </si>
  <si>
    <t>Zhang, Mingmin; Wang, Yuan; Zhou, Jiehan; Pan, Zhigeng</t>
  </si>
  <si>
    <t>SimuMan: A Simultaneous Real-Time Method for Representing Motions and Emotions of Virtual Human in Metaverse</t>
  </si>
  <si>
    <t>Metaverse is the next generation gaming Internet, and virtual humans play an important role in Metaverse. The simultaneous representation of motions and emotions of virtual humans attracts more attention in academics and industry, which significantly improves user experience with the vivid continuous simulation of virtual humans. Different from existing work which only focuses on either the expression of facial expressions or body motions, this paper presents a novel and real-time virtual human prototyping system, which enables a simultaneous realtime expression of motions and emotions of virtual humans (short for SimuMan). SimuMan not only enables users to generate personalized virtual humans in the metaverse world, but also enables them to naturally and simultaneously present six facial expressions and ten limb motions, and continuously generate various facial expressions by setting parameters. We evaluate SimuMan objectively and subjectively to demonstrate its fidelity, naturalness, and real-time. The experimental results show that the SimuMan system is characterized by low latency, good interactivity, easy operation, good robustness, and wide application.</t>
  </si>
  <si>
    <t>10.1007/978-3-030-96068-1_6</t>
  </si>
  <si>
    <t>WOS:000772174700006</t>
  </si>
  <si>
    <t>Wu, YS; Zhu, YS; Wang, LY; Wu, B</t>
  </si>
  <si>
    <t>Fortino, G; Gravina, R; Guerrieri, A; Savaglio, C</t>
  </si>
  <si>
    <t>Wu, Yeshan; Zhu, Yishui; Wang, Luyang; Wu, Bo</t>
  </si>
  <si>
    <t>An Emergency Rescue System Architecture Based on Metaverse</t>
  </si>
  <si>
    <t>2022 IEEE INTL CONF ON DEPENDABLE, AUTONOMIC AND SECURE COMPUTING, INTL CONF ON PERVASIVE INTELLIGENCE AND COMPUTING, INTL CONF ON CLOUD AND BIG DATA COMPUTING, INTL CONF ON CYBER SCIENCE AND TECHNOLOGY CONGRESS (DASC/PICOM/CBDCOM/CYBERSCITECH)</t>
  </si>
  <si>
    <t>IEEE Intl Conf on Dependable, Autonomic and Secure Computing, Intl Conf on Pervasive Intelligence and Computing, Intl Conf on Cloud and Big Data Computing, Intl Conf on Cyber Science and Technology Congress (DASC/PiCom/CBDCom/CyberSciTech)</t>
  </si>
  <si>
    <t>SEP 12-15, 2022</t>
  </si>
  <si>
    <t>Falerna, ITALY</t>
  </si>
  <si>
    <t>The imperfect staffing in pre-hospital first aid and the unreasonable dispatching of ambulances pose a threat to the life and health of the public. In order to solve the above problems, this paper proposes an emergency rescue system based on metaverse, which adds the function of personal doctor on the basis of the shared vehicle scheduling system based on blockchain. Metaverse is the fusion and interaction between the virtual and the real world, with blockchain, smart contracts, and other main technologies. Through the combination of metaverse and intelligent doctor assistant, the function and use process of personal doctor are designed. This paper also proposes an insurance-like payment mechanism, which is based on the premise of controlling the packing order of transactions in the blockchain by controlling the level of Gas Price and solving the problem of who pays and how to pay the transaction fee of the system. It not only ensures the normal operation of emergency rescue activities but also protects the interests of each node in the blockchain.</t>
  </si>
  <si>
    <t>978-1-6654-6297-6</t>
  </si>
  <si>
    <t>10.1109/DASC/PiCom/CBDCom/Cy55231.2022.9927997</t>
  </si>
  <si>
    <t>WOS:000948109800130</t>
  </si>
  <si>
    <t>Elmer, NA; Hassell, N; Comer, CD; Bustos, V; Lin, SJ</t>
  </si>
  <si>
    <t>Elmer, Nicholas A.; Hassell, Natalie; Comer, Carly D.; Bustos, Valeria; Lin, Samuel J.</t>
  </si>
  <si>
    <t>Plastic Surgery in the Metaverse</t>
  </si>
  <si>
    <t>PLASTIC SURGERY</t>
  </si>
  <si>
    <t>Comer, Carly/0000-0002-7016-0048; Hassell, Natalie/0000-0001-7613-7300; Elmer, Nicholas/0000-0002-4878-3660</t>
  </si>
  <si>
    <t>2292-5503</t>
  </si>
  <si>
    <t>2292-5511</t>
  </si>
  <si>
    <t>10.1177/22925503221109714</t>
  </si>
  <si>
    <t>WOS:000822083400001</t>
  </si>
  <si>
    <t>Smith, R</t>
  </si>
  <si>
    <t>Smith, Roger</t>
  </si>
  <si>
    <t>NPD with the Metaverse, NFTs, and Crypto</t>
  </si>
  <si>
    <t>RESEARCH-TECHNOLOGY MANAGEMENT</t>
  </si>
  <si>
    <t>0895-6308</t>
  </si>
  <si>
    <t>1930-0166</t>
  </si>
  <si>
    <t>SEP 3</t>
  </si>
  <si>
    <t>10.1080/08956308.2022.2090182</t>
  </si>
  <si>
    <t>WOS:000841677400008</t>
  </si>
  <si>
    <t>Wongkitrungrueng, A; Suprawan, L</t>
  </si>
  <si>
    <t>Wongkitrungrueng, Apiradee; Suprawan, Lokweetpun</t>
  </si>
  <si>
    <t>Metaverse Meets Branding: Examining Consumer Responses to Immersive Brand Experiences</t>
  </si>
  <si>
    <t>The metaverse connects the physical and digital worlds to improve the consumer experience, but little is known about how consumers respond to branded virtual worlds in real life. This study proposes a model to investigate the influence of metaverse experiential value on consumer's brand perception and behavioral responses in the virtual and real world. The covariance-based SEM analysis was conducted based on data from 702 Thai users of Asia's largest metaverse platform. Results revealed that all three dimensions of value indirectly affect consumer-brand engagement (CBE) through brand image and virtual purchase intention. Hedonic value had no direct effect on consumer responses, but on symbolic and utilitarian value which in turn influences CBE and virtual purchase respectively. As one of the first empirical studies on metaverse brand experience, this study contributed by incorporating multidimensional and interrelated experiential value and examining the mediating role of brand image and virtual purchase. The findings suggest brand design the branded virtual environment to facilitate consumer learning and virtual ownership, and align virtual merchandise and store ambiance with the real world to unify the brand image in both worlds.</t>
  </si>
  <si>
    <t>Suprawan, Lokweetpun/0000-0002-3144-075X</t>
  </si>
  <si>
    <t>10.1080/10447318.2023.2175162</t>
  </si>
  <si>
    <t>WOS:000929338400001</t>
  </si>
  <si>
    <t>Qiu, CS; Majeed, A; Khan, S; Watson, M</t>
  </si>
  <si>
    <t>Qiu, Connor S.; Majeed, Azeem; Khan, Sadhia; Watson, Mando</t>
  </si>
  <si>
    <t>Transforming health through the metaverse</t>
  </si>
  <si>
    <t>JOURNAL OF THE ROYAL SOCIETY OF MEDICINE</t>
  </si>
  <si>
    <t>Majeed, Azeem/0000-0002-2357-9858; Qiu, Connor/0000-0002-7314-1504</t>
  </si>
  <si>
    <t>0141-0768</t>
  </si>
  <si>
    <t>1758-1095</t>
  </si>
  <si>
    <t>10.1177/01410768221144763</t>
  </si>
  <si>
    <t>WOS:000905471000006</t>
  </si>
  <si>
    <t>Joshi, S; Pramod, PJ</t>
  </si>
  <si>
    <t>Joshi, Swati; Pramod, P. J.</t>
  </si>
  <si>
    <t>A Collaborative Metaverse based A-La-Carte Framework for Tertiary Education (CO-MATE)</t>
  </si>
  <si>
    <t>The paper aims to propose a futuristic educational and learning framework called CO-MATE (Collaborative Metaverse-based A-La-Carte Framework for Tertiary Education). The architectural framework of CO-MATE was conceptualized in a four-layered approach which depicts various infrastructure and service layer functionalities. CO-MATE is a technologically driven educational metaverse environment involving loosely coupled building blocks to provide an a-la-carte model for platform designers. For this, the authors had undertaken a systematic mapping study of the pre/post-COVID period to review the application of various emerging technologies. Further, the paper also discusses the core attributes and component offerings of CO-MATE for a technology-driven and automated immersive-learning environment and exemplifies the same through various use cases.</t>
  </si>
  <si>
    <t>e13424</t>
  </si>
  <si>
    <t>10.1016/j.heliyon.2023.e13424</t>
  </si>
  <si>
    <t>WOS:000968489800001</t>
  </si>
  <si>
    <t>Deveci, M; Mishra, AR; Gokasar, I; Rani, P; Pamucar, D; Ozcan, E</t>
  </si>
  <si>
    <t>Deveci, Muhammet; Mishra, Arunodaya Raj; Gokasar, Ilgin; Rani, Pratibha; Pamucar, Dragan; Ozcan, Ender</t>
  </si>
  <si>
    <t>A Decision Support System for Assessing and Prioritizing Sustainable Urban Transportation in Metaverse</t>
  </si>
  <si>
    <t>IEEE TRANSACTIONS ON FUZZY SYSTEMS</t>
  </si>
  <si>
    <t>Blockchain technology and metaverse advancements allow people to create virtual personalities and spend time online. Integrating public transportation into the metaverse could improve services and collect user data. This article introduces a hybrid decision-making framework for prioritizing sustainable public transportation in Metaverse under q-rung orthopair fuzzy set (q-ROFS) context. In this regard, first, q-rung orthopair fuzzy (q-ROF) generalized Dombi weighted aggregation operators and their characteristics are developed to aggregate the q-ROF information. Second, a q-ROF information-based method using the removal effects of criteria and stepwise weight assessment ratio analysis models are proposed to find the objective and subjective weights of criteria, respectively. Then, a combined weighting model is taken to determine the final weights of the criteria. Third, the weighted sum product method is extended to q-ROFS context by considering the double normalization procedures, the proposed operators and integrated weighting model. This method has taken the advantages of two normalization processes and four utility measures that approve the effect of benefit and cost criteria by using weighted sum and weighted product models. Next, to demonstrate the practicality and effectiveness of the presented method, a case study of sustainable public transportation in metaverse is presented in the context of q-ROFSs. The findings of this article confirms that the proposed model can recommend more feasible performance while facing numerous influencing factors and input uncertainties, and thus, provides a wider range of applications.</t>
  </si>
  <si>
    <t>GOKASAR, ILGIN/N-7044-2016; Pamucar, Dragan/AAG-8288-2019; Deveci, Muhammet/V-8347-2017; MISHRA, ARUNODAYA RAJ/P-1562-2017; Rani, Pratibha/A-5308-2018</t>
  </si>
  <si>
    <t>GOKASAR, ILGIN/0000-0001-9896-9220; Pamucar, Dragan/0000-0001-8522-1942; Deveci, Muhammet/0000-0002-3712-976X; MISHRA, ARUNODAYA RAJ/0000-0001-9949-5813; Rani, Pratibha/0000-0002-9186-4167</t>
  </si>
  <si>
    <t>1063-6706</t>
  </si>
  <si>
    <t>1941-0034</t>
  </si>
  <si>
    <t>10.1109/TFUZZ.2022.3190613</t>
  </si>
  <si>
    <t>WOS:000967270300001</t>
  </si>
  <si>
    <t>Daneshfar, F; Jamshidi, M</t>
  </si>
  <si>
    <t>Daneshfar, Fatemeh; Jamshidi, Mohammad (Behdad)</t>
  </si>
  <si>
    <t>An octonion-based nonlinear echo state network for speech emotion recognition in Metaverse</t>
  </si>
  <si>
    <t>NEURAL NETWORKS</t>
  </si>
  <si>
    <t>While the Metaverse is becoming a popular trend and drawing much attention from academia, society, and businesses, processing cores used in its infrastructures need to be improved, particularly in terms of signal processing and pattern recognition. Accordingly, the speech emotion recognition (SER) method plays a crucial role in creating the Metaverse platforms more usable and enjoyable for its users. However, existing SER methods continue to be plagued by two significant problems in the online environment. The shortage of adequate engagement and customization between avatars and users is recognized as the first issue and the second problem is related to the complexity of SER problems in the Metaverse as we face people and their digital twins or avatars. This is why developing efficient machine learning (ML) techniques specified for hypercomplex signal processing is essential to enhance the impressiveness and tangibility of the Metaverse platforms. As a solution, echo state networks (ESNs), which are an ML powerful tool for SER, can be an appropriate technique to enhance the Metaverse's foundations in this area. Nevertheless, ESNs have some technical issues restricting them from a precise and reliable analysis, especially in the aspect of high-dimensional data. The most significant limitation of these networks is the high memory consumption caused by their reservoir structure in face of high -dimensional signals. To solve all problems associated with ESNs and their application in the Metaverse, we have come up with a novel structure for ESNs empowered by octonion algebra called NO2GESNet. Octonion numbers have eight dimensions, compactly display high-dimensional data, and improve the network precision and performance in comparison to conventional ESNs. The proposed network also solves the weaknesses of the ESNs in the presentation of the higher-order statistics to the output layer by equipping it with a multidimensional bilinear filter. Three comprehensive scenarios to use the proposed network in the Metaverse have been designed and analyzed, not only do they show the accuracy and performance of the proposed approach, but also the ways how SER can be employed in the Metaverse platforms.(c) 2023 Elsevier Ltd. All rights reserved.</t>
  </si>
  <si>
    <t>daneshfar, fatemeh/0000-0003-3150-3527</t>
  </si>
  <si>
    <t>0893-6080</t>
  </si>
  <si>
    <t>1879-2782</t>
  </si>
  <si>
    <t>10.1016/j.neunet.2023.03.026</t>
  </si>
  <si>
    <t>WOS:000978764100001</t>
  </si>
  <si>
    <t>Han, QL</t>
  </si>
  <si>
    <t>Han, Qing-Long</t>
  </si>
  <si>
    <t>Editorial: The Era of Quality and Metaverse</t>
  </si>
  <si>
    <t>IEEE-CAA JOURNAL OF AUTOMATICA SINICA</t>
  </si>
  <si>
    <t>2329-9266</t>
  </si>
  <si>
    <t>2329-9274</t>
  </si>
  <si>
    <t>10.1109/JAS.2023.123003</t>
  </si>
  <si>
    <t>WOS:000965746900001</t>
  </si>
  <si>
    <t>Zytko, D; Chan, J</t>
  </si>
  <si>
    <t>Zytko, Douglas; Chan, Jonathan</t>
  </si>
  <si>
    <t>The Dating Metaverse: Why We Need to Design for Consent in Social VR</t>
  </si>
  <si>
    <t>IEEE TRANSACTIONS ON VISUALIZATION AND COMPUTER GRAPHICS</t>
  </si>
  <si>
    <t>This paper presents a participatory design study about how consent to interaction and observation of other users can be supported in social VR. We use emerging VR dating applications, colloquially called the dating metaverse, as context for study of harm-mitigative design structures in social VR given the evidence of harms that occur through dating apps and general social VR applications individually, and the harms that may occur through their convergence. Through design workshops with potential dating metaverse users in the Midwest United States (n=18) we elucidate nonconsensual experiences that should be prevented and participant-created designs for informing and exchanging consent in VR. We position consent as a valuable lens for which to design preventative solutions to harm in social VR by reframing harm as unwanted experiences that happen because of the absence of mechanics to support users in giving and denying agreement to a virtual experience before it occurs.</t>
  </si>
  <si>
    <t>1077-2626</t>
  </si>
  <si>
    <t>1941-0506</t>
  </si>
  <si>
    <t>10.1109/TVCG.2023.3247065</t>
  </si>
  <si>
    <t>WOS:000965693300001</t>
  </si>
  <si>
    <t>Hu, QY</t>
  </si>
  <si>
    <t>Hu, Qiyuan</t>
  </si>
  <si>
    <t>Towards a virtual business ecosystem in the Metaverse Era</t>
  </si>
  <si>
    <t>2022 IEEE INTERNATIONAL SYMPOSIUM ON MIXED AND AUGMENTED REALITY ADJUNCT (ISMAR-ADJUNCT 2022)</t>
  </si>
  <si>
    <t>IEEE International Symposium on Mixed and Augmented Reality Workshops</t>
  </si>
  <si>
    <t>21st IEEE International Symposium on Mixed and Augmented Reality (ISMAR)</t>
  </si>
  <si>
    <t>OCT 17-22, 2022</t>
  </si>
  <si>
    <t>Singapore, SINGAPORE</t>
  </si>
  <si>
    <t>IEEE,IEEE Comp Soc,IEEE VGTC,ACM SIGGRAPH,Zoom,Qualcomm,Nvidia,Oppo,Advent2 Labs Consultat,Serl Io,Hiverlab</t>
  </si>
  <si>
    <t>The emergence of new business ecosystem such as virtual economy and digital economy has transformed traditional economic thinking and brought new opportunities for the development. Today, the global economy is gradually recovering from the COVID-19 pandemic, but the coexistence and collision of real-world and online activities still exist, so by analyzing the experience of using individuals, the trust of the community, and the conflict and integration between the two, it may provide a good business ecosystem for Metaverse Era.</t>
  </si>
  <si>
    <t>2771-1102</t>
  </si>
  <si>
    <t>2771-1110</t>
  </si>
  <si>
    <t>978-1-6654-5365-3</t>
  </si>
  <si>
    <t>10.1109/ISMAR-Adjunct57072.2022.00016</t>
  </si>
  <si>
    <t>WOS:000918030200007</t>
  </si>
  <si>
    <t>McWilliam, A; Scarfe, P</t>
  </si>
  <si>
    <t>McWilliam, A.; Scarfe, P.</t>
  </si>
  <si>
    <t>The Metaverse and Oncology</t>
  </si>
  <si>
    <t>CLINICAL ONCOLOGY</t>
  </si>
  <si>
    <t>0936-6555</t>
  </si>
  <si>
    <t>1433-2981</t>
  </si>
  <si>
    <t>10.1016/j.clon.2022.06.011</t>
  </si>
  <si>
    <t>WOS:000938723500001</t>
  </si>
  <si>
    <t>Akkara, JD; Kuriakose, A</t>
  </si>
  <si>
    <t>Akkara, John D.; Kuriakose, Anju</t>
  </si>
  <si>
    <t>Commentary: Opening eyes to the mixed reality metaverse</t>
  </si>
  <si>
    <t>INDIAN JOURNAL OF OPHTHALMOLOGY</t>
  </si>
  <si>
    <t>0301-4738</t>
  </si>
  <si>
    <t>1998-3689</t>
  </si>
  <si>
    <t>10.4103/ijo.IJO_847_22</t>
  </si>
  <si>
    <t>WOS:000847240800071</t>
  </si>
  <si>
    <t>Jovanovic, A; Milosavljevic, A</t>
  </si>
  <si>
    <t>Jovanovic, Aleksandar; Milosavljevic, Aleksandar</t>
  </si>
  <si>
    <t>VoRtex Metaverse Platform for Gamified Collaborative Learning</t>
  </si>
  <si>
    <t>Metaverse platforms are becoming an increasingly popular form of collaboration within virtual worlds. Such platforms provide users with the ability to build virtual worlds that can simulate real-life experiences through different social activities. In the paper, we introduce a novel platform that provides assistive tools for building an educational experience in virtual worlds and overcoming the boundaries caused by pandemic situations. Therefore, the authors developed a high-level software architecture and design for a metaverse platform named VoRtex. VoRtex is primarily designed to support collaborative learning activities with the virtual environment. It is designed to support educational standards and it represents an open-source accessible solution developed using modern technology stack and metaverse concepts. For this study, we conducted a comparative analysis of the implemented VoRtex prototype and some popular virtual world platforms using Mannien's matrix. Afterwards, based on the comparison, we evaluated the potential of the chosen virtual world platform and the VoRtex platform for online education. After an interactive demonstration of the VoRtex platform, participants were asked to fill out a questionnaire form. The aim was to enable participants to identify the main advantages of online teaching using the VoRtex platform. Finally, the authors analyzed benefits and disadvantages of collaborative learning between the metaverse platform and real-world classroom sessions.</t>
  </si>
  <si>
    <t>Milosavljevic, Aleksandar/0000-0003-3057-7727; Jovanovic, Aleksandar/0000-0002-1114-7353</t>
  </si>
  <si>
    <t>10.3390/electronics11030317</t>
  </si>
  <si>
    <t>WOS:000754788300001</t>
  </si>
  <si>
    <t>Zhu, WJ; Chang, H; Hong, Y; Wang, X; Langdale, G; Qiu, K; Zhang, MY</t>
  </si>
  <si>
    <t>Zhu, Wenjun; Chang, Harry; Hong, Yang; Wang, Xiang; Langdale, Geoff; Qiu, Kun; Zhang, Mingyi</t>
  </si>
  <si>
    <t>Hyperverse: A High Throughput Pattern Matching Engine for Metaverse</t>
  </si>
  <si>
    <t>Cyberspace has continued to evolve since the Internet became widespread in the 1990s. A variety of computer-mediated virtual environments have been created, including social networks, video conferencing, virtual 3D worlds (e.g., VR chat), augmented reality applications (e.g., Ingress), and non-fungible token games. Such virtual environments, while not permanent and incoherent, have brought us varying degrees of digital transformation. The term metaverse was devised to further facilitate the digital transformation of all aspects of our physical lives. With the increasing number of devices and users such as IoT, augmented reality and virtual reality glass connected to the metaverse, huge amounts of data need to be filtered or captured for metaverse security or user behavior analysis by utilizing pattern matching. However, directly utilizing the existing pattern matching engine is impossible since it cannot achieve the throughput that is required by the metaverse, where low throughput could cause poor user experiences. Thus, in this paper. we propose a new pattern matching design called Hyperverse. Hyperverse can significantly increase the throughput of pattern matching by designing a new algorithm that is based on instruction-level parallelism. We implement Hyperverse in Hyperscan. which is the fastest regular expression engine in the world. Compared with the existing solution, Hyperverse can achieve a throughput of up to 10.1Gbps per core, which is a 3.83x boost than the existing solution. Thus, the significantly increased throughput will prevent a negative impact on the user experience in the metaverse.</t>
  </si>
  <si>
    <t>10.1109/ICDCSW56584.2022.00054</t>
  </si>
  <si>
    <t>WOS:000895984800045</t>
  </si>
  <si>
    <t>Huynh-The, T; Pham, QV; Pham, XQ; Nguyen, TT; Han, Z; Kim, DS</t>
  </si>
  <si>
    <t>Huynh-The, Thien; Pham, Quoc-Viet; Pham, Xuan-Qui; Nguyen, Thanh Thi; Han, Zhu; Kim, Dong-Seong</t>
  </si>
  <si>
    <t>Artificial intelligence for the metaverse: A survey</t>
  </si>
  <si>
    <t>ENGINEERING APPLICATIONS OF ARTIFICIAL INTELLIGENCE</t>
  </si>
  <si>
    <t>Along with the massive growth of the Internet from the 1990s until now, various innovative technologies have been created to bring users breathtaking experiences with more virtual interactions in cyberspace. Many virtual environments have been developed with immersive experience and digital transformation, but most are incoherent instead of being integrated into a platform. In this context, metaverse has been introduced as a shared virtual world that is fueled by many emerging technologies. Among such technologies, artificial intelligence (AI) has shown the great importance of enhancing immersive experience and enabling human-like intelligence of virtual agents. In this survey, we make a beneficial effort to explore the role of AI, including machine learning algorithms and deep learning architectures, in the foundation and development of the meta -verse. As the main contributions, we convey a comprehensive investigation of AI-based methods concerning several technical aspects (e.g., natural language processing, machine vision, blockchain, networking, digital twin, and neural interface) that have potentials to build virtual worlds in the metaverse. Furthermore, several primary AI-aided applications, including healthcare, manufacturing, smart cities, and gaming, are studied to be promisingly deployed in the virtual worlds. Finally, we conclude the key contribution and open some future research directions of AI for the metaverse. Serving as a foundational survey, this work will help researchers, including experts and non-experts in related fields, in applying, developing, and optimizing AI techniques to polish the appearance of virtual worlds and improve the quality of applications built in the metaverse.</t>
  </si>
  <si>
    <t>Huynh-The, Thien/X-1291-2018; PHAM, Quoc-Viet/AAG-2266-2021; wang, wjd/GSD-2051-2022</t>
  </si>
  <si>
    <t>Huynh-The, Thien/0000-0002-9172-2935; PHAM, Quoc-Viet/0000-0002-9485-9216; Nguyen, Thanh Thi/0000-0001-9709-1663; Pham, Xuan Qui/0000-0003-3684-2923</t>
  </si>
  <si>
    <t>0952-1976</t>
  </si>
  <si>
    <t>1873-6769</t>
  </si>
  <si>
    <t>A</t>
  </si>
  <si>
    <t>10.1016/j.engappai.2022.105581</t>
  </si>
  <si>
    <t>WOS:000895150800007</t>
  </si>
  <si>
    <t>Braud, T; Fernandez, CB; Hui, P</t>
  </si>
  <si>
    <t>Braud, Tristan; Fernandez, Carlos Bermejo; Hui, Pan</t>
  </si>
  <si>
    <t>Scaling-up AR: University Campus as a Physical-Digital Metaverse</t>
  </si>
  <si>
    <t>The metaverse promises large-scale and persistent environments for users to share experiences at the intersection between physical and digital. Augmented reality (AR) is one of the primary technologies that supports blending digital content with physical environments. However, most AR applications are currently single-user and present significant constraints in terms of time and location. Scaling up the technology to large-sized environments and massively multi-user experiences thus represents one of the primary challenges to achieving such a vision. Due to these constraints, current proposals for the metaverse primarily consist of virtual worlds with little duality between physical and digital. This paper studies the feasibility of a large-scale and persistent AR experience shared among all visitors on our university campus. We define an integrated framework to enable the first AR campus metaverse by considering the nature of the various environments and the available sensing platforms.</t>
  </si>
  <si>
    <t>10.1109/VRW55335.2022.00044</t>
  </si>
  <si>
    <t>WOS:000808111800035</t>
  </si>
  <si>
    <t>Stoll, C; Gallersdorfer, U; Klaassen, L</t>
  </si>
  <si>
    <t>Stoll, Christian; Gallersdoerfer, Ulrich; Klaassen, Lena</t>
  </si>
  <si>
    <t>Climate impacts of the metaverse</t>
  </si>
  <si>
    <t>JOULE</t>
  </si>
  <si>
    <t>2542-4351</t>
  </si>
  <si>
    <t>DEC 21</t>
  </si>
  <si>
    <t>10.1016/j.joule.2022.10.013</t>
  </si>
  <si>
    <t>WOS:000913282300001</t>
  </si>
  <si>
    <t>Lee, LH</t>
  </si>
  <si>
    <t>Lee, Lik-Hang</t>
  </si>
  <si>
    <t>The Digital Big Bang in the Metaverse Era</t>
  </si>
  <si>
    <t>10.1109/ISMAR-Adjunct57072.2022.00020</t>
  </si>
  <si>
    <t>WOS:000918030200011</t>
  </si>
  <si>
    <t>Zeng, YC; Zeng, LH; Zhang, C; Cheng, AS</t>
  </si>
  <si>
    <t>Zeng, Yingchun; Zeng, Linghui; Zhang, Chong; Cheng, Andy S. K.</t>
  </si>
  <si>
    <t>The metaverse in cancer care: Applications and challenges</t>
  </si>
  <si>
    <t>ASIA-PACIFIC JOURNAL OF ONCOLOGY NURSING</t>
  </si>
  <si>
    <t>2347-5625</t>
  </si>
  <si>
    <t>2349-6673</t>
  </si>
  <si>
    <t>10.1016/j.apjon.2022.100111</t>
  </si>
  <si>
    <t>WOS:000875820400005</t>
  </si>
  <si>
    <t>Huang, XM; Zhong, WF; Nie, JT; Hu, Q; Xiong, ZH; Kang, JW; Quek, TQS</t>
  </si>
  <si>
    <t>Huang, Xumin; Zhong, Weifeng; Nie, Jiangtian; Hu, Qin; Xiong, Zehui; Kang, Jiawen; Quek, Tony Q. S.</t>
  </si>
  <si>
    <t>Joint User Association and Resource Pricing for Metaverse: Distributed and Centralized Approaches</t>
  </si>
  <si>
    <t>2022 IEEE 19TH INTERNATIONAL CONFERENCE ON MOBILE AD HOC AND SMART SYSTEMS (MASS 2022)</t>
  </si>
  <si>
    <t>19th IEEE International Conference on Mobile Ad Hoc and Smart Systems (MASS)</t>
  </si>
  <si>
    <t>OCT 20-22, 2022</t>
  </si>
  <si>
    <t>Denver, CO</t>
  </si>
  <si>
    <t>IEEE,IEEE Comp Soc TCDP</t>
  </si>
  <si>
    <t>Metaverse as the next-generation Internet provides users with physical-virtual world interactions. To improve the quality of immersive experience, users access to Metaverse service providers (MSPs) and purchase bandwidth resource to reduce the communication latency of the Metaverse services. The MSPs decide selling price of the bandwidth resource to maximize the revenue. This leads to a joint user association and resource pricing problem between all users and MSPs. To tackle the problem, we formulate a Stackelberg game where the MSPs are game leaders and users are game followers. We resolve the Stackelberg equilibrium via the distributed and centralized approaches, according to different privacy requirements. In the distributed approach, the MSPs compete against each other to maximize the individual revenue, and a user selects an MSP in a probabilistic manner. The Stackelberg equilibrium is achieved in a privacy-friendly way. In the centralized approach, all MSPs and users accept the unified management and their strategies are instructed. The centralized approach acquires the superior decision-making performance but sacrifices the privacy of the game players. Finally, we provide numerical results to demonstrate the effectiveness and efficiency of our schemes.</t>
  </si>
  <si>
    <t>Hu, Qin/AFL-7875-2022</t>
  </si>
  <si>
    <t>Hu, Qin/0000-0002-8847-8345</t>
  </si>
  <si>
    <t>978-1-6654-7180-0</t>
  </si>
  <si>
    <t>10.1109/MASS56207.2022.00077</t>
  </si>
  <si>
    <t>WOS:000925366900068</t>
  </si>
  <si>
    <t>Ryu, J; Son, S; Lee, J; Park, Y; Park, Y</t>
  </si>
  <si>
    <t>Ryu, Jongseok; Son, Seunghwan; Lee, Joonyoung; Park, Yohan; Park, Youngho</t>
  </si>
  <si>
    <t>Design of Secure Mutual Authentication Scheme for Metaverse Environments Using Blockchain</t>
  </si>
  <si>
    <t>During the COVID-19 pandemic, engagement in various remote activities such as online education and meetings has increased. However, since the conventional online environments typically provide simple streaming services using cameras and microphones, there have limitations in terms of physical expression and experiencing real-world activities such as cultural and economic activities. Recently, metaverse environments, three-dimensional virtual reality that use avatars, have attracted increasing attention as a means to solve these problems. Thus, many metaverse platforms such as Roblox, Minecraft, and Fortnite have been emerging to provide various services to users. However, such metaverse environments are potentially vulnerable to various security threats because the users and platform servers communicate through public channels. In addition, sensitive user data such as identity, password, and biometric information are managed by each platform server. In this paper, we design a system model that can guarantee secure communication and transparently manage user identification data in metaverse environments using blockchain technology. We also propose a mutual authentication scheme using biometric information and Elliptic Curve Cryptography (ECC) to provide secure communication between users and platform servers and secure avatar interactions between avatars and avatars. To demonstrate the security of the proposed mutual authentication scheme, we perform informal security analysis, Burrows-Abadi-Needham (BAN) logic, Real-or-Random (ROR) model, and Automated Validation of Internet Security Protocols and Applications (AVISPA). In addition, we compare the computation costs, communication costs, and security features of the proposed scheme with existing schemes in similar environments. The results demonstrate that the proposed scheme has lower computation and communication costs and can provide a wider range of security features than existing schemes. Thus, our proposed scheme can be used to provide secure metaverse environments.</t>
  </si>
  <si>
    <t>PARK, YOHAN/0000-0002-9011-8410; Son, Seunghwan/0000-0002-3198-8467; Lee, JoonYoung/0000-0002-8172-6182; Ryu, jongseok/0000-0002-6795-3442</t>
  </si>
  <si>
    <t>10.1109/ACCESS.2022.3206457</t>
  </si>
  <si>
    <t>WOS:000857320800001</t>
  </si>
  <si>
    <t>Lopez-Belmonte, J; Pozo-Sanchez, S; Lampropoulos, G; Moreno-Guerrero, AJ</t>
  </si>
  <si>
    <t>Lopez-Belmonte, Jesus; Pozo-Sanchez, Santiago; Lampropoulos, Georgios; Moreno-Guerrero, Antonio-Jose</t>
  </si>
  <si>
    <t>Design and validation of a questionnaire for the evaluation of educational experiences in the metaverse in Spanish students (METAEDU)</t>
  </si>
  <si>
    <t>The aim of this study is to design and validate an instrument that allows the evaluation of educational experiences and formative assessment in the metaverse from a holistic perspective. Hence, a research design based on the development of a scale has been used. Three hundred and sixty-two Spanish secondary school students participated in the study, selected through purposive sampling. The instrument created has been subjected to an analysis of content validity, validity by expert judgment, construct validity, and reliability. For data analysis, the SPSS and AMOS programs have been used. An exploratory factor analysis and a confirmatory factor analysis have been performed to determine the construct validity. In addition, the Cronbach's alpha has been calculated to verify the internal consistency of the tool. The results reveal several findings that position the resulting questionnaire as a valid and reliable instrument to evaluate educational experiences and practices in the metaverse. In short, this study has led to the development of a comprehensive evaluation tool at the service of educators or any institution interested in implementing its educational praxis within the metaverse, a field of research that has yet to be explored.</t>
  </si>
  <si>
    <t>Pozo Sanchez, Santiago/0000-0001-8125-4990; Lampropoulos, Georgios/0000-0002-5719-2125; Lopez-Belmonte, Jesus/0000-0003-0823-3370; Moreno-Guerrero, Antonio Jose/0000-0003-3191-2048</t>
  </si>
  <si>
    <t>e11364</t>
  </si>
  <si>
    <t>10.1016/j.heliyon.2022.e11364</t>
  </si>
  <si>
    <t>WOS:000911561600015</t>
  </si>
  <si>
    <t>Pyun, KR; Rogers, JA; Ko, SH</t>
  </si>
  <si>
    <t>Pyun, Kyung Rok; Rogers, John A.; Ko, Seung Hwan</t>
  </si>
  <si>
    <t>Materials and devices for immersive virtual reality</t>
  </si>
  <si>
    <t>NATURE REVIEWS MATERIALS</t>
  </si>
  <si>
    <t>The metaverse may change the way we live and interact with one another, and its potential applications range from entertainment to health care. Extended reality is the main technology to realize the highly realistic, interactive and immersive metaverse experience, and wearable electronic devices and materials are at its core.</t>
  </si>
  <si>
    <t>Ko, Seung Hwan/B-5448-2008</t>
  </si>
  <si>
    <t>Ko, Seung Hwan/0000-0002-7477-0820; Rogers, John/0000-0002-2980-3961</t>
  </si>
  <si>
    <t>2058-8437</t>
  </si>
  <si>
    <t>10.1038/s41578-022-00501-5</t>
  </si>
  <si>
    <t>WOS:000865194500001</t>
  </si>
  <si>
    <t>Jagatheesaperumal, SK; Rahouti, M</t>
  </si>
  <si>
    <t>Jagatheesaperumal, Senthil Kumar; Rahouti, Mohamed</t>
  </si>
  <si>
    <t>Building Digital Twins of Cyber Physical Systems With Metaverse for Industry 5.0 and Beyond</t>
  </si>
  <si>
    <t>The digital twin has recently emerged as a virtual representation, that enables a real-time digital counterpart of a process or a physical object. Further, as the investments in Industry 5.0 are growing rapidly, their primary focus is to enhance the interactions between cyber-physical systems (CPS) and humans, for which outstanding contribution is expected through the metaverse. It enables humans to immerse into a high-dimensional 3-D virtual world, tackles the interactions among the CPS, and explore their status, which is found to be promising through the digital clones of CPS. This work presents the service-oriented digital twin architecture in conjunction with metaverse-enabled platforms with recommendations for ambitious interactions with the CPS for Industry 5.0 scenarios and beyond. They account for revolutionary changes in modern industries, supported through the Internet of Everything (IoE), VR/AR gadgets, and extended reality (XR) as prominent technology enablers.</t>
  </si>
  <si>
    <t>Rahouti, Mohamed/0000-0001-9701-5505</t>
  </si>
  <si>
    <t>10.1109/MITP.2022.3225064</t>
  </si>
  <si>
    <t>WOS:000917257500008</t>
  </si>
  <si>
    <t>Wang, FY; Qin, R; Wang, X; Hu, B</t>
  </si>
  <si>
    <t>Wang, Fei-Yue; Qin, Rui; Wang, Xiao; Hu, Bin</t>
  </si>
  <si>
    <t>MetaSocieties in Metaverse: MetaEconomics and MetaManagement for MetaEnterprises and MetaCities</t>
  </si>
  <si>
    <t>Hu, Bin/0000-0003-3514-5413</t>
  </si>
  <si>
    <t>10.1109/TCSS.2022.3145165</t>
  </si>
  <si>
    <t>WOS:000750075000002</t>
  </si>
  <si>
    <t>Oyarbide-Zubillaga, A; Goti-Elordi, A</t>
  </si>
  <si>
    <t>Oyarbide-Zubillaga, Aitor; Goti-Elordi, Aitor</t>
  </si>
  <si>
    <t>Historic evolution and future of the metaverse</t>
  </si>
  <si>
    <t>DYNA</t>
  </si>
  <si>
    <t>Goti, Aitor/I-5151-2016</t>
  </si>
  <si>
    <t>Goti, Aitor/0000-0003-4244-3670; Oyarbide-Zubillaga, Aitor/0000-0001-7597-4422</t>
  </si>
  <si>
    <t>0012-7361</t>
  </si>
  <si>
    <t>1989-1490</t>
  </si>
  <si>
    <t>10.6036/10529</t>
  </si>
  <si>
    <t>WOS:000852278700001</t>
  </si>
  <si>
    <t>Rostami, S; Maier, M</t>
  </si>
  <si>
    <t>Rostami, Sajjad; Maier, Martin</t>
  </si>
  <si>
    <t>The Metaverse and Beyond: Implementing Advanced Multiverse Realms With Smart Wearables</t>
  </si>
  <si>
    <t>With the online-everything transformation accelerated by a global Covid-19 pandemic, we may finally find ourselves on the verge of the next potentially paradigm-shifting step after the mobile Internet: The Metaverse. Among others, the Metaverse will utilize head-mounted devices (HMDs) and extended reality (XR), including but not limited to virtual and augmented reality (VR/AR), as the medium to connect avatars and users in the real world. In addition, the Metaverse is supposed to provide gamified experiences around emerging Web 3.0 technologies and is anticipated to be the precursor of the so-called Multiverse, which will serve as an architecture of advanced XR experience realms. In this paper, we focus on the anticipated 6G post-smartphone era, where smart wearables such as VR/AR HMDs are increasingly replacing the functionalities of smartphones. Our contributions are threefold: (i) we first extend Metaverse's primary focus on VR/AR to Multiverse's advanced XR realms of experience. Next, we gamify and implement all eight Multiverse realms of experience using Oculus Quest 2 and Microsoft HoloLens 2 as state-of-the-art VR/AR HMDs, experimentally investigating and comparing the performance of a (ii) single-player origami game and (iii) multi-player maze game across our proposed integrated VR/AR HMD and Amazon Mechanical Turk crowd-of-Oz (CoZ) platform.</t>
  </si>
  <si>
    <t>Maier, Martin/0000-0002-7035-3915</t>
  </si>
  <si>
    <t>10.1109/ACCESS.2022.3215736</t>
  </si>
  <si>
    <t>WOS:000873853600001</t>
  </si>
  <si>
    <t>Danylec, A; Shahabadkar, K; Dia, H; Kulkarni, A</t>
  </si>
  <si>
    <t>Danylec, Andrew; Shahabadkar, Krutika; Dia, Hussein; Kulkarni, Ambarish</t>
  </si>
  <si>
    <t>Cognitive Implementation of Metaverse Embedded Learning and Training Framework for Drivers in Rolling Stock</t>
  </si>
  <si>
    <t>MACHINES</t>
  </si>
  <si>
    <t>Public safety is prime concern in rail industry and driver training on hazard perception is crucial. Additionally, a new driver's skill set determines the productivity and quality of existing driver training methods. Apprentice train drivers are required to complete massive hours under supervision of experienced drivers to attain the required skill sets causing productivity issues. Traditional driver training is paper based, and assessments are individually evaluated without any scientific rigor, resulting in quality challenges. This paper proposes a Metaverse embedded learning and training framework for drivers in rolling stock. The framework includes driver vision analysis by eye tracking and pupil dilation focusing on enhancing the productivity and quality of driver training and hazard detection for drivers in rolling stock. Metaverse embedded training and learning enhances experiential learning with unique benefits. In this paper, a metaverse-based training framework is proposed for train drivers to enhance productivity, quality, and safety aspects through case studies including: (i) driver sightline studies and (ii) vision analysis. The studies developed quantifying driver hazard perceptions and related comprehension rates based on eye tracking and vision studies. In conclusion, the overall savings on cost and time are 95% effective using Metaverse-based training method compared to traditional methods. Stakeholders need to supervise on driver tasks, knowledge retention, damage control due to the occurrence of hazards. The framework substantially reduced hazards to 50% with saving up to 3696 man-hours. The assessment was completely automated to provide real time assessment thus providing 93% more positive results compared to traditional methods.</t>
  </si>
  <si>
    <t>Dia, Hussein F/B-1542-2008</t>
  </si>
  <si>
    <t>Kulkarni, Ambarish/0000-0003-4647-4511; Dia, Hussein/0000-0001-8778-7296</t>
  </si>
  <si>
    <t>2075-1702</t>
  </si>
  <si>
    <t>10.3390/machines10100926</t>
  </si>
  <si>
    <t>WOS:000875036800001</t>
  </si>
  <si>
    <t>Mah, E</t>
  </si>
  <si>
    <t>Mah, Edward (Ted)</t>
  </si>
  <si>
    <t>Metaverse, AR, machine learning &amp; AI in Orthopaedics?</t>
  </si>
  <si>
    <t>JOURNAL OF ORTHOPAEDIC SURGERY</t>
  </si>
  <si>
    <t>1022-5536</t>
  </si>
  <si>
    <t>2309-4990</t>
  </si>
  <si>
    <t>10.1177/10225536231165362</t>
  </si>
  <si>
    <t>WOS:000953882100001</t>
  </si>
  <si>
    <t>Jeon, Y</t>
  </si>
  <si>
    <t>Jeon, Yongwoog 'Andy'</t>
  </si>
  <si>
    <t>Reading Social Media Marketing Messages as Simulated Self Within a Metaverse: An Analysis of Gaze and Social Media Engagement Behaviors within a Metaverse Platform</t>
  </si>
  <si>
    <t>The current paper discusses how individuals will process social media content within the metaverse world. Also, the current paper will propose an exploratory study that is designed to provide preliminary evidence regarding how individuals cognitively and emotionally process social media posts embedded in a metaverse platform where they experience the simulation of becoming their desired or positive future self. From data obtained from the gaze tracking and social media engagement metrics that measure users' simulated attentional and engagement behaviors, the author will examine to what extent the different temporal distances of virtual or simulated self (present vs near- vs far-future self) and the actual self (lowly vs highly conscientious self) interactively influences the durations of attention (duration of viewing the posts) to and the engagement (i.e., clicking like button for the posts) in different social media posts (e.g., news feeds, positive vs negative dog pictures in native adverts, a health marketing post) seen in the virtual computer screen within the virtual room. In general, it is expected that the father the temporal distance, the longer the duration of the attention to the social media posts. This effect can be moderated by the actual self-views. That is, for participants with negative self-views, the farther the simulated temporal distance, the shorter the duration of attention to the social media posts relevant for the positive self within the metaverse environment. The opposite results are expected to be observed from individuals with positive self-views: the farther the simulated temporal distance, the longer the duration of attention to the social media posts seen within the non-real or metaverse world. The analysis and the plan for the presentation at 2022 IEEE VR workshop is provided in this paper.</t>
  </si>
  <si>
    <t>10.1109/VRW55335.2022.00068</t>
  </si>
  <si>
    <t>WOS:000808111800059</t>
  </si>
  <si>
    <t>Gai, KK; Wang, S; Zhao, H; She, YF; Zhu, LH; Zhang, ZJ</t>
  </si>
  <si>
    <t>Gai, Keke; Wang, Shuo; Zhao, Hui; She, Yufeng; Zhu, Liehuang; Zhang, Zijian</t>
  </si>
  <si>
    <t>Blockchain-Based Multisignature Lock for UAC in Metaverse</t>
  </si>
  <si>
    <t>As an emerging digital concept offering interconnections across multiple platforms, the metaverse provides digital transformations for various aspects of the physical world, facilitated by a few novel technologies, for example, cloud computing offers data support for the digital world. Humans immersed in the metaverse are digital entities who communicate with others or objects, such that ubiquitous access controls (UACs) are indispensable sectors for multiple platforms. However, in the metaverse, UACs have opened a wide scope of bridges for individuals to shuttle the virtual world, which implies that numerous threats exist at the access layer due to a great pool of entries. In this paper, to solve security issues in the UAC setting of the metaverse, we propose a novel blockchain-based multisignature lock for UAC (BMSL-UAC) scheme. All data institutions reconstruct a consortium blockchain system. In addition, our proposed scheme ensures that only authorized users can access an institution's data. Finally, we abstract the user's data access behaviors into the transaction information of the consortium blockchain system to realize full life-cycle data management and traceability. To verify the performance of our scheme, a series of experiments are carried out on the Hyperledger, and evaluation results have demonstrated that the resource consumption, delay, and throughput of this scheme are all within a reasonable range.</t>
  </si>
  <si>
    <t>佘, 雨风/HTO-6350-2023; ZHU, LIEHUANG/A-6174-2018; Gai, Keke/M-4857-2017</t>
  </si>
  <si>
    <t>Gai, Keke/0000-0001-6784-0221; Zhang, Zijian/0000-0002-6313-4407</t>
  </si>
  <si>
    <t>10.1109/TCSS.2022.3226717</t>
  </si>
  <si>
    <t>WOS:000899996800001</t>
  </si>
  <si>
    <t>Pesce, M</t>
  </si>
  <si>
    <t>Pesce, Mark</t>
  </si>
  <si>
    <t>Mirror Worlds The metaverse could help us better understand reality</t>
  </si>
  <si>
    <t>IEEE SPECTRUM</t>
  </si>
  <si>
    <t>0018-9235</t>
  </si>
  <si>
    <t>1939-9340</t>
  </si>
  <si>
    <t>WOS:000716699000010</t>
  </si>
  <si>
    <t>Park, JY; Lee, K; Chung, DR</t>
  </si>
  <si>
    <t>Park, Joo-Young; Lee, Kangsun; Chung, Doo Ryeon</t>
  </si>
  <si>
    <t>Public interest in the digital transformation accelerated by the COVID-19 pandemic and perception of its future impact</t>
  </si>
  <si>
    <t>KOREAN JOURNAL OF INTERNAL MEDICINE</t>
  </si>
  <si>
    <t>Background/Aims: The coronavirus disease 2019 (COVID-19) pandemic has accelerated digital transformation (DT). We investigated the trend of the public interest in technologies regarding the DT and Koreans' experiences and their perceptions of the future impact of these technologies. Methods: Using Google Trends, the relative search volume (RSV) for topics including coronavirus, artificial intelligence, cloud, big data, and metaverse were retrieved for the period from January 2020 to January 2022. A survey was conducted to assess the population's knowledge, experience, and perceptions regarding the DT. Results: The RSV for metaverse showed an increasing trend, in contrast to those for cloud, big data, and coronavirus. The RSVs for DT-related keywords had a negative correlation with the number of new weekly COVID-19 cases. In our survey, 78.1% responded that the positive impact of the DT on future lives would outweigh the negative impact. The predictors for this positive perception included experiences with the metaverse (4.0-fold) and virtual reality (VR)/augmented reality (AR) education (3.8-fold). Respondents predicted that the biggest change would occur in the healthcare sector after transportation/communication. Conclusions: Koreans' search interest for metaverse showed an increasing trend during the COVID-19 pandemic. Koreans believe that DT will bring about big changes in the healthcare sector. Most of the survey respondents have a positive outlook about the impact of DT on future life, and the predictors for this positive perception include the experiences with the metaverse or VR/AR education. Healthcare professionals need to accelerate the adoption of DT in clinical practice, education and training.</t>
  </si>
  <si>
    <t>Chung, Doo Ryeon/0000-0001-9267-101X</t>
  </si>
  <si>
    <t>1226-3303</t>
  </si>
  <si>
    <t>2005-6648</t>
  </si>
  <si>
    <t>10.3904/kjim.2022.129</t>
  </si>
  <si>
    <t>WOS:000861740500001</t>
  </si>
  <si>
    <t>Kuo, SY; Tseng, FH; Chou, YH</t>
  </si>
  <si>
    <t>Kuo, Shu-Yu; Tseng, Fan-Hsun; Chou, Yao-Hsin</t>
  </si>
  <si>
    <t>Metaverse intrusion detection of wormhole attacks based on a novel statistical mechanism</t>
  </si>
  <si>
    <t>The Metaverse shows great potential to facilitate the development of new technologies. Because the security of the Metaverse has attracted considerable attention, the automatic detection of malware in different scenarios related to the Metaverse has become significant as well. A Metaverse-based wireless system comprises various physical and virtual sensing models, and the security between these sensors and nodes should be further considered. A wormhole link is created by two malicious radio transceivers connected by high capacity out-of-band wireless or wired links. Wormhole attacks can easily subvert many network protocols and maliciously collect a large amount of traffic. As many new mobile applications in the Internet of Things (IoT) have emerged recently, the threat posed by wormhole attacks has increased. Accordingly, research efforts have been made to develop countermeasures for wormhole attacks. However, most of them have considered a static network, assuming that a wormhole does not move and that wormhole nodes cannot adaptively turn their radio on or off to avoid being detected. These assumptions limit the use of existing detection methods. Hence, we first study the security impact and characteristics of wormhole attacks in mobile cloud and Metaverse environments and find the possibility of matching statistical methods such as the sequential probability ratio test (SPRT) to detect wormholes. Moreover, in our assumed topology, nodes in the network have mobility. From our investigation results, we attempt to derive a novel defense mechanism design against wormhole attacks.(c) 2023 Elsevier B.V. All rights reserved.</t>
  </si>
  <si>
    <t>10.1016/j.future.2023.01.017</t>
  </si>
  <si>
    <t>WOS:000930687600001</t>
  </si>
  <si>
    <t>Wang, JX; Makowski, S; Cieslik, A; Lv, HB; Lv, ZH</t>
  </si>
  <si>
    <t>Wang, Jinxia; Makowski, Stanislav; Cieslik, Alan; Lv, Haibin; Lv, Zhihan</t>
  </si>
  <si>
    <t>Fake News in Virtual Community, Virtual Society, and Metaverse: A Survey</t>
  </si>
  <si>
    <t>In the trend of the accelerated progression of communication network technology, the emergence of virtual communities (VCs), virtual societies (VSs), metaverse, and other technologies not only makes data access and sharing easier but also leads to the proliferation of fake news (FN). To effectively monitor and identify FN in VC, VS, and metaverse, and to create a safer virtual space, this work takes FN in VC, VS, and metaverse as objects. First, the content and display methods of FN are reviewed and explained, and it is understood that FN is mainly displayed by single-modal and multimodal representations. Second, the application scenarios in many important fields such as transportation are reviewed and analyzed, so as to further understand the impact and detection effect of FN in different scenarios. Finally, an intelligent outlook and summary analysis are carried out on the detection and information security of FN, which provides theoretical reference and new opportunities for the detection and identification of FN in the virtual cyberspace.</t>
  </si>
  <si>
    <t>Lv, Zhihan/I-3187-2014</t>
  </si>
  <si>
    <t>Lv, Zhihan/0000-0003-2525-3074</t>
  </si>
  <si>
    <t>10.1109/TCSS.2022.3220420</t>
  </si>
  <si>
    <t>WOS:000932840000001</t>
  </si>
  <si>
    <t>Zhang, CH; Liu, S</t>
  </si>
  <si>
    <t>Zhang, Chenghui; Liu, Shuai</t>
  </si>
  <si>
    <t>Meta-Energy: When Integrated Energy Internet Meets Metaverse</t>
  </si>
  <si>
    <t>10.1109/JAS.2023.123492</t>
  </si>
  <si>
    <t>WOS:000971627600002</t>
  </si>
  <si>
    <t>Li, HY; Cui, CH; Jiang, S</t>
  </si>
  <si>
    <t>Li, Hongyi; Cui, Chunhai; Jiang, Shuai</t>
  </si>
  <si>
    <t>Strategy for improving the football teaching quality by AI and metaverse-empowered in mobile internet environment</t>
  </si>
  <si>
    <t>WIRELESS NETWORKS</t>
  </si>
  <si>
    <t>The metaverse has influenced the development of science and technology since it was proposed. While artificial intelligence (AI) is still one of the important technologies to solve problems in metaverse. The success of AI in various fields and the development of information technology make the integration of sports industry and AI an inevitable trend. Currently, the traditional physical education is experiencing qualitative changes, and the demand of integrating AI and metaverse into physical education is becoming more and more obvious. Football teaching is an important part of physical education, and Virtual Reality (VR) has the characteristics of immersion, interaction and imagination, which can build virtual and realistic football teaching process. In this study, through 360-degree panoramic VR football teaching videos empowered by the metaverse and K-means algorithm based on machine learning under AI, we study the strategies for improving the quality of football teaching in the mobile Internet environment. Therefore, we propose K-means based optimized 360-degree panoramic VR football teaching video delivery strategy. In addition, we conduct simulation experiments under content delivery networks simulator, and the simulation results show that the proposed strategy is superior to the baselines in terms of proxy server hit ratio, byte hit ratio, mean response time and students quality of experience. Moreover, through the 360-degree panoramic VR football teaching videos learning, students can intuitively analyze the actions and improve the teaching quality. The reconstruction of football teaching environment is beneficial to promote the combination of football teaching and smart learning.</t>
  </si>
  <si>
    <t>1022-0038</t>
  </si>
  <si>
    <t>1572-8196</t>
  </si>
  <si>
    <t>10.1007/s11276-022-03000-1</t>
  </si>
  <si>
    <t>JUN 2022</t>
  </si>
  <si>
    <t>WOS:000809524100001</t>
  </si>
  <si>
    <t>van Leeuwen, FWB; van der Hage, JA</t>
  </si>
  <si>
    <t>van Leeuwen, Fijs W. B.; van der Hage, Jos A.</t>
  </si>
  <si>
    <t>Where Robotic Surgery Meets the Metaverse</t>
  </si>
  <si>
    <t>CANCERS</t>
  </si>
  <si>
    <t>; van der Hage, Jos/AAG-3541-2021</t>
  </si>
  <si>
    <t>van leeuwen, Fijs/0000-0002-6844-4025; van der Hage, Jos/0000-0001-9040-1323</t>
  </si>
  <si>
    <t>2072-6694</t>
  </si>
  <si>
    <t>10.3390/cancers14246161</t>
  </si>
  <si>
    <t>WOS:000902380300001</t>
  </si>
  <si>
    <t>Mejia, JMR; Rawat, DB</t>
  </si>
  <si>
    <t>Mejia, Jose M. Ruiz; Rawat, Danda B.</t>
  </si>
  <si>
    <t>Recent Advances in a Medical Domain Metaverse: Status, Challenges, and Perspective</t>
  </si>
  <si>
    <t>2022 THIRTEENTH INTERNATIONAL CONFERENCE ON UBIQUITOUS AND FUTURE NETWORKS (ICUFN)</t>
  </si>
  <si>
    <t>International Conference on Ubiquitous and Future Networks</t>
  </si>
  <si>
    <t>13th International Conference on Ubiquitous and Future Networks (ICUFN)</t>
  </si>
  <si>
    <t>JUL 05-08, 2022</t>
  </si>
  <si>
    <t>IEEE,IEEE Commun Soc,IEICE Commun Soc,Korean Inst Commun &amp; Informat Sci,Elect &amp; Telecommunicat Res Inst,Samsung Elect,Lg Elect,SK Telecom,KT,LGU+</t>
  </si>
  <si>
    <t>The Meta-verse is the new, innovative platform in which is being investigated by every industry. The thought of simulating reality in a digital platform was never inconceivable but seemed distant. Now, it is taking over every industry like wildfire and the possibilities seem endless. Recently, the healthcare industry is looking into implementing the qualities of the metaverse within specialties and practices of medical professionals. This space encompasses a variety of factors such as virtual reality, augmented reality, and secured spaces for communication and processes. The healthcare industry has been looking into methods to increase patient experience and broadening the accessibility of medical care. Although the concept of the metaverse is not new, the uses are still unexplored and has to many unknowns. In an industry where patient data is critical and remains at the upmost level of privacy, it is unsure that it will remain with its integrity still intact. This paper is aiming to explore the use of the meta-verse in the healthcare industry along with the current status, challenges, and perspective of applicable technology and practices. To be more specific, we focused on the outpatient tele-medicine practice experience using body sensor networks and the challenges of maintaining privacy in a healthcare metaverse space.</t>
  </si>
  <si>
    <t>Rawat, Danda B/B-2973-2012</t>
  </si>
  <si>
    <t>Rawat, Danda B/0000-0003-3638-3464</t>
  </si>
  <si>
    <t>2165-8528</t>
  </si>
  <si>
    <t>2165-8536</t>
  </si>
  <si>
    <t>978-1-6654-8550-0</t>
  </si>
  <si>
    <t>10.1109/ICUFN55119.2022.9829645</t>
  </si>
  <si>
    <t>WOS:000855059600072</t>
  </si>
  <si>
    <t>Gu, JL; Wang, JC; Guo, XW; Liu, GJ; Qin, SJ; Bi, ZL</t>
  </si>
  <si>
    <t>Gu, Jinlei; Wang, Jiacun; Guo, Xiwang; Liu, Guanjun; Qin, Shujin; Bi, Zhiliang</t>
  </si>
  <si>
    <t>A Metaverse-Based Teaching Building Evacuation Training System With Deep Reinforcement Learning</t>
  </si>
  <si>
    <t>With the development of IoT, virtual reality, cloud computing, and digital twin technologies, the advent of metaverse has attracted increasing world attention. Metaverse integrates and applies multiple emerging technologies to cloud education, smart health, digital government, and emergency evacuation. Evacuation systems are of great importance to ensure life safety. Due to panic, people in a building may not be able to make the right judgment to choose an optimal path to leave the building in case of an emergency event such as a fire. As a branch of machine learning, deep reinforcement learning (DRL) can model an evacuation scene, collect real-time information, such as crowd distribution and disaster location, find the optimal escape path with a path-planning algorithm, induce the movement state of the crowd through dynamic guidance signs, and improve the evacuation efficiency. In this article, we apply DRL technology to solve the efficient emergency evacuation problem with the help of metaverse and show a training system built upon metaverse that would enable evacuees to choose the most efficient route and leave the building in the least amount of time. The information collected by various sensors, such as video cameras and smoke detectors, can give a whole picture of the status of the building in a real-time manner. The collected data are processed by cloud servers in which a DRL model is trained to dynamically guide evacuees. Experiments in different simulation scenes demonstrate that the proposed method is superior to the traditional static guidance method in saving evacuation time. It can effectively avoid major crowding along the evacuation route and improve evacuation efficiency.</t>
  </si>
  <si>
    <t>Wang, Jiacun/HSF-1978-2023; Qin, Shujin/U-2328-2018</t>
  </si>
  <si>
    <t>Wang, Jiacun/0000-0003-4176-3947; Wang, Jiacun/0000-0001-6601-3515; guo, xiwang/0000-0002-9142-1251; Liu, Guanjun/0000-0002-7523-4827; Qin, Shujin/0000-0002-4578-2726</t>
  </si>
  <si>
    <t>10.1109/TSMC.2022.3231299</t>
  </si>
  <si>
    <t>WOS:000910650400001</t>
  </si>
  <si>
    <t>Tao, BSH; Dai, HN; Xie, HR; Wang, FL</t>
  </si>
  <si>
    <t>Tao, Bishenghui; Dai, Hong-Ning; Xie, Haoran; Wang, Fu Lee</t>
  </si>
  <si>
    <t>Structural Identity Representation Learning of Blockchain Transaction Network for Metaverse</t>
  </si>
  <si>
    <t>Both the metaverse and its underlying blockchain technology have attracted extensive attention in the past few years. It becomes a natural problem to extract, process, and analyze the tremendous data generated by the blockchain systems for various metaverse applications though it also poses diverse challenges. Amongst those challenges, this paper mainly focuses on modeling and understanding the blockchain transaction network from a structural identity perspective, which represents the entire network structure and reveals the relations among multiple entities. In this paper, we propose a novel representation learning method named Structure-to-Vector with Random Pace (SVRP) for learning both latent representation and structural identity of blockchain transaction networks. We then conduct node classification and link prediction tasks with integration with Graph Neural Networks (GNNs). Empirical results on three representative blockchain data sets, namely Non-fungible token (NFT), Ethereum (ETH), and Bitcoin (BTC), demonstrate that our proposed SVRP outperforms other existing methods in multiple tasks. In particular, our SVRP achieves the highest node classification accuracy (99.3%) while only requiring original non-attributed graphs (i.e., graphs without node features).</t>
  </si>
  <si>
    <t>Dai, Hong-Ning/B-1931-2012</t>
  </si>
  <si>
    <t>Dai, Hong-Ning/0000-0001-6165-4196</t>
  </si>
  <si>
    <t>10.1109/MMSP55362.2022.9949334</t>
  </si>
  <si>
    <t>WOS:000893205800109</t>
  </si>
  <si>
    <t>Sun, YQ; Xu, Y; Cheng, CH; Li, YH; Lee, CH; Asadipour, A</t>
  </si>
  <si>
    <t>Sun, Yuqian; Xu, Ying; Cheng, Chenhang; Li, Yihua; Lee, Chang Hee; Asadipour, Ali</t>
  </si>
  <si>
    <t>Travel with Wander in the Metaverse: An AI chatbot to Visit the Future Earth</t>
  </si>
  <si>
    <t>We developed Wander[001] as an experiment to discuss several visions toward the metaverse: through crowd contribution, how an AI agent can become a highly accessible storyteller, and how to link the virtual and physical world through AI-generated content (AIGC). In this artwork, we implement a hybrid AIGC and user-generated content (UGC) system to facilitate a narrative AI chatbot, Wander, that produces interactive fiction through knowledge graphs with text messages input by users on instant messaging social platforms. On Discord and WeChat, Wander can generate science-fiction-style travelogues about the future earth, including text, style-transferred images and global coordinates (GPS) based on real-world locations (e.g. Paris). The crowd interactions with Wander are visualised on an interactive globe map in real time, documenting the players' asynchronous contributions to exploring the speculative future earth. This paper presents Wander's concept, development and user study to demonstrate how people would interact with an AI agent in a narrative context for the future metaverse.</t>
  </si>
  <si>
    <t>10.1109/MMSP55362.2022.9950031</t>
  </si>
  <si>
    <t>WOS:000893205800173</t>
  </si>
  <si>
    <t>Falk, TH; Le, LB; Morandotti, R</t>
  </si>
  <si>
    <t>Falk, Tiago H.; Le, Long B.; Morandotti, Roberto</t>
  </si>
  <si>
    <t>The Internet of Senses: A Position Paper on the Challenges and Opportunities of Multisensory Immersive Experiences for the Metaverse</t>
  </si>
  <si>
    <t>The so-called metaverse will allow users to blend real and virtual worlds in a seamless manner, thus drastically changing how humans interact, socialize, and even work. While progress in extended reality headsets, wireless communications, blockchain technologies and quantum communications are paving the way for the metaverse, many of the emerging applications are still focusing on only two human senses: hearing and vision. In this position paper, we argue that in order to truly make immersive experiences, additional senses need to be stimulated. Moreover, affective computing and brain-computer interface principles need to be incorporated to make the interaction (be it human-human, human-avatar, avatar-avatar) more natural, and sustainable solutions need to be developed, so that we do not destroy our real world while trying to build a virtual version of it. This future internet has been termed the Internet of Senses (IoS). Here, we highlight some of the challenges in developing the IoS, as well as some of the opportunities that multisensory immersive experiences will bring to the manufacturing, retail, entertainment, and healthcare domains. We conclude with a brief description of a testbed under development in Canada to test emerging IoS and metaverse technologies and applications.</t>
  </si>
  <si>
    <t>10.1109/MetroXRAINE54828.2022.9967586</t>
  </si>
  <si>
    <t>WOS:000947347200025</t>
  </si>
  <si>
    <t>Chang, V; Lawrence, D; Doan, LT; Xu, AQ; Liu, BSC</t>
  </si>
  <si>
    <t>Chang, Victor; Lawrence, Dan; Doan, Le Minh Thao; Xu, Ariel Qianwen; Liu, Ben S. C.</t>
  </si>
  <si>
    <t>New product design and implementation of aboleth: a mobile D&amp;D character creator for enterprise mobile applications and metaverse</t>
  </si>
  <si>
    <t>ENTERPRISE INFORMATION SYSTEMS</t>
  </si>
  <si>
    <t>This paper contributes to rapid prototyping for Aboleth, a mobile application designed as a virtual character sheet for Dungeons and Dragons 5th edition. We propose augmenting an API framework, including details of the general design process and crucial details regarding the specific implementation of the project. The prototype is developed using Computer-Assisted Designs and Xamarin. Software engineering is integrated into game design to improve Human-Computer Interaction and eventually enhance user experiences. Additionally, we discuss the relevance of using such a tool to achieve rapid prototyping for enterprise mobile applications and Metaverse and explore opportunities to improve the project design.</t>
  </si>
  <si>
    <t>Chang, Victor/0000-0002-8012-5852; Xu, Qianwen/0000-0003-0360-7193</t>
  </si>
  <si>
    <t>1751-7575</t>
  </si>
  <si>
    <t>1751-7583</t>
  </si>
  <si>
    <t>10.1080/17517575.2023.2193557</t>
  </si>
  <si>
    <t>WOS:000956762900001</t>
  </si>
  <si>
    <t>Smith, MS; Brooks, R</t>
  </si>
  <si>
    <t>Smith, Matthew S.; Brooks, Rodney</t>
  </si>
  <si>
    <t>Meta Offers Nothing New to the Metaverse</t>
  </si>
  <si>
    <t>You may have heard that Facebook is owned by a company that is no longer called Facebook but, instead, Meta (officially Meta Platforms). CEO Mark Zuckerberg detailed the name change in a CGI-laden presentation that spanned an hour and 17 minutes. The metaverse, he says, is what's next for the Internet.</t>
  </si>
  <si>
    <t>10.1109/MSPEC.2022.9676358</t>
  </si>
  <si>
    <t>WOS:000742180200016</t>
  </si>
  <si>
    <t>Laplante, P</t>
  </si>
  <si>
    <t>Laplante, Phil</t>
  </si>
  <si>
    <t>The Metaverses of Yesteryear, Today, and Tomorrow</t>
  </si>
  <si>
    <t>A discussion with friends about whether we are close to a true metaverse got me thinking, maybe we have had metaverses for a long time. Immersive and interactive experiences with alternate realities have been around for more than 150 years. We may never declare the metaverse  to be here because we keep demanding more fidelity as the technologies advance.</t>
  </si>
  <si>
    <t>10.1109/MITP.2022.3228054</t>
  </si>
  <si>
    <t>WOS:000917257500003</t>
  </si>
  <si>
    <t>Duan, HH; Wu, X; Cai, W</t>
  </si>
  <si>
    <t>Duan, Haihan; Wu, Xiao; Cai, Wei</t>
  </si>
  <si>
    <t>Crypto-Dropout: To Create Unique User-Generated Content Using Crypto Information in Metaverse</t>
  </si>
  <si>
    <t>In a blockchain-driven metaverse, user-generated content (UGC) is the core power for building the metaverse, so an easy-to-use UGC editor is imperative. Specifically, using artificial intelligence (AI) to simplify the UGC creation procedure is promising, e.g., generating images from sketches using generative adversarial networks (GANs). However, the simplicity of these UGC creation methods would lead to weak distinctions between the generated UGC, since the users' created drafts may be very similar. In this paper, we propose Crypto-dropout, a specially designed dropout used in the generative neural networks, which could cause pseudo-random disturbance based on the hash value of user information to generate unique results. With a pilot study, the experimental results demonstrate that the participants have different preferences for the generated images when setting Crypto-dropout in the different layers. Accordingly, we implement a practical profile pictures (PFPs) creation prototype. The proposed Crypto-dropout can provide a novel and general insight for creating unique UGC using generative neural networks.</t>
  </si>
  <si>
    <t>10.1109/MMSP55362.2022.9949108</t>
  </si>
  <si>
    <t>WOS:000893205800060</t>
  </si>
  <si>
    <t>Jin, C; Wu, FJ; Wang, J; Liu, Y; Guan, ZX; Han, Z</t>
  </si>
  <si>
    <t>Jin, Cong; Wu, Fengjuan; Wang, Jing; Liu, Yang; Guan, Zixuan; Han, Zhe</t>
  </si>
  <si>
    <t>MetaMGC: a music generation framework for concerts in metaverse</t>
  </si>
  <si>
    <t>EURASIP JOURNAL ON AUDIO SPEECH AND MUSIC PROCESSING</t>
  </si>
  <si>
    <t>In recent years, there has been a national craze for metaverse concerts. However, existing meta-universe concert efforts often focus on immersive visual experiences and lack consideration of the musical and aural experience. But for concerts, it is the beautiful music and the immersive listening experience that deserve the most attention. Therefore, enhancing intelligent and immersive musical experiences is essential for the further development of the metaverse. With this in mind, we propose a metaverse concert generation framework &amp; mdash; from intelligent music generation to stereo conversion and sound field design for virtual concert stages. First, combining the ideas of reinforcement learning and value functions, the Transformer-XL music generation network is improved and used in training all the music in the POP909 dataset. Experiments show that both improved algorithms have advantages over the original method in terms of objective evaluation and subjective evaluation metrics. In addition, this paper validates a neural rendering method that can be used to generate spatial audio based on a binaural-integrated neural network with a fully convolutional technique. And the purely data-driven end-to-end model performs to be more reliable compared with traditional spatial audio generation methods such as HRTF. Finally, we propose a metadata-based audio rendering algorithm to simulate real-world acoustic environments.</t>
  </si>
  <si>
    <t>Wang, Jing/0000-0002-3653-9951</t>
  </si>
  <si>
    <t>1687-4722</t>
  </si>
  <si>
    <t>DEC 13</t>
  </si>
  <si>
    <t>10.1186/s13636-022-00261-8</t>
  </si>
  <si>
    <t>WOS:000898867700001</t>
  </si>
  <si>
    <t>Tran, NC; Wang, JH; Vu, TH; Tai, TC; Wang, JC</t>
  </si>
  <si>
    <t>Tran, Nghi C.; Wang, Jian-Hong; Vu, Toan H.; Tai, Tzu-Chiang; Wang, Jia-Ching</t>
  </si>
  <si>
    <t>Anti-aliasing convolution neural network of finger vein recognition for virtual reality (VR) human-robot equipment of metaverse</t>
  </si>
  <si>
    <t>Metaverse, which is anticipated to be the future of the internet, is a 3D virtual world in which users interact via highly customizable computer avatars. It is considerably promising for several industries, including gaming, education, and business. However, it still has drawbacks, particularly in the privacy and identity threads. When a person joins the metaverse via a virtual reality (VR) human-robot equipment, their avatar, digital assets, and private information may be compromised by cybercriminals. This paper introduces a specific Finger Vein Recognition approach for the virtual reality (VR) human-robot equipment of the metaverse of the Metaverse to prevent others from misappropriating it. Finger vein is a is a biometric feature hidden beneath our skin. It is considerably more secure in person verification than other hand-based biometric characteristics such as finger print and palm print since it is difficult to imitate. Most conventional finger vein recognition systems that use hand-crafted features are ineffective, especially for images with low quality, low contrast, scale variation, translation, and rotation. Deep learning methods have been demonstrated to be more successful than traditional methods in computer vision. This paper develops a finger vein recognition system based on a convolution neural network and anti-aliasing technique. We employ/ utilize a contrast image enhancement algorithm in the preprocessing step to improve performance of the system. The proposed approach is evaluated on three publicly available finger vein datasets. Experimental results show that our proposed method outperforms the current state-of-the-art methods, improvement of 97.66% accuracy on FVUSM dataset, 99.94% accuracy on SDUMLA dataset, and 88.19% accuracy on THUFV2 dataset.</t>
  </si>
  <si>
    <t>wang, jian/HRB-9588-2023; wang, jian/GVS-0711-2022</t>
  </si>
  <si>
    <t>10.1007/s11227-022-04680-4</t>
  </si>
  <si>
    <t>AUG 2022</t>
  </si>
  <si>
    <t>WOS:000842875300006</t>
  </si>
  <si>
    <t>Qamar, S; Anwar, Z; Afzal, M</t>
  </si>
  <si>
    <t>Qamar, Sara; Anwar, Zahid; Afzal, Mehreen</t>
  </si>
  <si>
    <t>A systematic threat analysis and defense strategies for the metaverse and extended reality systems</t>
  </si>
  <si>
    <t>COMPUTERS &amp; SECURITY</t>
  </si>
  <si>
    <t>With the rapid development and evolution of immersive technologies there are growing concerns of security and privacy threats to the metaverse and extended reality (XR) systems. Immersive reality solutions are a combination of multiple vulnerable technologies allowing attackers to easily undermine security. Furthermore the deployment of appropriate security controls and defensive mechanisms for resource constrained proprietary XR products has been limited. In this paper, we provide a comprehensive overview of extended reality systems and the metaverse with emphasis on technology weaknesses, cyber security challenges and users' safety concerns. Five major taxonomies have been presented in this research with an aim of identifying privacy inference vectors and potential cyber threats; determining the impact on human health and the extent to which cyberstalking, and digital currency scam activities proliferate when using XR. This research also proposes strategies for primary lines of defense and provides recommendations on the adoption of safety measures.</t>
  </si>
  <si>
    <t>Anwar, Zahid/0000-0002-4608-4305</t>
  </si>
  <si>
    <t>0167-4048</t>
  </si>
  <si>
    <t>1872-6208</t>
  </si>
  <si>
    <t>10.1016/j.cose.2023.103127</t>
  </si>
  <si>
    <t>WOS:000936572100001</t>
  </si>
  <si>
    <t>Wang, ZL; Hu, Q; Xu, MH; Jiang, HL</t>
  </si>
  <si>
    <t>Wang, Zhilin; Hu, Qin; Xu, Minghui; Jiang, Honglu</t>
  </si>
  <si>
    <t>Blockchain-based Edge Resource Sharing for Metaverse</t>
  </si>
  <si>
    <t>Although Metaverse has recently been widely studied, its practical application still faces many challenges. One of the severe challenges is the lack of sufficient resources for computing and communication on local devices, resulting in the inability to access the Metaverse services. To address this issue, this paper proposes a practical blockchain-based mobile edge computing (MEC) platform for resource sharing and optimal utilization to complete the requested offloading tasks, given the heterogeneity of servers' available resources and that of users' task requests. To be specific, we first elaborate the design of our proposed system and then dive into the task allocation mechanism to assign offloading tasks to proper servers. To solve the multiple task allocation (MTA) problem in polynomial time, we devise a learning-based algorithm. Since the objective function and constraints of MTA are significantly affected by the servers uploading the tasks, we reformulate it as a reinforcement learning problem and calculate the rewards for each state and action considering the influences of servers. Finally, numerous experiments are conducted to demonstrate the effectiveness and efficiency of our proposed system and algorithms.</t>
  </si>
  <si>
    <t>Hu, Qin/0000-0002-8847-8345; Jiang, Honglu/0000-0001-6014-0396</t>
  </si>
  <si>
    <t>10.1109/MASS56207.2022.00092</t>
  </si>
  <si>
    <t>WOS:000925366900083</t>
  </si>
  <si>
    <t>Zhou, MC</t>
  </si>
  <si>
    <t>Zhou, MengChu</t>
  </si>
  <si>
    <t>Evolution from AI, IoT and Big Data Analytics to Metaverse</t>
  </si>
  <si>
    <t>10.1109/JAS.2022.106100</t>
  </si>
  <si>
    <t>WOS:000894969600001</t>
  </si>
  <si>
    <t>Yoon, K; Kim, SK; Jeong, SP; Choi, JH</t>
  </si>
  <si>
    <t>Yoon, Kyoungro; Kim, Sang-Kyun; Jeong, Sangkwon Peter; Choi, Jeong-Hwan</t>
  </si>
  <si>
    <t>Interfacing Cyber and Physical Worlds: Introduction to IEEE 2888 Standards</t>
  </si>
  <si>
    <t>2021 IEEE INTERNATIONAL CONFERENCE ON INTELLIGENT REALITY (ICIR 2021)</t>
  </si>
  <si>
    <t>IEEE International Conference on Intelligent Reality (ICIR)</t>
  </si>
  <si>
    <t>MAY 12-13, 2021</t>
  </si>
  <si>
    <t>IEEE,IEEE Future Direct,IEEE Digit Real,IEEE Stand Assoc,IEEE Comp Soc</t>
  </si>
  <si>
    <t>The IEEE 2888 standard is in the process of development to provide common platform for digtial twin space or metaverse plus. There are four parts of the standard designed to provide standardized interface for synchronization between cyber and physcial world. This paper provides a brief introduction to this on-going standard activity.</t>
  </si>
  <si>
    <t>978-1-6654-0347-4</t>
  </si>
  <si>
    <t>10.1109/ICIR51845.2021.00016</t>
  </si>
  <si>
    <t>WOS:000814865900007</t>
  </si>
  <si>
    <t>Peukert, C; Weinhardt, C; Hinz, O; van der Aalst, WMP</t>
  </si>
  <si>
    <t>Peukert, Christian; Weinhardt, Christof; Hinz, Oliver; van der Aalst, Wil M. P.</t>
  </si>
  <si>
    <t>Metaverse: How to Approach Its Challenges from a BISE Perspective</t>
  </si>
  <si>
    <t>BUSINESS &amp; INFORMATION SYSTEMS ENGINEERING</t>
  </si>
  <si>
    <t>2363-7005</t>
  </si>
  <si>
    <t>1867-0202</t>
  </si>
  <si>
    <t>10.1007/s12599-022-00765-9</t>
  </si>
  <si>
    <t>WOS:000837543900002</t>
  </si>
  <si>
    <t>Chapman, JR; Wang, JC; Wiechert, K</t>
  </si>
  <si>
    <t>Chapman, Jens R.; Wang, Jeffrey C.; Wiechert, Karsten</t>
  </si>
  <si>
    <t>Into the Spine Metaverse: Reflections on a future Metaspine (Uni-)verse</t>
  </si>
  <si>
    <t>GLOBAL SPINE JOURNAL</t>
  </si>
  <si>
    <t>2192-5682</t>
  </si>
  <si>
    <t>2192-5690</t>
  </si>
  <si>
    <t>10.1177/21925682221085643</t>
  </si>
  <si>
    <t>WOS:000790825800001</t>
  </si>
  <si>
    <t>He, GY; He, YX; Liu, H; Guo, ZH</t>
  </si>
  <si>
    <t>He, Guanyu; He, Yuxin; Liu, Hu; Guo, Zhanhu</t>
  </si>
  <si>
    <t>Engineering integrated multimodal sensing and feedback ring system for advanced interactive metaverse platform</t>
  </si>
  <si>
    <t>SCIENCE BULLETIN</t>
  </si>
  <si>
    <t>2095-9273</t>
  </si>
  <si>
    <t>2095-9281</t>
  </si>
  <si>
    <t>JAN 30</t>
  </si>
  <si>
    <t>10.1016/j.scib.2023.01.009</t>
  </si>
  <si>
    <t>WOS:000945395400001</t>
  </si>
  <si>
    <t>Almarzouqi, A; Aburayya, A; Salloum, SA</t>
  </si>
  <si>
    <t>Almarzouqi, Amina; Aburayya, Ahmad; Salloum, Said A.</t>
  </si>
  <si>
    <t>Prediction of User's Intention to Use Metaverse System in Medical Education: A Hybrid SEM-ML Learning Approach</t>
  </si>
  <si>
    <t>Metaverse (MS) is a digital universe accessible through a virtual environment. It is established through the merging of virtually improved physical and digital reality. Metaverse (MS) offers enhanced immersive experiences and a more interactive learning experience for students in learning and educational settings. It is an expanded and synchronous communication setting that allows different users to share their experiences. The present study aims to evaluate students' perception of the application of MS in the United Arab Emirates (UAE) for medical-educational purposes. In this study, 1858 university students were surveyed to examine this model. The study's conceptual framework consisted of adoption constructs including Technology Acceptance Model (TAM), Personal innovativeness (PI), Perceived Compatibility (PCO), User Satisfaction (US), Perceived Triability (PTR), and Perceived Observability (POB). The study was unique because the model correlated technology-based features and individual-based features. The study also used hybrid analyses such as Machine Learning (ML) algorithms and Structural Equation Modelling (SEM). The present study also employs the Importance Performance Map Analysis (IPMA) to assess the importance and performance factors. The study finds US as an essential determinant of users' intention to use the metaverse (UMS). The present study's finding is useful for stakeholders in the educational sector in understanding the importance of each factor and in making plans based on the order of significance of each factor. The study also methodologically contributes to Information Systems (IS) literature because it is one of the few studies that have used a complementary multi-analytical approach such as ML algorithms to investigate the UMS metaverse systems.</t>
  </si>
  <si>
    <t>Salloum, Said/R-7208-2019; Aburayya, Ahmad/ABF-6600-2021</t>
  </si>
  <si>
    <t>Salloum, Said/0000-0002-6073-3981; Aburayya, Ahmad/0000-0002-1428-0547</t>
  </si>
  <si>
    <t>10.1109/ACCESS.2022.3169285</t>
  </si>
  <si>
    <t>WOS:000788901700001</t>
  </si>
  <si>
    <t>Panagiotakopoulos, D; Marentakis, G; Metzitakos, R; Deliyannis, I; Dedes, F</t>
  </si>
  <si>
    <t>Panagiotakopoulos, Dimitrios; Marentakis, Georgios; Metzitakos, Rossetos; Deliyannis, Ioannis; Dedes, Fanourios</t>
  </si>
  <si>
    <t>Digital Scent Technology: Toward the Internet of Senses and the Metaverse</t>
  </si>
  <si>
    <t>Multisensory technologies have paved the way for the collective transfer and sharing of the senses on the Internet. The Human-Computer Interaction (HCI) community considers digital olfactory stimulation to be a helpful step in developing technology related to digital multisensory communication. This article provides a brief overview of digital scent technology through the recent electrical interfaces and past commercial efforts using chemical odors. We present the practical application of technology in the field of digital communication, marketing, and well being. We also discuss the commercial use of the Internet of Senses (IoS) and its cornerstone IMT-2030 (6G), contributing to the intimate nature of multisensory experiences from reality. Finally, we observe a symbiotic relationship between the future technologies of the IoS and the Metaverse, with 6G being the connecting link and the primary activator of the multisensory experiences.</t>
  </si>
  <si>
    <t>Panagiotakopoulos, Dimitrios/AAV-3629-2020</t>
  </si>
  <si>
    <t>Panagiotakopoulos, Dimitrios/0000-0001-7087-772X; Marentakis, Georgios/0000-0002-6563-9601; Deliyannis, Ioannis/0000-0001-5397-2258</t>
  </si>
  <si>
    <t>10.1109/MITP.2022.3177292</t>
  </si>
  <si>
    <t>WOS:000819825800020</t>
  </si>
  <si>
    <t>Ying, ZB; Lan, WS; Deng, C; Liu, L; Liu, XM</t>
  </si>
  <si>
    <t>Ying, Zuobin; Lan, Wusong; Deng, Chen; Liu, Lu; Liu, Ximeng</t>
  </si>
  <si>
    <t>DVIT-A Decentralized Virtual Items Trading Forum with Reputation System</t>
  </si>
  <si>
    <t>The metaverse provides us with an attractive virtual space in which the value of the virtual property has been increasingly recognized. However, the lack of effective cross-metaverse trading tools and the reputation guarantee makes it difficult to trade items among different metaverses. To this end, a decentralized reputation system for virtual items trading forum named DVIT is devised. To the best of our knowledge, DVIT is the first decentralized cross-metaverse item trading prototype inspired by the online-game trading system. We designed the corresponding transaction function and realized the autonomous governance of the community by introducing the reputation mechanism. An improved election mechanism is proposed to improve efficiency based on Delegated Proof-of-Stake (DPoS). Through token rewards associated with activity levels, users' motivation can be stimulated. The experiments indicate that our proposed scheme could dynamically measure the trustworthiness degree of the users through the dynamic reputation value and thereby exclude malicious users from the blockchain within 20 epochs.</t>
  </si>
  <si>
    <t>Liu, Ximeng/AAE-2151-2019</t>
  </si>
  <si>
    <t>Liu, Ximeng/0000-0002-4238-3295</t>
  </si>
  <si>
    <t>10.3390/math11020429</t>
  </si>
  <si>
    <t>WOS:000927732600001</t>
  </si>
  <si>
    <t>Hedrick, E; Harper, M; Oliver, E; Hatch, D</t>
  </si>
  <si>
    <t>Hedrick, Emily; Harper, Michael; Oliver, Eric; Hatch, Daniel</t>
  </si>
  <si>
    <t>Teaching &amp; Learning in Virtual Reality: Metaverse Classroom Exploration</t>
  </si>
  <si>
    <t>2022 INTERMOUNTAIN ENGINEERING, TECHNOLOGY AND COMPUTING (IETC)</t>
  </si>
  <si>
    <t>2nd Annual Intermountain Conference on Engineering, Technology, and Computing (IETC)</t>
  </si>
  <si>
    <t>MAY 14-15, 2022</t>
  </si>
  <si>
    <t>Orem, UT</t>
  </si>
  <si>
    <t>Virtual reality (VR) offers a potentially engaging environment for teaching college students. The faculty of an interaction design program is currently creating a college course where students are taught entirely in a VR classroom. The curriculum and study methodology are simultaneously in the development process and intend to measure the impact of such a course on students and instructors. The research questions in consideration involve understanding the needs for facilitating a classroom in a virtual world while ensuring learning occurs. The faculty plans to use the metaverse as a dual workspace and classroom for student participants. The metaverse is an online social experience where students interact through an internet connection in a seemingly lifelike digital space. Additional questions involve the adoption of a beta of the Meta Horizon Workrooms and whether the technology offers a viable platform for virtual classroom instruction. The proposed technology integrations include video conferencing, spatial audio, and additional app integrations for increasing student engagement and academic performance.</t>
  </si>
  <si>
    <t>978-1-6654-8653-8</t>
  </si>
  <si>
    <t>10.1109/IETC54973.2022.9796765</t>
  </si>
  <si>
    <t>WOS:000852615700036</t>
  </si>
  <si>
    <t>Ozkan, J</t>
  </si>
  <si>
    <t>Ozkan, Judith</t>
  </si>
  <si>
    <t>Taking cardiology to the metaverse: how augmented and virtual reality are broadening our horizons</t>
  </si>
  <si>
    <t>10.1093/eurheartj/ehad156</t>
  </si>
  <si>
    <t>WOS:000972727600001</t>
  </si>
  <si>
    <t>Liu, KH; Chen, L; Li, LX; Ren, HW; Wang, FY</t>
  </si>
  <si>
    <t>Liu, Kunhua; Chen, Long; Li, Lingxi; Ren, Huaiwei; Wang, Fei-Yue</t>
  </si>
  <si>
    <t>MetaMining: Mining in the Metaverse</t>
  </si>
  <si>
    <t>Mines are one of the important energy sources in the world. Due to mining areas are often affected by adverse weather and environmental conditions (sand, dust, extreme cold, heavy snow, etc.), the efficiency and security of mining are low. As a new, efficient, prospective mode, Metaverse has been studied and successfully applied in various industries. However, there is still no research about its usage in mines. In this article, we apply Metaverse to mining and propose MetaMining. We present its definition and analyze the functions it could perform. Furthermore, we propose its development phases and architecture. Specifically, MetaMining is a mode, which aims to achieve high-efficiency, high-security mining in the physical world through the interaction between the physical world and the virtual world. Its development phases involve three steps: 1) digital twins; 2) digital natives; and 3) surreality. Its architecture consists of three components: 1) human world; 2) virtual mining system; and 3) physical mining system. In addition, we analyze key technologies and possible challenges in the construction of MetaMining.</t>
  </si>
  <si>
    <t>Li, Lingxi/0000-0002-5192-492X</t>
  </si>
  <si>
    <t>10.1109/TSMC.2022.3233588</t>
  </si>
  <si>
    <t>WOS:000920490000001</t>
  </si>
  <si>
    <t>Guo, C; Dou, Y; Bai, TX; Dai, XY; Wang, CF; Wen, Y</t>
  </si>
  <si>
    <t>Guo, Chao; Dou, Yong; Bai, Tianxiang; Dai, Xingyuan; Wang, Chunfa; Wen, Yi</t>
  </si>
  <si>
    <t>ArtVerse: A Paradigm for Parallel Human-Machine Collaborative Painting Creation in Metaverses</t>
  </si>
  <si>
    <t>Currently, the development of the foundation model, metaverse, nonfungible token (NFT), and other emerging technologies has brought profound effects on the whole art field, including art creation, dissemination, transaction, etc. However, there is no research focusing on the framework, methodologies, and applications of the human-machine collaborative creation in the metaverse era. Based on parallel theory, this article proposes a novel human-machine collaborative creation paradigm called ArtVerse, in which machines take on the roles of humans to perform creation exploration and evolution and build decentralized art organizations. Besides, the operational processes involving several key technologies are designed to achieve the proposed ArtVerse. Then, a prototype system of ArtVerse, our long-term efforts toward the human-machine collaborative painting, is presented. Finally, a new ecology of artistic creation in the metaverse era is demonstrated through the applications of the ArtVerse.</t>
  </si>
  <si>
    <t>10.1109/TSMC.2022.3230406</t>
  </si>
  <si>
    <t>WOS:000909991700001</t>
  </si>
  <si>
    <t>Yang, SY; Kang, MK</t>
  </si>
  <si>
    <t>Yang, Sun-Yi; Kang, Mi-Kyung</t>
  </si>
  <si>
    <t>Efficacy Testing of a Multi-Access Metaverse-Based Early Onset Schizophrenia Nursing Simulation Program: A Quasi-Experimental Study</t>
  </si>
  <si>
    <t>This study investigated the effects of a multi-access, metaverse-based early onset schizophrenia nursing simulation program based on Raskin and Rogers' person-centered therapy. The program's effectiveness was tested using a nonequivalent control group pre-test/post-test design. A quasi-experimental simulation study with both pre- and post-test designs was adopted. The experimental group (n = 29) used the simulation program, whereas the control group (n = 29) received only an online lecture on schizophrenia nursing. Changes in scores among experimental and control groups were compared using independent t-tests and analyses of covariance with PASW SPSS-WIN 27.0. Post-intervention, the knowledge regarding patients with early onset schizophrenia, critical thinking ability, and the ability to facilitate communication increased significantly in the experimental group compared with the control group. The nursing simulation program for children with early onset schizophrenia using a metaverse improved nursing students' knowledge, critical thinking ability, and ability to facilitate communication. This training method should be adapted without spatiotemporal constraints by partially supplementing clinical and simulation-based practice. In clinical nursing training, metaverse technical limitations should be identified, and training topics should be selected. Employing EduTech in a metaverse environment can provide clinical education to nurses in psychiatric wards and improve therapeutic communication with their psychiatric patients.</t>
  </si>
  <si>
    <t>10.3390/ijerph20010449</t>
  </si>
  <si>
    <t>WOS:000909016800001</t>
  </si>
  <si>
    <t>Wang, FY</t>
  </si>
  <si>
    <t>Wang, Fei-Yue</t>
  </si>
  <si>
    <t>MetaVehicles in the Metaverse: Moving to a New Phase for Intelligent Vehicles and Smart Mobility</t>
  </si>
  <si>
    <t>IEEE TRANSACTIONS ON INTELLIGENT VEHICLES</t>
  </si>
  <si>
    <t>2379-8858</t>
  </si>
  <si>
    <t>2379-8904</t>
  </si>
  <si>
    <t>10.1109/TIV.2022.3154489</t>
  </si>
  <si>
    <t>WOS:000785743500001</t>
  </si>
  <si>
    <t>The Metaverse of Mind: Perspectives on DeSci for DeEco and DeSoc</t>
  </si>
  <si>
    <t>10.1109/JAS.2022.106106</t>
  </si>
  <si>
    <t>WOS:000894969600002</t>
  </si>
  <si>
    <t>Park, J; Kim, J; Seo, J; Kim, S; Lee, JH</t>
  </si>
  <si>
    <t>Park, Jaehyoung; Kim, Jihye; Seo, Jiyou; Kim, Sangpil; Lee, Jong-Hyouk</t>
  </si>
  <si>
    <t>DNN-Based Forensic Watermark Tracking System for Realistic Content Copyright Protection</t>
  </si>
  <si>
    <t>The metaverse-related content market is active and the demand for immersive content is increasing. However, there is no definition for granting copyrights to the content produced using artificial intelligence and discussions are still ongoing. We expect that the need for copyright protection for immersive content used in the metaverse environment will emerge and that related copyright protection techniques will be required. In this paper, we present the idea of 3D-to-2D watermarking so that content creators can protect the copyright of immersive content available in the metaverse environment. We propose an immersive content copyright protection using a deep neural network (DNN), a neural network composed of multiple hidden layers, and a forensic watermark.</t>
  </si>
  <si>
    <t>10.3390/electronics12030553</t>
  </si>
  <si>
    <t>WOS:000933776300001</t>
  </si>
  <si>
    <t>Will Metaverse become a more exciting place to listen to music streaming for mental health? (Nov, fdac136, 2022)</t>
  </si>
  <si>
    <t>fdad017</t>
  </si>
  <si>
    <t>10.1093/pubmed/fdad017</t>
  </si>
  <si>
    <t>WOS:000938839300001</t>
  </si>
  <si>
    <t>Ong, J; Hariprasad, SM; Chhablani, J</t>
  </si>
  <si>
    <t>Ong, Joshua; Hariprasad, Seenu M.; Chhablani, Jay</t>
  </si>
  <si>
    <t>Into the RetinaVerse: A New Frontier of Retina in the Metaverse</t>
  </si>
  <si>
    <t>OPHTHALMIC SURGERY LASERS &amp; IMAGING RETINA</t>
  </si>
  <si>
    <t>2325-8160</t>
  </si>
  <si>
    <t>2325-8179</t>
  </si>
  <si>
    <t>10.3928/23258160-20221017-01</t>
  </si>
  <si>
    <t>WOS:000928415900001</t>
  </si>
  <si>
    <t>Jamshidi, M; Yahya, SI; Nouri, L; Hashemi-Dezaki, H; Rezaei, A; Chaudhary, MA</t>
  </si>
  <si>
    <t>Jamshidi, Mohammad (Behdad); Yahya, Salah I.; Nouri, Leila; Hashemi-Dezaki, Hamed; Rezaei, Abbas; Chaudhary, Muhammad Akmal</t>
  </si>
  <si>
    <t>A Super-Efficient GSM Triplexer for 5G-Enabled IoT in Sustainable Smart Grid Edge Computing and the Metaverse</t>
  </si>
  <si>
    <t>Global concerns regarding environmental preservation and energy sustainability have emerged due to the various impacts of constantly increasing energy demands and climate changes. With advancements in smart grid, edge computing, and Metaverse-based technologies, it has become apparent that conventional private power networks are insufficient to meet the demanding requirements of industrial applications. The unique capabilities of 5G, such as numerous connections, high reliability, low latency, and large bandwidth, make it an excellent choice for smart grid services. The 5G network industry will heavily rely on the Internet of Things (IoT) to progress, which will act as a catalyst for the development of the future smart grid. This comprehensive platform will not only include communication infrastructure for smart grid edge computing, but also Metaverse platforms. Therefore, optimizing the IoT is crucial to achieve a sustainable edge computing network. This paper presents the design, fabrication, and evaluation of a super-efficient GSM triplexer for 5G-enabled IoT in sustainable smart grid edge computing and the Metaverse. This component is intended to operate at 0.815/1.58/2.65 GHz for 5G applications. The physical layout of our triplexer is new, and it is presented for the first time in this work. The overall size of our triplexer is only 0.007 ?(2)(g), which is the smallest compared to the previous works. The proposed triplexer has very low insertion losses of 0.12 dB, 0.09 dB, and 0.42 dB at the first, second, and third channels, respectively. We achieved the minimum insertion losses compared to previous triplexers. Additionally, the common port return losses (RLs) were better than 26 dB at all channels.</t>
  </si>
  <si>
    <t>; Yahya, Salah/A-9661-2017</t>
  </si>
  <si>
    <t>Chaudhary, Muhammad Akmal/0000-0001-6063-3377; Yahya, Salah/0000-0002-2724-5118; Jamshidi, Mohammad (Behdad)/0000-0002-5312-6497; Nouri, Leila/0000-0003-4034-9437; Rezaei, Abbas/0000-0003-0642-6726; Hashemi-Dezaki, Hamed/0000-0003-2056-2388</t>
  </si>
  <si>
    <t>10.3390/s23073775</t>
  </si>
  <si>
    <t>WOS:000970401900001</t>
  </si>
  <si>
    <t>Checcucci, E; Cacciamani, GE; Amparore, D; Gozen, A; Seitz, C; Breda, A; Liatsikos, E; Porpiglia, F</t>
  </si>
  <si>
    <t>Checcucci, Enrico; Cacciamani, Giovanni Enrico; Amparore, Daniele; Gozen, Ali; Seitz, Christian; Breda, Alberto; Liatsikos, Evangelos; Porpiglia, Francesco</t>
  </si>
  <si>
    <t>The Metaverse in Urology: Ready for Prime Time. The ESUT, ERUS, EULIS, and ESU Perspective</t>
  </si>
  <si>
    <t>EUROPEAN UROLOGY OPEN SCIENCE</t>
  </si>
  <si>
    <t>2666-1691</t>
  </si>
  <si>
    <t>2666-1683</t>
  </si>
  <si>
    <t>10.1016/j.euros.2022.10.011</t>
  </si>
  <si>
    <t>WOS:000897570000003</t>
  </si>
  <si>
    <t>Plechata, A; Makransky, G; Bohm, R</t>
  </si>
  <si>
    <t>Plechata, Adela; Makransky, Guido; Bohm, Robert</t>
  </si>
  <si>
    <t>Can extended reality in the metaverse revolutionise health communication?</t>
  </si>
  <si>
    <t>NPJ DIGITAL MEDICINE</t>
  </si>
  <si>
    <t>In the metaverse, users will actively engage with 3D content using extended reality (XR). Such XR platforms can stimulate a revolution in health communication, moving from information-based to experience-based content. We outline three major application domains and describe how the XR affordances (presence, agency and embodiment) can improve healthy behaviour by targeting the users' threat and coping appraisal. We discuss how health communication via XR can help to address long-standing health challenges.</t>
  </si>
  <si>
    <t>Plechatá, Adéla/Q-5902-2017</t>
  </si>
  <si>
    <t>Plechatá, Adéla/0000-0001-8057-5303; Bohm, Robert/0000-0001-6806-0374; Makransky, Guido/0000-0003-1862-7824</t>
  </si>
  <si>
    <t>2398-6352</t>
  </si>
  <si>
    <t>SEP 2</t>
  </si>
  <si>
    <t>10.1038/s41746-022-00682-x</t>
  </si>
  <si>
    <t>WOS:000849215500001</t>
  </si>
  <si>
    <t>Ryu, J; Kim, D; Chai, Y</t>
  </si>
  <si>
    <t>Ryu, Jaeyeong; Kim, Dongyeong; Chai, Youngho</t>
  </si>
  <si>
    <t>Corrigible Action Recognition System through Motion-Sphere Trajectories for Standard Metaverse Actions</t>
  </si>
  <si>
    <t>We propose a corrigible motion recognition system for metaverse applications, which can visualize motion data to analyze user motion and correct wrong motion data. To test the system performance, we created a metaverse dataset. The dataset consists of user interface/game/interaction classes, all of which are actions that can be used in metaverse applications. We collected motion data and conducted a recognition rate comparison experiment. We hypothesize that the recognition rate could be enhanced using proper input data types. To verify this hypothesis, we converted the motion data into three data types and recognized the data using spatial-temporal graph convolutional networks. The experimental results revealed that the recognition rate varied according to the input data types. The highest recognition performance was derived from angle-based data types. Finally, we analyzed the reason for misclassifications using Motion-Sphere. During the analysis process, we determined the standard action of the training data. We corrected wrong action data according to the standard action and confirmed the increased recognition rate. We proved that our system could correct misclassification cases using standard action through the enhanced recognition rate.</t>
  </si>
  <si>
    <t>10.1109/ISMAR-Adjunct57072.2022.00114</t>
  </si>
  <si>
    <t>WOS:000918030200103</t>
  </si>
  <si>
    <t>Huang, ZS; Choi, DH; Lai, BS; Lu, ZC; Tian, HJ</t>
  </si>
  <si>
    <t>Huang, Zengsong; Choi, Deok-Hwan; Lai, Bingsen; Lu, Zhicheng; Tian, Haijun</t>
  </si>
  <si>
    <t>Metaverse-based virtual reality experience and endurance performance in sports economy: Mediating role of mental health and performance anxiety</t>
  </si>
  <si>
    <t>Metaverse sports arena is gaining popularity globally that empowers virtual reality sporting experience through digital avatars. The main objective of the current study is to explore the impact of the Metaverse-based virtual reality sporting experience on the endurance performance of young Chinese athletes, with the mediating role of their mental health condition and performance anxiety. The study's participants mainly included Chinese athletes, especially the sample group is an accurate depiction of young athletes using a convenience sampling approach. SEM-AMOS statistical software was used for the analysis and validation of the proposed relationships. The study findings statistically validate that mental health and performance anxiety fully mediate the direct associations between virtual reality sporting experiences and the endurance performance of young Chinese athletes. Interestingly, the mental health condition of the young Chinese athletes imposes a greater impact on their endurance performance, in contrast to the adverse effects of their performance anxiety. The outcomes of the present research guide young athletes on the opportunities to enhance their virtual reality sporting abilities and boost their endurance performance. Policymakers can also build systems to dissolve physical and geographical barriers, reduce performance anxiety, and sustain mental health in virtual reality sporting events through the metaverse.</t>
  </si>
  <si>
    <t>OCT 3</t>
  </si>
  <si>
    <t>10.3389/fpubh.2022.991489</t>
  </si>
  <si>
    <t>WOS:000876268600001</t>
  </si>
  <si>
    <t>Moztarzadeh, O; Jamshidi, M; Sargolzaei, S; Jamshidi, A; Baghalipour, N; Moghani, MM; Hauer, L</t>
  </si>
  <si>
    <t>Moztarzadeh, Omid; Jamshidi, Mohammad (Behdad); Sargolzaei, Saleh; Jamshidi, Alireza; Baghalipour, Nasimeh; Malekzadeh Moghani, Mona; Hauer, Lukas</t>
  </si>
  <si>
    <t>Metaverse and Healthcare: Machine Learning-Enabled Digital Twins of Cancer</t>
  </si>
  <si>
    <t>BIOENGINEERING-BASEL</t>
  </si>
  <si>
    <t>Medical digital twins, which represent medical assets, play a crucial role in connecting the physical world to the metaverse, enabling patients to access virtual medical services and experience immersive interactions with the real world. One serious disease that can be diagnosed and treated using this technology is cancer. However, the digitalization of such diseases for use in the metaverse is a highly complex process. To address this, this study aims to use machine learning (ML) techniques to create real-time and reliable digital twins of cancer for diagnostic and therapeutic purposes. The study focuses on four classical ML techniques that are simple and fast for medical specialists without extensive Artificial Intelligence (AI) knowledge, and meet the requirements of the Internet of Medical Things (IoMT) in terms of latency and cost. The case study focuses on breast cancer (BC), the second most prevalent form of cancer worldwide. The study also presents a comprehensive conceptual framework to illustrate the process of creating digital twins of cancer, and demonstrates the feasibility and reliability of these digital twins in monitoring, diagnosing, and predicting medical parameters.</t>
  </si>
  <si>
    <t>Baghalipour, Nasimeh/0000-0002-5961-5806; Jamshidi, Mohammad (Behdad)/0000-0002-5312-6497; Jamshidi, Alireza/0000-0003-1736-5607</t>
  </si>
  <si>
    <t>2306-5354</t>
  </si>
  <si>
    <t>10.3390/bioengineering10040455</t>
  </si>
  <si>
    <t>WOS:000977541200001</t>
  </si>
  <si>
    <t>Jamshidi, MB; Ebadpour, M; Moghani, MM</t>
  </si>
  <si>
    <t>Maga, D; Hajek, J</t>
  </si>
  <si>
    <t>Jamshidi, Mohammad Behdad; Ebadpour, Mohsen; Moghani, Mona Malekzadeh</t>
  </si>
  <si>
    <t>Cancer Digital Twins in Metaverse</t>
  </si>
  <si>
    <t>2022 20TH INTERNATIONAL CONFERENCE ON MECHATRONICS - MECHATRONIKA (ME)</t>
  </si>
  <si>
    <t>20th International Conference on Mechatronics - Mechatronika (ME)</t>
  </si>
  <si>
    <t>DEC 07-09, 2022</t>
  </si>
  <si>
    <t>Pilsen, CZECH REPUBLIC</t>
  </si>
  <si>
    <t>The Metaverse is an emerging technology to make virtual environments for users to benefit from a huge number of virtual services, while users experience immersive interactions with the real world. Digital twins, which are representatives of assets in this virtual world, play an important role to connect this environment to the actual world. Therefore, translating problematic assets, objects, and disease like cancers to this cyber world provide patients with this opportunity to benefit from its advantages. This study aims to conceptualize an approach to how machine learning (ML) can realize real-time and robust digital twins of cancers to be used in the Metaverse for diagnosis and treatment. While there are a large number of ML methods, which have advantages based on the various types of healthcare data, four classic ML techniques, including ML linear regression (ML LR), decision tree regression (DTR), Random Forest Regression (RFR), and Gradient Boosting Algorithm (GBA), have been employed to implement the main part of this approach in this research. Moreover, a comprehensive conceptual framework of the ML digital twinning method has been presented to illustrate the process of digital twining cancers with different medical data.</t>
  </si>
  <si>
    <t>Ebadpour, Mohsen/AAN-4842-2021</t>
  </si>
  <si>
    <t>Ebadpour, Mohsen/0000-0001-9810-821X</t>
  </si>
  <si>
    <t>978-1-6654-1040-3</t>
  </si>
  <si>
    <t>10.1109/ME54704.2022.9983328</t>
  </si>
  <si>
    <t>WOS:000947331700058</t>
  </si>
  <si>
    <t>Xi, N; Ye, JX; Chen, CP; Chu, Q; Hu, HY; Zou, SP</t>
  </si>
  <si>
    <t>Xi, Ning; Ye, Jiaxun; Chen, Chao Ping; Chu, Qiang; Hu, Haiyang; Zou, Seak Pang</t>
  </si>
  <si>
    <t>Implantable metaverse with retinal prostheses and bionic vision processing</t>
  </si>
  <si>
    <t>OPTICS EXPRESS</t>
  </si>
  <si>
    <t>We present an implantable metaverse featuring retinal prostheses in association with bionic vision processing. Unlike conventional retinal prostheses, whose electrodes are spaced equidistantly, our solution is to rearrange the electrodes to match the distribution of ganglion cells. To naturally imitate the human vision, a scheme of bionic vision processing is developed. On top of a three-dimensional eye model, our bionic vision processing is able to visualize the monocular image, binocular image fusion, and parallax-induced depth map.</t>
  </si>
  <si>
    <t>Chen, Chao Ping/N-6113-2014</t>
  </si>
  <si>
    <t>Chen, Chao Ping/0000-0002-4366-4304</t>
  </si>
  <si>
    <t>1094-4087</t>
  </si>
  <si>
    <t>JAN 16</t>
  </si>
  <si>
    <t>10.1364/OE.478516</t>
  </si>
  <si>
    <t>WOS:000921618900024</t>
  </si>
  <si>
    <t>Cai, L; Huang, ZS; Feng, QJ; Chang, XM; Yan, KX</t>
  </si>
  <si>
    <t>Cai, Lin; Huang, Zengsong; Feng, Qiujin; Chang, Xiaoming; Yan, Kexin</t>
  </si>
  <si>
    <t>Co-Transformation of Digital Health and eSport in Metaverse: Moderating Effects of Digital Personality on Mental Health in Multiplayer Online Battle Arena (MOBA)</t>
  </si>
  <si>
    <t>Mental health issues (e.g., social exclusion, depression, anxiety, and burnout) became highly prevalent in the global eSport industry. Likewise, the eSport trend in China also dramatically increased, while the attitudes and behaviours of the players also impacted their intentions to utilize video gaming. As China became the epicentre of the online video gaming industry, especially MOBA, it primarily influenced young athletes to adopt video gaming strategies for training purposes. Still, preventive measures are needed for video gaming addictions by athletes to improve their overall eSport performance. To conduct this study, self-administered questionnaires were distributed to 400 athletes aged 18-27 years; the response rate was adequate after screening, out of which 345 were finalized for the data analysis. The results indicate that metaverse-based digital healthcare significantly impacts eSport performance. Moreover, mental health significantly mediated the relationship between metaverse-based digital health and eSport performance. In addition, the digital personality also significantly moderated the relationship between metaverse-based digital healthcare and eSport performance. This research holds tremendous significance both from theoretical and practical perspectives. The study adds valuable insights to the growing body of literature regarding eSport gaming and mental health. The beneficial and constructive intuitions regarding eSport from a psychological perspective can be gained from this study, along with its pros and cons on the mental health of young Chinese athletes.</t>
  </si>
  <si>
    <t>10.3390/ijerph20010760</t>
  </si>
  <si>
    <t>WOS:000908936400001</t>
  </si>
  <si>
    <t>Li, JW; Yang, B; Yu, T</t>
  </si>
  <si>
    <t>Li, Jiawen; Yang, Bo; Yu, Tao</t>
  </si>
  <si>
    <t>Distributed deep reinforcement learning-based coordination performance optimization method for proton exchange membrane fuel cell system</t>
  </si>
  <si>
    <t>SUSTAINABLE ENERGY TECHNOLOGIES AND ASSESSMENTS</t>
  </si>
  <si>
    <t>A proton exchange membrane fuel cell (PEMFC) is a multi-input multi-output nonlinear complicated system, the output power and operating efficiency of which are affected by various operating variables. To achieve coor-dinated control of multiple operating variables and thus improve the stability, performance, and efficiency of the PEMFC power system, a data-driven power coordination management method is proposed. Furthermore, a metaverse-based multiagent double delay deep deterministic policy gradient (MET-MADDPG) algorithm is also presented. The design of this algorithm is structured on the concept of the metaverse in that it employs different metaverses during pre-learning and combines imitation learning and curriculum learning to enable agents in different combinations to be fully trained in different environments to improve coordination strategy robustness. In this algorithm, the hydrogen controller, air controller, water pump controller and radiator controller are regarded as four agents; the objective of the training is to enable agents with their different goals to coordinate. The effectiveness of the proposed algorithm is demonstrated in a series of experiments in which it is compared with existing algorithms.</t>
  </si>
  <si>
    <t>Li, Jiawen/0000-0003-4097-9922</t>
  </si>
  <si>
    <t>2213-1388</t>
  </si>
  <si>
    <t>2213-1396</t>
  </si>
  <si>
    <t>10.1016/j.seta.2021.101814</t>
  </si>
  <si>
    <t>DEC 2021</t>
  </si>
  <si>
    <t>WOS:000734476200001</t>
  </si>
  <si>
    <t>Lynch, CA; Adeyeye, AO; Tentzeris, MM</t>
  </si>
  <si>
    <t>Lynch, Charles A., III; Adeyeye, Ajibayo O.; Tentzeris, Manos M.</t>
  </si>
  <si>
    <t>Smart Packaging of Self-Identifying and Localizable mmID for Digital Twinning and Metaverse Temperature Sensing Applications</t>
  </si>
  <si>
    <t>IEEE 72ND ELECTRONIC COMPONENTS AND TECHNOLOGY CONFERENCE (ECTC 2022)</t>
  </si>
  <si>
    <t>Electronic Components and Technology Conference</t>
  </si>
  <si>
    <t>72nd IEEE Electronic Components and Technology Conference (ECTC)</t>
  </si>
  <si>
    <t>MAY 31-JUN 01, 2022</t>
  </si>
  <si>
    <t>San Diego, CA</t>
  </si>
  <si>
    <t>With the increasing demand for scalable and high performing wireless devices for Digital Twinning applications in industrial systems and in the Metaverse, there is likewise increasing demand to explore means of Smart packaging enabled devices. In this effort, the authors report a minimalistic, ultra-loweost mull) module operating in the 60 GHz with a resistive-based temperature sensor for localized sensing applications. The presented system is capable of simultaneously sensing the local temperature of the self-identifying mmID while maintaining a ranging accuracy of 5.35mm. In addition, simultaneous multi-tag interrogation capability is demonstrated through the Smart packaging of the mmID enabled through Frequency Division Multiplexing. Thus, the system features a framework for future Digital Twinning and Metaverse applications that utilize multiple self-identifying mmID's for localized sensing.</t>
  </si>
  <si>
    <t>0569-5503</t>
  </si>
  <si>
    <t>2377-5726</t>
  </si>
  <si>
    <t>978-1-6654-7943-1</t>
  </si>
  <si>
    <t>10.1109/ECTC51906.2022.00023</t>
  </si>
  <si>
    <t>WOS:000848765300016</t>
  </si>
  <si>
    <t>Fan, YC; Chiu, YC; Chang, LC</t>
  </si>
  <si>
    <t>Fan, Yu-Cheng; Chiu, Yi-Chih; Chang, Li-Cheng</t>
  </si>
  <si>
    <t>2D/3D Image Converter Based on Overlapping Line</t>
  </si>
  <si>
    <t>2022 IEEE INTERNATIONAL CONFERENCE ON IMAGING SYSTEMS AND TECHNIQUES (IST 2022)</t>
  </si>
  <si>
    <t>IEEE International Conference on Imaging Systems and Techniques</t>
  </si>
  <si>
    <t>IEEE International Conference on Imaging Systems and Techniques (IST) / IEEE International School on Imaging</t>
  </si>
  <si>
    <t>JUN 21-23, 2022</t>
  </si>
  <si>
    <t>IEEE,IEEE Instrumentat &amp; Measurement Soc</t>
  </si>
  <si>
    <t>In recent years, with the vigorous development of metaverse and virtual reality technology, it has also driven the development of the entire 3D research. In addition to the emergence of more and more virtual reality and augmented reality products, 3D research has also received considerable attention. This paper proposes an algorithm to automatically generate depth information map, which mainly uses overlapping lines to judge the distance relationship between objects, thereby efficiently reconstructing a complete depth information map.</t>
  </si>
  <si>
    <t>2471-6162</t>
  </si>
  <si>
    <t>978-1-6654-8102-1</t>
  </si>
  <si>
    <t>10.1109/IST55454.2022.9827764</t>
  </si>
  <si>
    <t>WOS:000853020700057</t>
  </si>
  <si>
    <t>Khalaj, O; Jamshidi, M; Hassas, P; Hosseininezhad, M; Masek, B; Stadler, C; Svoboda, J</t>
  </si>
  <si>
    <t>Khalaj, Omid; Jamshidi, Mohammad (Behdad); Hassas, Parsa; Hosseininezhad, Marziyeh; Masek, Bohuslav; Stadler, Ctibor; Svoboda, Jiri</t>
  </si>
  <si>
    <t>Metaverse and AI Digital Twinning of 42SiCr Steel Alloys</t>
  </si>
  <si>
    <t>Digital twins are the most important parts of Cyber-Physical Systems (CPSs), and play a crucial role in the realization of the Metaverse. Therefore, two important factors: flexibility and adaptability, need to be focused on digital twinning systems. From a virtual perspective, constructing buildings, structures, and mechanisms in the Metaverse requires digital materials and components. Hence, accurate and reliable digital models can guarantee the success of implementation, particularly when it comes to completing physical twins in the real world. Accordingly, four Machine Learning (ML) methods to make digital twins of an advanced 42SiCr alloy considering all of its uncertainties and non-linearities have been employed in this paper. These ML methods accelerate the digitalization of the proposed alloy and allow users to employ them for a wide range of similar metals. Based on this technique, producers can borrow these virtual materials and build their structures in the Metaverse. This way, if the properties of the materials were satisfactory, they might buy them and start manufacturing their products. As a case study, we focus on digital twining of an 42SiCr steel with some influential factors in its mechanical properties, making the nature of the alloy complex. Processes, including heat treatment, may restore the material's deformability; however, Quenching and Partitioning (Q&amp;P) not only eliminates the impact of cold forming but also provides advanced high-strength steel (AHSS) properties. In this research, the combined impacts of different Q&amp;P treatments were investigated on the mechanical properties of 42SiCr steel alloy. The results have shown the acceptability and accuracy of the proposed ML methods in realizing the digital twins of this complex alloy.</t>
  </si>
  <si>
    <t>Jamshidi, Mohammad (Behdad)/AAH-5021-2019</t>
  </si>
  <si>
    <t>Jamshidi, Mohammad (Behdad)/0000-0002-5312-6497</t>
  </si>
  <si>
    <t>10.3390/math11010004</t>
  </si>
  <si>
    <t>WOS:000909248900001</t>
  </si>
  <si>
    <t>Meng, Z; She, CY; Zhao, GD; De Martini, D</t>
  </si>
  <si>
    <t>Meng, Zhen; She, Changyang; Zhao, Guodong; De Martini, Daniele</t>
  </si>
  <si>
    <t>Sampling, Communication, and Prediction Co-Design for Synchronizing the Real-World Device and Digital Model in Metaverse</t>
  </si>
  <si>
    <t>IEEE JOURNAL ON SELECTED AREAS IN COMMUNICATIONS</t>
  </si>
  <si>
    <t>The metaverse has the potential to revolutionize the next generation of the Internet by supporting highly interactive services with satisfactory user experience. The synchronization between devices in the physical world and their digital models in the metaverse is crucial. This work proposes a sampling, communication and prediction co-design framework to minimize the communication load subject to a constraint on the tracking error. To optimize the sampling rate and the prediction horizon, we exploit expert knowledge and develop a constrained deep reinforcement learning algorithm. We validate our framework on a prototype composed of a real-world robotic arm and its digital model. The results show that our framework achieves a better trade-off between the average tracking error and the average communication load compared with a communication system without sampling and prediction. For example, the average communication load can be reduced up to 87% when the average track error constraint is 0.007 degrees. In addition, our policy outperforms the benchmark with the static sampling rate and prediction horizon optimized by exhaustive search, in terms of the tail probability of the tracking error. Furthermore, with the assistance of expert knowledge, the proposed algorithm achieves better convergence time, stability, communication load, and average tacking error.</t>
  </si>
  <si>
    <t>0733-8716</t>
  </si>
  <si>
    <t>1558-0008</t>
  </si>
  <si>
    <t>10.1109/JSAC.2022.3221993</t>
  </si>
  <si>
    <t>WOS:000927934500019</t>
  </si>
  <si>
    <t>Vladimirov, I; Nenova, M; Nikolova, D; Terneva, Z</t>
  </si>
  <si>
    <t>Vladimirov, Ivaylo; Nenova, Maria; Nikolova, Desislava; Terneva, Zornitsa</t>
  </si>
  <si>
    <t>Security and Privacy Protection Obstacles with 3D Reconstructed Models of People in Applications and the Metaverse: A Survey</t>
  </si>
  <si>
    <t>2022 57TH INTERNATIONAL SCIENTIFIC CONFERENCE ON INFORMATION, COMMUNICATION AND ENERGY SYSTEMS AND TECHNOLOGIES (ICEST)</t>
  </si>
  <si>
    <t>57th International Scientific Conference on Information, Communication and Energy Systems and Technologies (ICEST)</t>
  </si>
  <si>
    <t>JUN 16-18, 2022</t>
  </si>
  <si>
    <t>Ohrid, NORTH MACEDONIA</t>
  </si>
  <si>
    <t>In this scientific research, a survey of different security and privacy protection issues and flaws in the context of reconstruction of 3D models of real people is made. The intent of this analysis, is to consider the threats that a realistic digital clone, a. k.a avatar of a person can have in the wrong hands. This paper will also offer different approaches that can be used in overcoming this privacy problem.</t>
  </si>
  <si>
    <t>978-1-6654-8500-5</t>
  </si>
  <si>
    <t>10.1109/ICEST55168.2022.9828791</t>
  </si>
  <si>
    <t>WOS:000948177200019</t>
  </si>
  <si>
    <t>Sawiros, M; Lou, RD; Rawash, M</t>
  </si>
  <si>
    <t>Sawiros, Marc; Lou, Ruding; Rawash, Maged</t>
  </si>
  <si>
    <t>NEXT-GEN E-COMMERCE in the METAVERS</t>
  </si>
  <si>
    <t>The Metaverse's goal is to create a virtual world that incorporates augmented reality, virtual reality, 3D holographic avatars, and other forms of communication. In this paper, a new e-commerce experience was developed to contain the new technology in user friendly applications that can be used in the Metaverse as a facility to combine online trading and the new technology of the virtual reality.</t>
  </si>
  <si>
    <t>10.1109/ISMAR-Adjunct57072.2022.00017</t>
  </si>
  <si>
    <t>WOS:000918030200008</t>
  </si>
  <si>
    <t>Cho, Y; Hong, S; Kim, M; Kim, J</t>
  </si>
  <si>
    <t>Cho, Yunsik; Hong, Seunghyun; Kim, Mingyu; Kim, Jinmo</t>
  </si>
  <si>
    <t>DAVE: Deep Learning-Based Asymmetric Virtual Environment for Immersive Experiential Metaverse Content</t>
  </si>
  <si>
    <t>In this study, we design an interface optimized for the platform by adopting deep learning in an asymmetric virtual environment where virtual reality (VR) and augmented reality (AR) users participate together. We also propose a novel experience environment called deep learning-based asymmetric virtual environment (DAVE) for immersive experiential metaverse content. First, VR users use their real hands to intuitively interact with the virtual environment and objects. A gesture interface is designed based on deep learning to directly link gestures to actions. AR users interact with virtual scenes, objects, and VR users via a touch-based input method in a mobile platform environment. A text interface is designed using deep learning to directly link handwritten text to actions. This study aims to propose a novel asymmetric virtual environment via an intuitive, easy, and fast interactive interface design as well as to create metaverse content for an experience environment and a survey experiment. This survey experiment is conducted with users to statistically analyze and investigate user interface satisfaction, user experience, and user presence in the experience environment.</t>
  </si>
  <si>
    <t>Kim, Jinmo/0000-0002-1663-9306</t>
  </si>
  <si>
    <t>10.3390/electronics11162604</t>
  </si>
  <si>
    <t>WOS:000846194500001</t>
  </si>
  <si>
    <t>Han, Y; Niyato, D; Leung, C; Kim, DI; Zhu, K; Feng, SH; Shen, XM; Miao, CY</t>
  </si>
  <si>
    <t>Han, Yue; Niyato, Dusit; Leung, Cyril; Kim, Dong In; Zhu, Kun; Feng, Shaohan; Shen, Xuemin; Miao, Chunyan</t>
  </si>
  <si>
    <t>A Dynamic Hierarchical Framework for IoT-Assisted Digital Twin Synchronization in the Metaverse</t>
  </si>
  <si>
    <t>Metaverse, also known as the Internet of 3-D worlds, has recently attracted much attention from both academia and industry. Each virtual subworld, operated by a virtual service provider (VSP), provides a type of virtual service. Digital twins (DTs), namely, digital replicas of physical objects, are key enablers. Generally, a DT belongs to the party that develops it and establishes the communication link between the two worlds. However, in an interoperable metaverse, data-like DTs can be shared  within the platform. Therefore, one set of DTs can be leveraged by multiple VSPs. As the quality of the shared DTs may not always be satisfying, in this article, we propose an agile solution, i.e., a dynamic hierarchical framework, in which a group of Internet of Things devices in the lower level are incentivized to collectively sense physical objects' status information and VSPs in the upper level determine synchronization intensities to maximize their payoffs. We adopt an evolutionary game approach to model the devices VSP selections and a simultaneous differential game to model the optimal synchronization intensity control problem. We further extend it as a Stackelberg differential game by considering some VSPs to be first movers. We provide open-loop solutions based on the control theory for both formulations. We theoretically and experimentally show the existence, uniqueness, and stability of the equilibrium to the lower level game and further provide a sensitivity analysis for various system parameters. Experiments show that the proposed dynamic hierarchical game outperforms the baseline.</t>
  </si>
  <si>
    <t>Cai, Lin/C-3286-2016</t>
  </si>
  <si>
    <t>Cai, Lin/0000-0002-1093-4865; Shen, Xuemin (Sherman)/0000-0002-4140-287X</t>
  </si>
  <si>
    <t>10.1109/JIOT.2022.3201082</t>
  </si>
  <si>
    <t>WOS:000911309300020</t>
  </si>
  <si>
    <t>Siyaev, A; Jo, GS</t>
  </si>
  <si>
    <t>Siyaev, Aziz; Jo, Geun-Sik</t>
  </si>
  <si>
    <t>Neuro-Symbolic Speech Understanding in Aircraft Maintenance Metaverse</t>
  </si>
  <si>
    <t>In the emerging world of metaverses, it is essential for speech communication systems to be aware of context to interact with virtual assets in the 3D world. This paper proposes the metaverse for aircraft maintenance training and education of Boeing-737, supplied with legacy manuals, 3D models, 3D simulators, and aircraft maintenance knowledge. Furthermore, to navigate and control operational flow in the metaverse, which is strictly followed by maintenance manuals, the context-aware speech understanding module Neuro-Symbolic Speech Executor (NSSE) is presented. Unlike conventional speech recognition methods, NSSE applies Neuro-Symbolic AI, which combines neural networks and traditional symbolic reasoning, to understand users' requests and reply based on context and aircraft-specific knowledge. NSSE is developed with an industrially flexible approach by applying only synthetic data for training. Nevertheless, the evaluation process performed with various automatic speech recognition metrics on real users' data showed sustainable results with an average accuracy of 94.7%, Word Error Rate (WER) of 7.5%, and the generalization ability to handle speech requests of users with the non-native pronunciation. The proposed Aircraft Maintenance Metaverse is a cheap and scalable solution for aviation colleges since it replaces expensive physical aircraft with virtual one that can be easily modified and updated. Moreover, the Neuro-Symbolic Speech Executor, playing the role of field expert, provides technical guidance and all the resources to facilitate effective training and education of aircraft maintenance.</t>
  </si>
  <si>
    <t>Siyaev, Aziz/0000-0001-7097-7077</t>
  </si>
  <si>
    <t>10.1109/ACCESS.2021.3128616</t>
  </si>
  <si>
    <t>WOS:000721994200001</t>
  </si>
  <si>
    <t>Park, CSY; Park, NJY</t>
  </si>
  <si>
    <t>Park, Claire Su-Yeon; Park, Nora Jee-Young</t>
  </si>
  <si>
    <t>Adapting to cutocracy: A survival strategy for prospective health professions educators in the era of the metaverse</t>
  </si>
  <si>
    <t>JOURNAL OF PROFESSIONAL NURSING</t>
  </si>
  <si>
    <t>8755-7223</t>
  </si>
  <si>
    <t>1532-8481</t>
  </si>
  <si>
    <t>A1</t>
  </si>
  <si>
    <t>A4</t>
  </si>
  <si>
    <t>10.1016/j.profnurs.2022.06.004</t>
  </si>
  <si>
    <t>WOS:000862866000001</t>
  </si>
  <si>
    <t>Zhang, X; Huang, X; Yin, HT; Huang, JJ; Chai, S; Xing, B; Wu, XH; Zhao, LB</t>
  </si>
  <si>
    <t>Zhang, Xin; Huang, Xin; Yin, Haotian; Huang, Jiajia; Chai, Sheng; Xing, Bin; Wu, Xiaohua; Zhao, Liangbin</t>
  </si>
  <si>
    <t>LLAKEP: A Low-Latency Authentication and Key Exchange Protocol for Energy Internet of Things in the Metaverse Era</t>
  </si>
  <si>
    <t>The authenticated key exchange (AKE) protocol can ensure secure communication between a client and a server in the electricity transaction of the Energy Internet of things (EIoT). Park proposed a two-factor authentication protocol 2PAKEP, whose computational burden of authentication is evenly shared by both sides. However, the computing capability of the client device is weaker than that of the server. Therefore, based on 2PAKEP, we propose an authentication protocol that transfers computational tasks from the client to the server. The client has fewer computing tasks in this protocol than the server, and the overall latency will be greatly reduced. Furthermore, the security of the proposed protocol is analyzed by using the ROR model and GNY logic. We verify the low-latency advantage of the proposed protocol through various comparative experiments and use it for EIoT electricity transaction systems in a Metaverse scenario.</t>
  </si>
  <si>
    <t>柴, 晟/GWM-7491-2022</t>
  </si>
  <si>
    <t>Yin, Haotian/0000-0002-5088-6116; Chai, Sheng/0000-0003-0772-9147; Zhang, Xin/0000-0002-1145-6906</t>
  </si>
  <si>
    <t>10.3390/math10142545</t>
  </si>
  <si>
    <t>WOS:000833876600001</t>
  </si>
  <si>
    <t>Jot, JM; Audfray, R; Hertensteiner, M; Schmidt, B</t>
  </si>
  <si>
    <t>Jot, Jean-Marc; Audfray, Remi; Hertensteiner, Mark; Schmidt, Brian</t>
  </si>
  <si>
    <t>Rendering Spatial Sound for Interoperable Experiences in the Audio Metaverse</t>
  </si>
  <si>
    <t>2021 IMMERSIVE AND 3D AUDIO: FROM ARCHITECTURE TO AUTOMOTIVE (I3DA)</t>
  </si>
  <si>
    <t>Conference on Immersive and 3D Audio - From Architecture to Automotive (I3DA)</t>
  </si>
  <si>
    <t>SEP 08-10, 2021</t>
  </si>
  <si>
    <t>Interactive audio spatialization technology previously developed for video game authoring and rendering has evolved into an essential component of platforms enabling shared immersive virtual experiences for future co-presence, remote collaboration and entertainment applications. New wearable virtual and augmented reality displays employ real-time binaural audio computing engines rendering multiple digital objects and supporting the free navigation of networked participants or their avatars through a juxtaposition of environments, real and virtual, often referred to as the Metaverse. These applications require a parametric audio scene programming interface to facilitate the creation and deployment of shared, dynamic and realistic virtual 3D worlds on mobile computing platforms and remote servers. We propose a practical approach for designing parametric 6-degree-of-freedom object-based interactive audio engines to deliver the perceptually relevant binaural cues necessary for audio/visual and virtual/real congruence in Metaverse experiences. We address the effects of room reverberation, acoustic reflectors, and obstacles in both the virtual and real environments, and discuss how such effects may be driven by combinations of pre-computed and real-time acoustic propagation solvers. We envision an open scene description model distilled to facilitate the development of interoperable applications distributed across multiple platforms, where each audio object represents, to the user, a natural sound source having controllable distance, size, orientation, and acoustic radiation properties.</t>
  </si>
  <si>
    <t>978-1-6654-0998-8</t>
  </si>
  <si>
    <t>10.1109/I3DA48870.2021.9610971</t>
  </si>
  <si>
    <t>WOS:000790807300101</t>
  </si>
  <si>
    <t>Chen, JH; Xiao, H; Hu, MC; Chen, CM</t>
  </si>
  <si>
    <t>Chen, Jiahui; Xiao, Hang; Hu, Muchuang; Chen, Chien-Ming</t>
  </si>
  <si>
    <t>A blockchain-based signature exchange protocol for metaverse</t>
  </si>
  <si>
    <t>Electronic Commodity Trading has a pivotal role in our economic activities. In the literature, there is a classic problem called Fair Exchangewhich is fundamental to electronic commodity trading. It means the participants can receive the exchange item of the counterparty as they have agreed on before. Since the ownership of items online is often authorized by digital signatures, we focus on the problem of the fair exchange of digital signatures in this paper. As the concept of the Metaverse becomes popular recently, what we are concerned about is how the fair exchange will evolve in a metaverse. It is said that the metaverse is a vision of how the next generation of the internet will operate and the research for the fair exchange problem in it is essential for a wide range of applications like trading a (Non-fungible-token) NFT. Many cryptographic fair exchange protocols are proposed to deal with such a problem. However, most of them should rely on a Trusted Third Party (TTP) and the security is restricted by the TTP. The way the metaverse will work is still being defined. But it will probably provide users with a decentralized environment and a fair exchange protocol relying on a TTP seems unsuitable for it. Recently, researchers present some blockchain-based fair exchange protocols to get rid of or reduce the power of a TTP. But these blockchain-based protocols face new challenges. Firstly, cryptography pairing operations are often contained in such a TTP-free protocol and cost too much for the blockchain. Secondly, the player may hang for an unacceptably long time of the latency of the blockchain network. Thirdly, it is difficult to protect the privacy of the signatures while making the whole protocol verifiable at the same time. To bridge these research gaps, this paper presents a novel signature exchange protocol called DFSE which is decentralized, verifiable, efficient and autonomous. To give a real-world evaluation, we perform the experiment on the live test network of Ethereum and the results show that our protocol is feasible.(c) 2022 Elsevier B.V. All rights reserved.</t>
  </si>
  <si>
    <t>Chen, Chien-Ming/W-2133-2019</t>
  </si>
  <si>
    <t>Chen, Chien-Ming/0000-0002-6502-472X</t>
  </si>
  <si>
    <t>10.1016/j.future.2022.12.031</t>
  </si>
  <si>
    <t>WOS:000938102400001</t>
  </si>
  <si>
    <t>Xu, M; Niyato, D; Kang, J; Xiong, Z; Miao, C; Kim, DI</t>
  </si>
  <si>
    <t>Xu, Minrui; Niyato, Dusit; Kang, Jiawen; Xiong, Zehui; Miao, Chunyan; Kim, Dong In</t>
  </si>
  <si>
    <t>Wireless Edge-Empowered Metaverse: A Learning-Based Incentive Mechanism for Virtual Reality</t>
  </si>
  <si>
    <t>The Metaverse is regarded as the next-generation Internet paradigm that allows humans to play, work, and socialize in an alternative virtual world with an immersive experience, for instance, via head-mounted displays for Virtual Reality (VR) rendering. With the help of ubiquitous wireless connections and powerful edge computing technologies, VR users in the wireless edge-empowered Metaverse can immerse themselves in the virtual through the access of VR services offered by different providers. However, VR applications are computation- and communication-intensive. The VR service providers (SPs) have to optimize the VR service delivery efficiently and economically given their limited communication and computation resources. An incentive mechanism can be thus applied as an effective tool for managing VR services between providers and users. Therefore, in this paper, we propose a learning-based Incentive Mechanism framework for VR services in the Metaverse. First, we propose the quality of perceptual experience as the metric for VR users immersing in the virtual world. Second, for quick trading of VR services between VR users (i.e., buyers) and VR SPs (i.e., sellers), we design a double Dutch auction mechanism to determine optimal pricing and allocation rules in this market. Third, for auction information exchange cost reduction, we design a deep reinforcement learning-based auctioneer to accelerate this auction process. Experimental results demonstrate that the proposed framework can achieve near-optimal social welfare while reducing at least half of the auction information exchange cost than baseline methods.</t>
  </si>
  <si>
    <t>XU, MINRUI/AFH-5904-2022; Xiong, Zehui/B-9792-2019</t>
  </si>
  <si>
    <t>WOS:000864709905069</t>
  </si>
  <si>
    <t>Wang, SP; Wang, XY; Wang, S; Yu, W; Yu, LT; Hou, L; Tang, Y; Zhang, Z; Yao, N; Cao, C; Dong, H; Zhang, L; Bao, HJ</t>
  </si>
  <si>
    <t>Wang, Shipeng; Wang, Xiaoyu; Wang, Shan; Yu, Wen; Yu, Longteng; Hou, Lei; Tang, Yao; Zhang, Zhang; Yao, Ni; Cao, Chuan; Dong, Hao; Zhang, Lei; Bao, Hujun</t>
  </si>
  <si>
    <t>Optical-Nanofiber-Enabled Gesture-Recognition Wristband for Human-Machine Interaction with the Assistance of Machine Learning</t>
  </si>
  <si>
    <t>ADVANCED INTELLIGENT SYSTEMS</t>
  </si>
  <si>
    <t>The metaverse, where the virtual and real world are fused, is currently under rapid development. Immersive and vivid experience in the metaverse requires human-machine interaction devices that, unlike those currently available, are simultaneously imperceptible, convenient to use, inexpensive, and safe. Herein, an optical-nanofiber-based gesture-recognition wristband that can accurately recognize gestures and be used to interact with a robotic hand is proposed and realized. Requiring only three optical-nanofiber-based pressure sensors, the wristband is simple in structure, convenient to use, and remarkably imperceptible to the user. With the assistance of a machine-learning algorithm, a maximum recognition accuracy of 94% is achieved for testers with different physiques. A robotic hand can be remotely controlled by the wristband through gestures. The wristband has broad application prospects and is a promising solution for advanced human-machine-interaction devices. An interactive preprint version of the article can be found here: .</t>
  </si>
  <si>
    <t>2640-4567</t>
  </si>
  <si>
    <t>10.1002/aisy.202200412</t>
  </si>
  <si>
    <t>WOS:000951638500001</t>
  </si>
  <si>
    <t>Xia, YE; Li, WQ; Duan, SS; Lei, W; Wu, J</t>
  </si>
  <si>
    <t>Xia, Yier; Li, Wenqian; Duan, Shengshun; Lei, Wei; Wu, Jun</t>
  </si>
  <si>
    <t>Low-cost, Light-weight Scalable Soft Data Glove for VR Applications</t>
  </si>
  <si>
    <t>2022 5TH INTERNATIONAL CONFERENCE ON CIRCUITS, SYSTEMS AND SIMULATION (ICCSS 2022)</t>
  </si>
  <si>
    <t>5th International Conference on Circuits, Systems and Simulation (ICCSS)</t>
  </si>
  <si>
    <t>MAY 13-15, 2022</t>
  </si>
  <si>
    <t>Joint Int Res Lab Informat Display &amp; Visualizat, Nanjing, PEOPLES R CHINA</t>
  </si>
  <si>
    <t>SE Univ</t>
  </si>
  <si>
    <t>Joint Int Res Lab Informat Display &amp; Visualizat</t>
  </si>
  <si>
    <t>In the new coming era of metaverse, natural and continuous interactions between human beings and XR devices is vital. Yet, the current rigid wearable devices come with bulky occupation, heavy weight, and high cost. Herein, based on thermal transfer printing techniques, we proposed a more skin-compatible soft electronic glove with low cost (similar to$13.5 per unit), light weight (similar to 25.5 g), and scalability for mass production. Through monitoring bending states of five fingers, the electronic glove can recognize hand gesture, and, as a demonstration, control a customized VR shooting game.</t>
  </si>
  <si>
    <t>夏, 伊尔/HHD-1139-2022</t>
  </si>
  <si>
    <t>978-1-6654-8119-9</t>
  </si>
  <si>
    <t>WOS:000852879300038</t>
  </si>
  <si>
    <t>Cao, LB</t>
  </si>
  <si>
    <t>Cao, Longbing</t>
  </si>
  <si>
    <t>Decentralized AI: Edge Intelligence and Smart Blockchain, Metaverse, Web3, and DeSci</t>
  </si>
  <si>
    <t>IEEE INTELLIGENT SYSTEMS</t>
  </si>
  <si>
    <t>Centralization has dominated classic scientific, social, and economic developments. Decentralization has also received increasing attention in management, decision, governance, and economics, despite its incomparability in AI. Going beyond centralized and distributed AI, this article reviews and delineates the conceptual map, research issues, and technical opportunities of decentralized AI and edge intelligence. The complementarity and metasynthesis between centralized and decentralized AI are also elaborated. We further assess where decentralized AI and edge intelligence can enable and promote smart blockchain, Web3, metaverse and decentralized science disciplinarily, technically, practically, and more broadly.</t>
  </si>
  <si>
    <t>cao, longbing/0000-0003-1562-9429</t>
  </si>
  <si>
    <t>1541-1672</t>
  </si>
  <si>
    <t>1941-1294</t>
  </si>
  <si>
    <t>10.1109/MIS.2022.3181504</t>
  </si>
  <si>
    <t>WOS:000831149400008</t>
  </si>
  <si>
    <t>Sailer, I</t>
  </si>
  <si>
    <t>Sailer, Irena</t>
  </si>
  <si>
    <t>Are Big Data, Artificial Intelligence, Augmented Reality, Robotics, Teledentistry, and Metaverse Just Buzz Terms, or Do They Indicate a Paradigm Shift in Prosthodontics?</t>
  </si>
  <si>
    <t>INTERNATIONAL JOURNAL OF PROSTHODONTICS</t>
  </si>
  <si>
    <t>0893-2174</t>
  </si>
  <si>
    <t>1942-4426</t>
  </si>
  <si>
    <t>10.11607/ijp.2022.2.e</t>
  </si>
  <si>
    <t>WOS:000798980300001</t>
  </si>
  <si>
    <t>Su, ML; Zhang, CY; Yang, MC; Liang, W; Li, XC; Liu, QQ</t>
  </si>
  <si>
    <t>Su, Minglan; Zhang, Chaoying; Yang, Mingchuan; Liang, Wei; Li, Xinchi; Liu, Qiaoqiao</t>
  </si>
  <si>
    <t>3D Human Reconstruction Combined with Facial Features</t>
  </si>
  <si>
    <t>2022 INTERNATIONAL CONFERENCE ON IMAGE PROCESSING, COMPUTER VISION AND MACHINE LEARNING (ICICML)</t>
  </si>
  <si>
    <t>International Conference on Image Processing, Computer Vision and Machine Learning (ICICML)</t>
  </si>
  <si>
    <t>OCT 28-30, 2022</t>
  </si>
  <si>
    <t>Xian, PEOPLES R CHINA</t>
  </si>
  <si>
    <t>The Metaverse is a shared virtual space that allows individuals to interact with other users in a digital environment. Therefore, constructing a real 3D human body model in the Metaverse as a mapping of the real world is an indispensable content. It is currently very challenging to accurately and robustly model a 3D human body from a single image. The main problem is how to accurately reconstruct the detailed texture of the character, especially the facial texture that best characterizes the identity of the character. Therefore, we propose a 3D human reconstruction algorithm combined with facial features. By predicting the parameters of the 3DMM model, we construct a 3D facial model, extract the corresponding 3D facial features, and fuse them with the 2D image features to jointly realize the implicit prediction of the 3D human body. The method introduces 3D face model as prior knowledge, which greatly improves the accuracy of 3D human face reconstruction.</t>
  </si>
  <si>
    <t>978-1-6654-6468-0</t>
  </si>
  <si>
    <t>10.1109/ICICML57342.2022.10009741</t>
  </si>
  <si>
    <t>WOS:000932798900103</t>
  </si>
  <si>
    <t>Park, WH; Siddiqui, IF; Qureshi, NMF</t>
  </si>
  <si>
    <t>Park, Woo Hyun; Siddiqui, Isma Farah; Qureshi, Nawab Muhammad Faseeh</t>
  </si>
  <si>
    <t>AI-Enabled Grouping Bridgehead to Secure Penetration Topics of Metaverse</t>
  </si>
  <si>
    <t>CMC-COMPUTERS MATERIALS &amp; CONTINUA</t>
  </si>
  <si>
    <t>With the advent of the big data era, security issues in the context of artificial intelligence (AI) and data analysis are attracting research attention. In the metaverse, which will become a virtual asset in the future, users' communication, movement with characters, text elements, etc., are required to integrate the real and virtual. However, they can be exposed to threats. Particularly, various hacker threats exist. For example, users' assets are exposed through notices and mail alerts regularly sent to users by operators. In the future, hacker threats will increase mainly due to naturally anonymous texts. Therefore, it is necessary to use the natural language processing technology of artificial intelligence, especially term frequency-inverse document frequency, word2vec, gated recurrent unit, recurrent neural network, and long-short term memory. Additionally, several application versions are used. Currently, research on tasks and performance for algorithm application is underway. We propose a grouping algorithm that focuses on securing various bridgehead strategies to secure topics for security and safety within the metaverse. The algorithm comprises three modules: extracting topics from attacks, managing dimensions, and performing grouping. Consequently, we create 24 topic-based models. Assuming normal and spam mail attacks to verify our algorithm, the accuracy of the previous application version was increased by similar to 0.4%-1.5%.</t>
  </si>
  <si>
    <t>Siddiqui, Isma F/Q-9976-2018; Qureshi, Nawab Muhammad Faseeh/AFH-3963-2022</t>
  </si>
  <si>
    <t>Siddiqui, Isma F/0000-0002-2058-4336; Qureshi, Nawab Muhammad Faseeh/0000-0002-5035-2640</t>
  </si>
  <si>
    <t>1546-2218</t>
  </si>
  <si>
    <t>1546-2226</t>
  </si>
  <si>
    <t>10.32604/cmc.2022.030235</t>
  </si>
  <si>
    <t>WOS:000858712900033</t>
  </si>
  <si>
    <t>Sun, Q; Xu, YR; Sun, YD; Yao, CH; Lee, JSA; Chen, K</t>
  </si>
  <si>
    <t>Sun, Qian; Xu, Yueran; Sun, Yidan; Yao, Changhua; Lee, Jeannie Su Ann; Chen, Kan</t>
  </si>
  <si>
    <t>GN-CNN: A Point Cloud Analysis Method for Metaverse Applications</t>
  </si>
  <si>
    <t>Metaverse applications often require many new 3D point cloud models that are unlabeled and that have never been seen before; this limited information results in difficulties for data-driven model analyses. In this paper, we propose a novel data-driven 3D point cloud analysis network GN-CNN that is suitable for such scenarios. We tackle the difficulties with a few-shot learning (FSL) approach by proposing an unsupervised generative adversarial network GN-GAN to generate prior knowledge and perform warm start pre-training for GN-CNN. Furthermore, the 3D models in the Metaverse are mostly acquired with a focus on the models' visual appearances instead of the exact positions. Thus, conceptually, we also propose to augment the information by unleashing and incorporating local variance information, which conveys the appearance of the model. This is realized by introducing a graph convolution-enhanced combined multilayer perceptron operation (CMLP), namely GCMLP, to capture the local geometric relationship as well as a local normal-aware GeoConv, namely GNConv. The GN-GAN adopts an encoder-decoder structure and the GCMLP is used as the core operation of the encoder. It can perform the reconstruction task. The GNConv is used as the convolution-like operation in GN-CNN. The classification performance of GN-CNN is evaluated on ModelNet10 with an overall accuracy of 95.9%. Its few-shot learning performance is evaluated on ModelNet40, when the training set size is reduced to 30%, the overall classification accuracy can reach 91.8%, which is 2.5% higher than Geo-CNN. Experiments show that the proposed method could improve the accuracy in 3D point cloud classification tasks and under few-shot learning scenarios, compared with existing methods such as PointNet, PointNet++, DGCNN, and Geo-CNN, making it a beneficial method for Metaverse applications.</t>
  </si>
  <si>
    <t>Sun, Qian/0000-0002-2098-9878; Chen, Kan/0000-0003-3628-6699</t>
  </si>
  <si>
    <t>10.3390/electronics12020273</t>
  </si>
  <si>
    <t>WOS:000916993900001</t>
  </si>
  <si>
    <t>Bandyopadhyay, A; Sarkar, A; Swain, S; Banik, D; Hassanien, AE; Mallik, S; Li, AM; Qin, H</t>
  </si>
  <si>
    <t>Bandyopadhyay, Anjan; Sarkar, Ansh; Swain, Sujata; Banik, Debajyoty; Hassanien, Aboul Ella; Mallik, Saurav; Li, Aimin; Qin, Hong</t>
  </si>
  <si>
    <t>A Game-Theoretic Approach for Rendering Immersive Experiences in the Metaverse</t>
  </si>
  <si>
    <t>The metaverse is an upcoming computing paradigm aiming towards blending reality seamlessly with the artificially generated 3D worlds of deep cyberspace. This giant interactive mesh of three-dimensional reconstructed realms has recently received tremendous attention from both an academic and commercial point of view owing to the curiosity instilled by its vast possible use cases. Every virtual world in the metaverse is controlled and maintained by a virtual service provider (VSP). Interconnected clusters of LiDAR sensors act as a feeder network to these VSPs which then process the data and reconstruct the best quality immersive environment possible. These data can then be leveraged to provide users with highly targeted virtual services by building upon the concept of digital twins (DTs) representing digital analogs of real-world items owned by parties that create and establish the communication channels connecting the DTs to their real-world counterparts. Logically, DTs represent data on servers where postprocessing can be shared easily across VSPs, giving rise to new marketplaces and economic frontiers. This paper presents a dynamic and distributed framework to enable high-quality reconstructions based on incoming data streams from sensors as well as to allow for the optimal allocation of VSPs to users. The optimal synchronization intensity control problem between the available VSPs and the feeder network is modeled using a simultaneous differential game, while the allocation of VSPs to users is modeled using a preference-based game-theoretic approach, where the users give strict preferences over the available VSPs.</t>
  </si>
  <si>
    <t>Qin, Hong/0000-0002-1060-6722; Li, Aimin/0000-0002-6983-2310; Swain, Sujata/0000-0001-7089-1863; Hassanien, Professor Aboul Ella/0000-0002-9989-6681; Mallik, Saurav/0000-0003-4107-6784</t>
  </si>
  <si>
    <t>10.3390/math11061286</t>
  </si>
  <si>
    <t>WOS:000959189900001</t>
  </si>
  <si>
    <t>Alpala, LO; Quiroga-Parra, DJ; Torres, JC; Peluffo-Ordonez, DH</t>
  </si>
  <si>
    <t>Omar Alpala, Luis; Quiroga-Parra, Dario J.; Carlos Torres, Juan; Peluffo-Ordonez, Diego H.</t>
  </si>
  <si>
    <t>Smart Factory Using Virtual Reality and Online Multi-User: Towards a Metaverse for Experimental Frameworks</t>
  </si>
  <si>
    <t>Virtual reality (VR) has been brought closer to the general public over the past decade as it has become increasingly available for desktop and mobile platforms. As a result, consumer-grade VR may redefine how people learn by creating an engaging hands-on training experience. Today, VR applications leverage rich interactivity in a virtual environment without real-world consequences to optimize training programs in companies and educational institutions. Therefore, the main objective of this article was to improve the collaboration and communication practices in 3D virtual worlds with VR and metaverse focused on the educational and productive sector in smart factory. A key premise of our work is that the characteristics of the real environment can be replicated in a virtual world through digital twins, wherein new, configurable, innovative, and valuable ways of working and learning collaboratively can be created using avatar models. To do so, we present a proposal for the development of an experimental framework that constitutes a crucial first step in the process of formalizing collaboration in virtual environments through VR-powered metaverses. The VR system includes functional components, object-oriented configurations, advanced core, interfaces, and an online multi-user system. We present the study of the first application case of the framework with VR in a metaverse, focused on the smart factory, that shows the most relevant technologies of Industry 4.0. Functionality tests were carried out and evaluated with users through usability metrics that showed the satisfactory results of its potential educational and commercial use. Finally, the experimental results show that a commercial software framework for VR games can accelerate the development of experiments in the metaverse to connect users from different parts of the world in real time.</t>
  </si>
  <si>
    <t>; Torres, Juan Carlos/C-2432-2012</t>
  </si>
  <si>
    <t>Alpala, Luis Omar/0000-0002-8436-7090; Peluffo-Ordonez, Diego Hernan/0000-0002-9045-6997; Torres, Juan Carlos/0000-0002-0327-7748</t>
  </si>
  <si>
    <t>10.3390/app12126258</t>
  </si>
  <si>
    <t>WOS:000819607500001</t>
  </si>
  <si>
    <t>Zhang, XL; Wang, JZ; Cheng, N; Xiao, J</t>
  </si>
  <si>
    <t>Zhang, Xulong; Wang, Jianzong; Cheng, Ning; Xiao, Jing</t>
  </si>
  <si>
    <t>MetaSID: Singer Identification with Domain Adaptation for Metaverse</t>
  </si>
  <si>
    <t>2022 INTERNATIONAL JOINT CONFERENCE ON NEURAL NETWORKS (IJCNN)</t>
  </si>
  <si>
    <t>IEEE International Joint Conference on Neural Networks (IJCNN)</t>
  </si>
  <si>
    <t>Metaverse has stretched the real world into unlimited space. There will be more live concerts in Metaverse. The task of singer identification is to identify the song belongs to which singer. However, there has been a tough problem in singer identification, which is the different live effects. The studio version is different from the live version, the data distribution of the training set and the test set are different, and the performance of the classifier decreases. This paper proposes the use of the domain adaptation method to solve the live effect in singer identification. Three methods of domain adaptation combined with Convolutional Recurrent Neural Network (CRNN) are designed, which are Maximum Mean Discrepancy (MMD), gradient reversal (Revgrad), and Contrastive Adaptation Network (CAN). MMD is a distance-based method, which adds domain loss. Revgrad is based on the idea that learned features can represent different domain samples. CAN is based on class adaptation, it takes into account the correspondence between the categories of the source domain and target domain. Experimental results on the public dataset of Artist20 show that CRNN-MMD leads to an improvement over the baseline CRNN by 0.14. The CRNN-RevGrad outperforms the baseline by 0.21. The CRNN-CAN achieved state of the art with the F1 measure value of 0.83 on album split.</t>
  </si>
  <si>
    <t>Zhang, Xulong/AAH-5645-2019; xiao, jing/HRB-7391-2023</t>
  </si>
  <si>
    <t xml:space="preserve">Zhang, Xulong/0000-0001-7005-992X; </t>
  </si>
  <si>
    <t>2161-4393</t>
  </si>
  <si>
    <t>978-1-7281-8671-9</t>
  </si>
  <si>
    <t>10.1109/IJCNN55064.2022.9892793</t>
  </si>
  <si>
    <t>WOS:000867070907030</t>
  </si>
  <si>
    <t>Liu, YQ; Bian, ZX; Liu, XC; Lv, ZH</t>
  </si>
  <si>
    <t>Liu, Yuqi; Bian, Zengxu; Liu, Xiaocheng; Lv, Zhihan</t>
  </si>
  <si>
    <t>Liquid Digital Twins Based on Magnetic Fluid Toys</t>
  </si>
  <si>
    <t>As a new type of functional material, magnetic fluid has both the fluidity of liquid and the magnetic properties of solid magnetic material. By controlling the magnets, one can simulate the effect of manipulating liquids like a sea emperor. This will provide new ideas for the multiverse of the metaverse. Not only that, magnetic fluids also have very important applications in astrophysics, controlled thermonuclear reactions and even the medical industry. Therefore, this paper hopes to provide a control idea for the future application of magnetic fluid by performing Digital Twins simulation of magnetic fluid.</t>
  </si>
  <si>
    <t>Lv, Zhihan/GLR-6000-2022; Lv, Zhihan/I-3187-2014</t>
  </si>
  <si>
    <t>Lv, Zhihan/0000-0003-2525-3074; Lv, Zhihan/0000-0003-2525-3074</t>
  </si>
  <si>
    <t>10.1109/VRW55335.2022.00345</t>
  </si>
  <si>
    <t>WOS:000808111800338</t>
  </si>
  <si>
    <t>Lee, H; Woo, D; Yu, S</t>
  </si>
  <si>
    <t>Lee, Hyeonju; Woo, Donghyun; Yu, Sunjin</t>
  </si>
  <si>
    <t>Virtual Reality Metaverse System Supplementing Remote Education Methods: Based on Aircraft Maintenance Simulation</t>
  </si>
  <si>
    <t>Due to the COVID-19 pandemic, there has been a shift from in-person to remote education, with most students taking classes via video meetings. This change inhibits active class participation from students. In particular, video education has limitations in replacing practical classes, which require both theoretical and empirical knowledge. In this study, we propose a system that incorporates virtual reality and metaverse methods into the classroom to compensate for the shortcomings of the existing remote models of practical education. Based on the proposed system, we developed an aircraft maintenance simulation and conducted an experiment comparing our system to a video training method. To measure educational effectiveness, knowledge acquisition, and retention tests were conducted and presence was investigated via survey responses. The results of the experiment show that the group using the proposed system scored higher than the video training group on both knowledge tests. As the responses given to the presence questionnaire confirmed a sense of spatial presence felt by the participants, the usability of the proposed system was judged to be appropriate.</t>
  </si>
  <si>
    <t>Yu, Sunjin/0000-0001-9292-4099</t>
  </si>
  <si>
    <t>10.3390/app12052667</t>
  </si>
  <si>
    <t>WOS:000771172600001</t>
  </si>
  <si>
    <t>Stacchio, L; Perlino, M; Vagnoni, U; Sasso, F; Scorolli, C; Marfia, G</t>
  </si>
  <si>
    <t>Stacchio, Lorenzo; Perlino, Michele; Vagnoni, Ulderico; Sasso, Federica; Scorolli, Claudia; Marfia, Gustavo</t>
  </si>
  <si>
    <t>Who will Trust my Digital Twin? Maybe a Clerk in a Brick and Mortar Fashion Shop</t>
  </si>
  <si>
    <t>Digital Twin (DT) models mirror the life of physical entities and are adopted to optimize several industrial processes. Although well-established in the industrial fields, one of the most exciting examples of where DTs may be employed is in the MetaVerse, with Human Digital Twins (HDTs). We present a preliminary study that examines the efficacy of HDT-human interactions in the context of a fashion shop. Based on the results obtained involving thirty-two participants in our experiments, we begin a discussion related to the pros and cons of this approach on x-commerce.</t>
  </si>
  <si>
    <t>10.1109/VRW55335.2022.00258</t>
  </si>
  <si>
    <t>WOS:000808111800249</t>
  </si>
  <si>
    <t>Moon, J; Jeong, M; Oh, S; Laine, TH; Seo, J</t>
  </si>
  <si>
    <t>Moon, Jiyoung; Jeong, Minho; Oh, Sangmin; Laine, Teemu H.; Seo, Jungryul</t>
  </si>
  <si>
    <t>Data Collection Framework for Context-Aware Virtual Reality Application Development in Unity: Case of Avatar Embodiment</t>
  </si>
  <si>
    <t>Virtual Reality (VR) has been adopted as a leading technology for the metaverse, yet most previous VR systems provide one-size-fits-all experiences to users. Context-awareness in VR enables personalized experiences in the metaverse, such as improved embodiment and deeper integration of the real world and virtual worlds. Personalization requires context data from diverse sources. We proposed a reusable and extensible context data collection framework, ManySense VR, which unifies data collection from diverse sources for VR applications. ManySense VR was implemented in Unity based on extensible context data managers collecting data from data sources such as an eye tracker, electroencephalogram, pulse, respiration, galvanic skin response, facial tracker, and Open Weather Map. We used ManySense VR to build a context-aware embodiment VR scene where the user's avatar is synchronized with their bodily actions. The performance evaluation of ManySense VR showed good performance in processor usage, frame rate, and memory footprint. Additionally, we conducted a qualitative formative evaluation by interviewing five developers (two males and three females; mean age: 22) after they used and extended ManySense VR. The participants expressed advantages (e.g., ease-of-use, learnability, familiarity, quickness, and extensibility), disadvantages (e.g., inconvenient/error-prone data query method and lack of diversity in callback methods), future application ideas, and improvement suggestions that indicate potential and can guide future development. In conclusion, ManySense VR is an efficient tool for researchers and developers to easily integrate context data into their Unity-based VR applications for the metaverse.</t>
  </si>
  <si>
    <t>Seo, Jungryul/0000-0003-2162-9695</t>
  </si>
  <si>
    <t>10.3390/s22124623</t>
  </si>
  <si>
    <t>WOS:000920212800002</t>
  </si>
  <si>
    <t>Wang, JG; Wang, TS; Shi, YN; Xu, DW; Chen, YT; Wu, J</t>
  </si>
  <si>
    <t>Wang, Jianguo; Wang, Tongsan; Shi, Yuna; Xu, Diwei; Chen, Yutian; Wu, Jie</t>
  </si>
  <si>
    <t>Metaverse, SED Model, and New Theory of Value</t>
  </si>
  <si>
    <t>COMPLEXITY</t>
  </si>
  <si>
    <t>The metaverse concept constructs a virtual world parallel to the real world. The social economic dynamics (SED) model establishes a systematic model for social economic dynamics simulation that integrates macroeconomy and microeconomy based on modeling mechanism of the new theory of value by analogy with Newtonian mechanics and the modeling approach of Agent-based computational economics. This article describes the SED model's modeling mechanisms, modeling rules, and behavior equations. At the same time, this article introduces the methods, testing standards, and some typical cases about using the SED model to generate the economic digital twin systems. By doing so, we hope to demonstrate that the method of computer simulation experiment based on the SED model is a scientific empirical method, which has more advantages than the existing empirical research methods in economics. The SED model, which can be fully used to form an economic engine and construct a virtual economic system by digital twin method, can be integrated with the extant physical engine in the metaverse concept to build a virtual world consisting of physics, economy, culture, and politics that is close to and coexists with reality.</t>
  </si>
  <si>
    <t>Wu, Jie/0000-0003-3497-2388</t>
  </si>
  <si>
    <t>1076-2787</t>
  </si>
  <si>
    <t>1099-0526</t>
  </si>
  <si>
    <t>MAY 9</t>
  </si>
  <si>
    <t>10.1155/2022/4771516</t>
  </si>
  <si>
    <t>WOS:000815806800003</t>
  </si>
  <si>
    <t>Han, X; Hu, Y; Tan, BH; Li, YX; Zhang, Q; Jiang, YY</t>
  </si>
  <si>
    <t>Han, Xu; Hu, Yang; Tan, Baohua; Li, Yuxuan; Zhang, Qi; Jiang, Yiyao</t>
  </si>
  <si>
    <t>Design and Research of Campus Culture Application Based on Sensor Data and Metaverse Technology</t>
  </si>
  <si>
    <t>SENSORS AND MATERIALS</t>
  </si>
  <si>
    <t>With the development of science and technology, virtual reality (VR) and interactive technology are playing an increasingly important role in the promotion of campus culture. In this study, we created an app to introduce campus culture using VR and metaverse technology by 3D modeling based on the data obtained by an unattended aerial vehicle and various sensors loaded on it. The contents of the app were selected through user demand analysis using the fuzzy Kano model, the entropy weighting method, and the technique for ordered preference by similarity to ideal solution method (TOPSIS). According to the indicators defined in the analysis, necessary data and information, including geospatial data, tilt photography, real scene data, point cloud data, and 3D virtual scenes, were collected with various sensor technologies such as Da Jiang innovations (DJI) first person view (FPV) sensors, DJI X5S single lens, and global navigation satellite system real-time kinematic (GNSS-RTK) on the DJI Inspire 2 model unmanned aerial vehicle (UAV). The data and information were used to create a 3D point cloud model for a VR environment and develop the campus culture app based on the model. The app has interactive functions that provide information on campus culture in the metaverse. The app can be used to publicize campus culture and provide appropriate information, and also allows interaction with and between users and with various social media platforms. A relevant user interface and metaverse were created to enable users to browse, communicate, and exchange information interactively. In the future, more innovative features such as game scenarios and auxiliary psychological elements can be added through 5G and the Internet of Things technologies.</t>
  </si>
  <si>
    <t>0914-4935</t>
  </si>
  <si>
    <t>10.18494/SAM4017</t>
  </si>
  <si>
    <t>WOS:000967737400001</t>
  </si>
  <si>
    <t>Ye, PJ; Wang, FY</t>
  </si>
  <si>
    <t>Ye, Peijun; Wang, Fei-Yue</t>
  </si>
  <si>
    <t>Parallel Population and Parallel Human-A Cyber-Physical Social Approach</t>
  </si>
  <si>
    <t>The article views the forthcoming virtual societies, decentralized society (DeSoc) or metaverse, as cyber-physical social systems, and discusses the key issue of management for such human-centered hybrid systems-the prescription of human behaviors. We build parallel humans with its aggregation-parallel population-to complete that task, where each individual's mental knowledge is cognitively modeled by heterogeneous learning, analyzed by generative big data with deep evolutionary reasoning, and prescribed by knowledge convergence with an active recommendation. A case study from social security has validated that our parallel population and parallel human are a feasible and effective way to construct DeSoc or metaverse.</t>
  </si>
  <si>
    <t>SEPT 1</t>
  </si>
  <si>
    <t>10.1109/MIS.2022.3208362</t>
  </si>
  <si>
    <t>WOS:000871033800003</t>
  </si>
  <si>
    <t>Ren, YZ; Xie, RC; Yu, FR; Huang, T; Liu, YJ</t>
  </si>
  <si>
    <t>Ren, Yuzheng; Xie, Renchao; Yu, Fei Richard; Huang, Tao; Liu, Yunjie</t>
  </si>
  <si>
    <t>Quantum Collective Learning and Many-to-Many Matching Game in the Metaverse for Connected and Autonomous Vehicles</t>
  </si>
  <si>
    <t>The accuracy of artificial intelligence (AI) models is crucial for connected and autonomous vehicles (CAVs). However, in reality, model training under less frequent weather faces the problem of insufficient sampling. Also, in the real world, weather, sunlight, etc., can only change with the speed of the real-time clock, so the traditional sampling process is very slow. Moreover, currently, collective learning, which can make up the limited experience and computing power of a single vehicle, is always introduced to cases where the data from participants have the same structure, wasting massive heterogeneous data from vehicles of different brands. Therefore, in this paper, we propose a quantum collective learning and many-to-many matching game-based scheme in the metaverse for CAVs. The environment is simulated in the metaverse, which has its own time clock system, thereby expanding sample size and speeding up the sampling process. And we quantify the quality of intelligence in collective learning from the perspective of feature diversity. It is the cornerstone of collective learning between heterogeneous vehicles, facilitating maximum utilization of data with different structures. Then, we formulate the distributed vehicles selection problem as a many-to-many matching game and use Gale-Shapely algorithm to solve it. Also, we formulate the spectrum resource allocation problem as a discrete Markov decision process (MDP) and adopt a quantum-inspired reinforcement learning (QRL) algorithm to find the optimal policy to achieve the high revenue of the system. In simulations, the performance of the proposed scheme is compared with existing methods.</t>
  </si>
  <si>
    <t>Yuzheng, Ren/0000-0002-5557-5069</t>
  </si>
  <si>
    <t>10.1109/TVT.2022.3190271</t>
  </si>
  <si>
    <t>WOS:000888042800062</t>
  </si>
  <si>
    <t>Lo, SC; Tsai, HH</t>
  </si>
  <si>
    <t>Lo, Shih-Che; Tsai, Hung-Hsu</t>
  </si>
  <si>
    <t>Design of 3D Virtual Reality in the Metaverse for Environmental Conservation Education Based on Cognitive Theory</t>
  </si>
  <si>
    <t>Background: Climate change causes devastating impacts with extreme weather conditions, such as flooding, polar ice caps melting, sea level rise, and droughts. Environmental conservation education is an important and ongoing project nowadays for all governments in the world. In this paper, a novel 3D virtual reality architecture in the metaverse (VRAM) is proposed to foster water resources education using modern information technology. Methods: A quasi-experimental study was performed to observe a comparison between learning involving VRAM and learning without VRAM. The 3D VRAM multimedia content comes from a picture book for learning environmental conservation concepts, based on the cognitive theory of multimedia learning to enhance human cognition. Learners wear VRAM helmets to run VRAM Android apps by entering the immersive environment for playing and/or interacting with 3D VRAM multimedia content in the metaverse. They shake their head to move the interaction sign to initiate interactive actions, such as replaying, going to consecutive video clips, displaying text annotations, and replying to questions when learning soil-and-water conservation course materials. Interactive portfolios of triggering actions are transferred to the cloud computing database immediately by the app. Results: Experimental results showed that participants who received instruction involving VRAM had significant improvement in their flow experience, learning motivation, learning interaction, self-efficacy, and presence in learning environmental conservation concepts. Conclusions: The novel VRAM is highly suitable for multimedia educational systems. Moreover, learners' interactive VRAM portfolios can be analyzed by big-data analytics to understand behaviors for using VRAM in the future to improve the quality of environmental conservation education.</t>
  </si>
  <si>
    <t>Lo, Shih-Che/AAT-1562-2021; wang, wjd/GSD-2051-2022</t>
  </si>
  <si>
    <t>Lo, Shih-Che/0000-0002-4144-9934; Tsai, Hung-Hsu/0000-0001-9690-2719</t>
  </si>
  <si>
    <t>10.3390/s22218329</t>
  </si>
  <si>
    <t>WOS:000883589500001</t>
  </si>
  <si>
    <t>Deveci, M; Gokasar, I; Castillo, O; Daim, T</t>
  </si>
  <si>
    <t>Deveci, Muhammet; Gokasar, Ilgin; Castillo, Oscar; Daim, Tugrul</t>
  </si>
  <si>
    <t>Evaluation of Metaverse integration of freight fluidity measurement alternatives using fuzzy Dombi EDAS model</t>
  </si>
  <si>
    <t>COMPUTERS &amp; INDUSTRIAL ENGINEERING</t>
  </si>
  <si>
    <t>Developments in transportation systems, changes in consumerism trends, and conditions such as COVID-19 have increased both the demand and the load on freight transportation. Since various companies are transporting goods all over the world to evaluate the sustainability, speed, and resiliency of freight transportation systems, data and freight fluidity measurement systems are needed. In this study, an integrated decision-making model is proposed to advantage prioritize the freight fluidity measurement alternatives. The proposed model is composed of two main stages. In the first stage, the Dombi norms based Logarithmic Methodology of Additive Weights (LMAW) is used to find the weights of criteria. In the second phase, an extended Evaluation based on the Distance from Average Solution (EDAS) method with Dombi unction for aggregation is presented to determine the final ranking results of alternatives. Three freight fluidity measurement alternatives are proposed, namely doing nothing, integrating freight activities into Metaverse for measuring fluidity, and forming global governance of freight activities for measuring fluidity through available data. Thirteen criteria, which are grouped under four main aspects namely technology, governance, efficiency, and environmental sustainability, and a case study at which a ground framework is formed for the experts to evaluate the alternatives considering the criteria are used in the multi-criteria decision-making process. The results of the study indicate that integrating freight activities into Metaverse for measuring fluidity is the most advantageous alternative, whereas doing nothing is the least advantageous one.</t>
  </si>
  <si>
    <t>Deveci, Muhammet/V-8347-2017; Castillo, Oscar/I-5578-2019</t>
  </si>
  <si>
    <t>Deveci, Muhammet/0000-0002-3712-976X; Castillo, Oscar/0000-0002-7385-5689</t>
  </si>
  <si>
    <t>0360-8352</t>
  </si>
  <si>
    <t>1879-0550</t>
  </si>
  <si>
    <t>10.1016/j.cie.2022.108773</t>
  </si>
  <si>
    <t>WOS:000899939200012</t>
  </si>
  <si>
    <t>Kang, MZ; Wang, XJ; Wang, HY; Hua, J; de Reffye, P; Wang, FY</t>
  </si>
  <si>
    <t>Kang, Mengzhen; Wang, Xiujuan; Wang, Haoyu; Hua, Jing; de Reffye, Philippe; Wang, Fei-Yue</t>
  </si>
  <si>
    <t>The Development of AgriVerse: Past, Present, and Future</t>
  </si>
  <si>
    <t>Agricultural metaverse (AgriVerse) aims to optimize the production chain by saving costs, increasing efficiencies, and breaking information silos, in order to achieve sustainable agriculture. While AgriVerse is featured by the virtual-real interaction of the agriculture-related processes based on heterogeneous data, knowledge, and models, the link between AgriVerse and the intensively studied plant modeling is vague. This article presents briefly the research contents of plant modeling, analyzes the ongoing transition at the age of artificial intelligence (AI), and envisions future AgriVerse with the support of the agricultural foundation model, the decentralized agricultural organization (DAO) and the decentralized science (DeSci) of the plant model. Three AgriVerse application scenarios are presented. The opportunities and challenges of AgriVerse are discussed. This work is expected to identify the key research issues of AgriVerse and bring practitioners of diverse backgrounds together into the AgriVerse community.</t>
  </si>
  <si>
    <t>10.1109/TSMC.2022.3230830</t>
  </si>
  <si>
    <t>WOS:000910583400001</t>
  </si>
  <si>
    <t>Gattullo, M; Laviola, E; Evangelista, A; Fiorentino, M; Uva, AE</t>
  </si>
  <si>
    <t>Gattullo, Michele; Laviola, Enricoandrea; Evangelista, Alessandro; Fiorentino, Michele; Uva, Antonio Emmanuele</t>
  </si>
  <si>
    <t>Towards the Evaluation of Augmented Reality in the Metaverse: Information Presentation Modes</t>
  </si>
  <si>
    <t>In the future, many activities will be carried out in the Metaverse: hybrid offices and video-based education are just some examples. The way research is carried out could change, too. In this context, this work investigates the possibility of simulating Augmented Reality (AR) user studies on information presentation in a virtual environment. Organizing an industrial setup is complex; thus, most studies are executed in laboratories. However, lab experiments present limitations, e.g., the number and variety of participants and the availability of facilities. User studies may also be carried out by exploiting simulated AR, as an initial step for the Metaverse, where people are connected regardless of their location. This alternative could be used to carry out experiments on AR information presentation to solve common issues, such as the lack of physical equipment to perform component location tasks and the long time required to collect a large sample of users. Indeed, researchers could propose CAD models with information that simulates the same visual realism achieved with true AR. Moreover, multiple tests could be conducted in parallel by not relying on a limited amount of physical equipment per user. In this work, we developed and evaluated a desktop-simulated testing environment (DSTE) to conduct AR information presentation experiments remotely. We applied it in a pilot user study, revealing that the proposed DSTE was effective for the related research goals. Furthermore, 40 participants reported a positive user experience. The evaluation confirms that using a DSTE is promising for collecting and analyzing data from a wide range of people.</t>
  </si>
  <si>
    <t>wang, wjd/GSD-2051-2022; Fiorentino, Michele/M-6976-2015</t>
  </si>
  <si>
    <t>Fiorentino, Michele/0000-0003-2197-6574; Gattullo, Michele/0000-0003-4487-0457; Evangelista, Alessandro/0000-0003-2045-1768</t>
  </si>
  <si>
    <t>10.3390/app122412600</t>
  </si>
  <si>
    <t>WOS:000900285900001</t>
  </si>
  <si>
    <t>Ge, JJ</t>
  </si>
  <si>
    <t>Ge, Jiajia</t>
  </si>
  <si>
    <t>Multiple Influences of Intelligent Technology on Network Behavior of College Students in the Metaverse Age</t>
  </si>
  <si>
    <t>JOURNAL OF ENVIRONMENTAL AND PUBLIC HEALTH</t>
  </si>
  <si>
    <t>The advent of the metaverse age has gradually transformed digital survival from a fantasy in science fiction to a reality. Especially in recent years, the college students, as the objects of ideological and political education in universities, have been deeply embedded in their learning, social interaction, entertainment, and consumption behaviors, presenting new characteristics of the times. From the aspects of the background of intelligent technology on College Students' network behavior, the types of College Students' network behavior, the multiple effects of intelligent technology, the nature of College Students' network behavior, etc., provide some basis for ideological and political education.</t>
  </si>
  <si>
    <t>1687-9805</t>
  </si>
  <si>
    <t>1687-9813</t>
  </si>
  <si>
    <t>JUN 16</t>
  </si>
  <si>
    <t>10.1155/2022/2750712</t>
  </si>
  <si>
    <t>WOS:000817564000001</t>
  </si>
  <si>
    <t>Yao, XF; Ma, NF; Zhang, JM; Wang, KS; Yang, EF; Faccio, M</t>
  </si>
  <si>
    <t>Yao, Xifan; Ma, Nanfeng; Zhang, Jianming; Wang, Kesai; Yang, Erfu; Faccio, Maurizio</t>
  </si>
  <si>
    <t>Enhancing wisdom manufacturing as industrial metaverse for industry and society 5.0</t>
  </si>
  <si>
    <t>JOURNAL OF INTELLIGENT MANUFACTURING</t>
  </si>
  <si>
    <t>Industry 4.0 focuses on the realization of smart manufacturing based on cyber-physical systems (CPS). However, emerging Industry 5.0 and Society 5.0 reaches beyond CPS and covers the entire value chain of manufacturing, and faces economic, environmental, and social challenges. To meet such challenges, we regard Industry 5.0 as a socio-technical revolution based on the socio-cyber-physical system (SCPS), and propose a socio-technically enhanced wisdom manufacturing architecture and framework beyond CPS-based Industry 4.0/smart manufacturing with especially concerning transition enabling technologies such as artificial intelligence, social Internet of Things (SIoT), big data, machine learning, edge computing, social computing, 3D printing, blockchains, digital twins, and cobots. Finally we address the roadmap to blockchainized value-added SCPS-based Industrial Metaverse for Industry/Society 5.0, which will achieve high utilization of resources and provide products and services to satisfy experience-driven individual needs via metamanufacturing cloud services towards smart, resilient, sustainable, and human-centric solutions.</t>
  </si>
  <si>
    <t>Yang, Erfu/N-2673-2016</t>
  </si>
  <si>
    <t>Yang, Erfu/0000-0003-1813-5950</t>
  </si>
  <si>
    <t>0956-5515</t>
  </si>
  <si>
    <t>1572-8145</t>
  </si>
  <si>
    <t>10.1007/s10845-022-02027-7</t>
  </si>
  <si>
    <t>WOS:000877402500001</t>
  </si>
  <si>
    <t>Sun, ZD; Zhu, ML; Shan, XC; Lee, CK</t>
  </si>
  <si>
    <t>Sun, Zhongda; Zhu, Minglu; Shan, Xuechuan; Lee, Chengkuo</t>
  </si>
  <si>
    <t>Augmented tactile-perception and haptic-feedback rings as human-machine interfaces aiming for immersive interactions</t>
  </si>
  <si>
    <t>NATURE COMMUNICATIONS</t>
  </si>
  <si>
    <t>Current wearable solutions for Virtual Reality (VR) have limitations of complicated structures and large driven power. Here, the authors report a highly integrated ring consisting of multimodal sensing and feedback units for augmented interactions in metaverse. Advancements of virtual reality technology pave the way for developing wearable devices to enable somatosensory sensation, which can bring more comprehensive perception and feedback in the metaverse-based virtual society. Here, we propose augmented tactile-perception and haptic-feedback rings with multimodal sensing and feedback capabilities. This highly integrated ring consists of triboelectric and pyroelectric sensors for tactile and temperature perception, and vibrators and nichrome heaters for vibro- and thermo-haptic feedback. All these components integrated on the ring can be directly driven by a custom wireless platform of low power consumption for wearable/portable scenarios. With voltage integration processing, high-resolution continuous finger motion tracking is achieved via the triboelectric tactile sensor, which also contributes to superior performance in gesture/object recognition with artificial intelligence analysis. By fusing the multimodal sensing and feedback functions, an interactive metaverse platform with cross-space perception capability is successfully achieved, giving people a face-to-face like immersive virtual social experience.</t>
  </si>
  <si>
    <t>LEE, CHENGKUO/R-3999-2018; wang, wjd/GSD-2051-2022</t>
  </si>
  <si>
    <t>LEE, CHENGKUO/0000-0002-8886-3649; Shan, Xuechuan/0000-0001-7731-2115; Sun, Zhongda/0000-0001-7365-1945</t>
  </si>
  <si>
    <t>2041-1723</t>
  </si>
  <si>
    <t>SEP 5</t>
  </si>
  <si>
    <t>10.1038/s41467-022-32745-8</t>
  </si>
  <si>
    <t>WOS:000850348400009</t>
  </si>
  <si>
    <t>Zhao, C; Dai, XY; Lv, YS; Tian, YL; Ren, YH; Wang, FY</t>
  </si>
  <si>
    <t>Zhao, Chen; Dai, Xingyuan; Lv, Yisheng; Tian, Yonglin; Ren, Yuhai; Wang, Fei-Yue</t>
  </si>
  <si>
    <t>Foundation Models for Transportation Intelligence: ITS Convergence in TransVerse</t>
  </si>
  <si>
    <t>Smart cities are our aspiration for a better life where transportation intelligence is indispensable. Recent technological advances in intelligent transportation systems have opened up new possibilities for smart mobility in smart cities. Here we present TengYun, a transportation foundation model designed and developed with parallel learning and federated intelligence for our transportation metaverse called TransVerse. TengYun enables decentralized/distributed autonomous organizations with decentralized/ distributed operations, as well as various federated technologies, from federated security, federated control, federated management, federated services, to federated ecology for transportation intelligence in smart cities. An example for a federation of transportation transformers is discussed for illustrating the operating procedure of TengYun.</t>
  </si>
  <si>
    <t>10.1109/MIS.2022.3221342</t>
  </si>
  <si>
    <t>WOS:000944152000010</t>
  </si>
  <si>
    <t>Xi, NN; Chen, J; Gama, F; Riar, M; Hamari, J</t>
  </si>
  <si>
    <t>Xi, Nannan; Chen, Juan; Gama, Filipe; Riar, Marc; Hamari, Juho</t>
  </si>
  <si>
    <t>The challenges of entering the metaverse: An experiment on the effect of extended reality on workload</t>
  </si>
  <si>
    <t>INFORMATION SYSTEMS FRONTIERS</t>
  </si>
  <si>
    <t>Information technologies exist to enable us to either do things we have not done before or do familiar things more efficiently. Metaverse (i.e. extended reality: XR) enables novel forms of engrossing telepresence, but it also may make mundate tasks more effortless. Such technologies increasingly facilitate our work, education, healthcare, consumption and entertainment; however, at the same time, metaverse bring a host of challenges. Therefore, we pose the question whether XR technologies, specifically Augmented Reality (AR) and Virtual Reality (VR), either increase or decrease the difficulties of carrying out everyday tasks. In the current study we conducted a 2 (AR: with vs. without) x 2 (VR: with vs. without) between-subject experiment where participants faced a shopping-related task (including navigating, movement, hand-interaction, information processing, information searching, storing, decision making, and simple calculation) to examine a proposed series of hypotheses. The NASA Task Load Index (NASA-TLX) was used to measure subjective workload when using an XR-mediated information system including six sub-dimensions of frustration, performance, effort, physical, mental, and temporal demand. The findings indicate that AR was significantly associated with overall workload, especially mental demand and effort, while VR had no significant effect on any workload sub-dimensions. There was a significant interaction effect between AR and VR on physical demand, effort, and overall workload. The results imply that the resources and cost of operating XR-mediated realities are different and higher than physical reality.</t>
  </si>
  <si>
    <t>Hamari, Juho/E-4989-2016</t>
  </si>
  <si>
    <t>Hamari, Juho/0000-0002-6573-588X; Gama, Filipe/0000-0001-6370-9752; Xi, Nannan/0000-0002-9424-8116; Riar, Marc/0000-0003-3093-0244</t>
  </si>
  <si>
    <t>1387-3326</t>
  </si>
  <si>
    <t>1572-9419</t>
  </si>
  <si>
    <t>10.1007/s10796-022-10244-x</t>
  </si>
  <si>
    <t>FEB 2022</t>
  </si>
  <si>
    <t>WOS:000754128600001</t>
  </si>
  <si>
    <t>Lee, SH; Lee, H; Kim, JH</t>
  </si>
  <si>
    <t>Lee, Seon Hong; Lee, Haein; Kim, Jang Hyun</t>
  </si>
  <si>
    <t>Enhancing the Prediction of User Satisfaction with Metaverse Service Through Machine Learning</t>
  </si>
  <si>
    <t>Metaverse is one of the main technologies in the daily lives of several people, such as education, tour systems, and mobile application ser-vices. Particularly, the number of users of mobile metaverse applications is increasing owing to the merit of accessibility everywhere. To provide an improved service, it is important to analyze online reviews that contain user satisfaction. Several previous studies have utilized traditional methods, such as the structural equation model (SEM) and technology acceptance method (TAM) for exploring user satisfaction, using limited survey data. These meth-ods may not be appropriate for analyzing the users of mobile applications. To overcome this limitation, several researchers perform user experience analysis through online reviews and star ratings. However, some online reviews occasionally have inconsistencies between the star rating and the sentiment of the text. This variation disturbs the performance of machine learning. To alle-viate the inconsistencies, Valence Aware Dictionary and sEntiment Reasoner (VADER), which is a sentiment classifier based on lexicon, is introduced. The current study aims to build a more accurate sentiment classifier based on machine learning with VADER. In this study, five sentiment classifiers are used, such as Naive Bayes, K-Nearest Neighbors (KNN), Logistic Regression, Light Gradient Boosting Machine (LightGBM), and Categorical boosting algorithm (Catboost) with three embedding methods (Bag-of-Words (BoW), Term Frequency-Inverse Document Frequency (TF-IDF), Word2Vec). The results show that classifiers that apply VADER outperform those that do not apply VADER, excluding one classifier (Logistic Regression with Word2Vec). Moreover, LightGBM with TF-IDF has the highest accuracy 88.68% among other models.</t>
  </si>
  <si>
    <t>Kim, Jang Hyun/HRC-9519-2023</t>
  </si>
  <si>
    <t>Kim, Jang Hyun/0000-0001-7750-2664</t>
  </si>
  <si>
    <t>10.32604/cmc.2022.027943</t>
  </si>
  <si>
    <t>WOS:000799234000009</t>
  </si>
  <si>
    <t>Hsueh, CW; Chin, CT</t>
  </si>
  <si>
    <t>Hsueh, Chih-Wen; Chin, Chi-Ting</t>
  </si>
  <si>
    <t>Toward Trusted IoT by General Proof-of-Work</t>
  </si>
  <si>
    <t>Internet of Things (IoT) is used to describe devices with sensors that connect and exchange data with other devices or systems on the Internet or other communication networks. Actually, the data not only represent the concrete things connected but also describe the abstract matters related. Therefore, it is expected to support trust on IoT since blockchain was invented so that trusted IoT could be possible or, recently, even metaverse could be imaginable. However, IoT systems are usually composed of a lot of device nodes with limited computing power. The built-in unsolved performance and energy-consumption problems in blockchain become more critical in IoT. The other problems such as finality, privacy, or scalability introduce even more complexity so that trusted IoT is still far from realization, let alone the metaverse. With general Proof of Work (GPoW), the energy consumption of Bitcoin can be reduced to less than 1 billionth and proof of PowerTimestamp (PoPT) can be constructed so that a global even ordering can be reached to conduct synchronization on distributed systems in real-time. Therefore, trusted IoT is possible. We reintroduce GPoW with more mathematic proofs so that PoPT can be optimal and describe how PoPT can be realized with simulation results, mining examples and synchronization scenario toward trusted IoT.</t>
  </si>
  <si>
    <t>Hsueh, Chih-Wen/0000-0003-2478-7891</t>
  </si>
  <si>
    <t>10.3390/s23010015</t>
  </si>
  <si>
    <t>WOS:000910464400001</t>
  </si>
  <si>
    <t>Lee, H; Hwang, YH</t>
  </si>
  <si>
    <t>Lee, HyeJin; Hwang, Yohan</t>
  </si>
  <si>
    <t>Technology-Enhanced Education through VR-Making and Metaverse-Linking to Foster Teacher Readiness and Sustainable Learning</t>
  </si>
  <si>
    <t>The main purpose of this paper is to bring pioneering insights into the core line of sustainable education research by investigating the multi-dimensional aspects of teachers' readiness to design technology-enhanced learning environments. In order to achieve this goal, this study documents the experiences of pre-service English teachers in instructional Virtual Reality (herein, VR) content design of K-12 English digital textbooks. Furthermore, it examines how their VR creation can be linked to a metaverse platform for learning adaptivity and sustainable education. The data are collected by pre-/post-surveys as well as reflective papers. The pre-/post-survey responses are analyzed with a t-test to determine significance; the reflective paper entries are scrutinized with sentiment analysis and text mining. The study findings suggest that such transformative experiences of VR-Making (herein, VRM) for instructional contents are conducive to capacitate pre-service teachers' technological readiness, 4Cs (Critical Thinking, Creativity, Collaboration, Communication) in digital citizenship, and perceived pedagogical benefits. Based on findings, this study continues to support the need for providing teaching practitioners with hands-on learning-to-teach opportunities with emerging technology as a tool to fulfill sustainable education.</t>
  </si>
  <si>
    <t>10.3390/su14084786</t>
  </si>
  <si>
    <t>WOS:000785348400001</t>
  </si>
  <si>
    <t>Grinbaum, A; Adomaitis, L</t>
  </si>
  <si>
    <t>Grinbaum, Alexei; Adomaitis, Laurynas</t>
  </si>
  <si>
    <t>Moral Equivalence in the Metaverse</t>
  </si>
  <si>
    <t>NANOETHICS</t>
  </si>
  <si>
    <t>Are digital subjects in virtual reality morally equivalent to human subjects? We divide this problem into two questions bearing, respectively, on cognitive and emotional equivalence. Typically, cognitive equivalence does not hold due to the lack of substantialist indistinguishability, but emotional equivalence applies: digital subjects endowed with face or language elicit emotional responses on a par with real-world pleasure, desire, horror, or fear. This is sufficient for projecting moral traits on avatars in the metaverse or on dialog systems based on large language models. Our main case study is a chatbot trained on the chat history between a Canadian man and his deceased fiancee. To demonstrate emotional equivalence and the mechanism of moral transfer, we compare digital devices with the functioning of oracles in a story by Plutarch and in a narrative that draws on the book of Genesis. Finally, we note that, along with the projections of ethical issues, humans also tend to bring real-world solutions of moral conundrums into extended reality. We argue that the lack of cognitive equivalence makes such projections problematic as they lead to overpolicing and a sanitized metaverse.</t>
  </si>
  <si>
    <t>Grinbaum, Alexei/A-2210-2012</t>
  </si>
  <si>
    <t>Grinbaum, Alexei/0000-0002-7484-1553; Adomaitis, Laurynas/0000-0001-7723-2641</t>
  </si>
  <si>
    <t>1871-4757</t>
  </si>
  <si>
    <t>1871-4765</t>
  </si>
  <si>
    <t>10.1007/s11569-022-00426-x</t>
  </si>
  <si>
    <t>WOS:000884939800001</t>
  </si>
  <si>
    <t>Moon, HJ; Han, S</t>
  </si>
  <si>
    <t>Moon, Hyuk-June; Han, Sungmin</t>
  </si>
  <si>
    <t>Perspective: Present and Future of Virtual Reality for Neurological Disorders</t>
  </si>
  <si>
    <t>BRAIN SCIENCES</t>
  </si>
  <si>
    <t>Since the emergence of Virtual Reality technology, it has been adopted in the field of neurology. While Virtual Reality has contributed to various rehabilitation approaches, its potential advantages, especially in diagnosis, have not yet been fully utilized. Moreover, new tides of the Metaverse are approaching rapidly, which will again boost public and research interest and the importance of immersive Virtual Reality technology. Nevertheless, accessibility to such technology for people with neurological disorders has been critically underexplored. Through this perspective paper, we will briefly look over the current state of the technology in neurological studies and then propose future research directions, which hopefully facilitate beneficial Virtual Reality studies on a wider range of topics in neurology.</t>
  </si>
  <si>
    <t>Han, Sungmin/0000-0003-2762-668X; Moon, Hyuk-June/0000-0003-3819-8457</t>
  </si>
  <si>
    <t>2076-3425</t>
  </si>
  <si>
    <t>10.3390/brainsci12121692</t>
  </si>
  <si>
    <t>WOS:000902277700001</t>
  </si>
  <si>
    <t>Hartwich, E; Ollig, P; Fridgen, G; Rieger, A</t>
  </si>
  <si>
    <t>Hartwich, Eduard; Ollig, Philipp; Fridgen, Gilbert; Rieger, Alexander</t>
  </si>
  <si>
    <t>Probably something: a multi-layer taxonomy of non-fungible tokens</t>
  </si>
  <si>
    <t>PurposeThis paper aims to establish a fundamental and comprehensive understanding of non-fungible tokens (NFTs) by identifying and structuring common characteristics within a taxonomy. NFTs are hyped and increasingly marketed as essential building blocks of the Metaverse. However, the dynamic evolution of the NFT space has posed challenges for those seeking to develop a deep and comprehensive understanding of NFTs, their features and their capabilities.Design/methodology/approachUtilizing common guidelines for the creation of taxonomies, the authors developed (over 3 iterations), a multi-layer taxonomy based on workshops and interviews with 11 academic and 15 industry experts. Through an evaluation of 25 NFTs, the authors demonstrate the usefulness of the taxonomy.FindingsThe taxonomy has 4 layers, 14 dimensions and 42 characteristics, which describe NFTs in terms of reference object, token properties, token distribution and realizable value.Originality/valueThe authors' framework is the first to systematically cover the emerging NFT phenomenon. This framework is concise yet extendible and presents many avenues for future research in a plethora of disciplines. The characteristics identified in the authors' taxonomy are useful for NFT- and Metaverse-related research in finance, marketing, law and information systems. Additionally, the taxonomy can serve as an information source for policymakers as they consider NFT regulation.</t>
  </si>
  <si>
    <t>Fridgen, Gilbert/0000-0001-7037-4807; , Eduard/0000-0001-7625-2085; Rieger, Alexander/0000-0001-7996-4678</t>
  </si>
  <si>
    <t>10.1108/INTR-08-2022-0666</t>
  </si>
  <si>
    <t>WOS:000966667300001</t>
  </si>
  <si>
    <t>A Typology of Metaverses</t>
  </si>
  <si>
    <t>Diverse types of metaverses exist. We present a typology of metaverses to elaborate how different features and technologies are being incorporated in metaverse solutions that are targeted at different groups of users and the benefits they are looking for.</t>
  </si>
  <si>
    <t>10.1109/MC.2022.3204978</t>
  </si>
  <si>
    <t>WOS:000898941900017</t>
  </si>
  <si>
    <t>Dai, C; Huang, YQ; Chien, WC</t>
  </si>
  <si>
    <t>Dai, Cheng; Huang, Yinqin; Chien, Wei-Che</t>
  </si>
  <si>
    <t>A sparse attack method on skeleton-based human action recognition for intelligent metaverse application</t>
  </si>
  <si>
    <t>Graph convolutional networks (GCNs) based skeleton human action recognition has been one of the hottest techniques in intelligent Metaverse system applications in recent years. However, the robustness of GCN model based skeleton action recognition, has not been widely discussed due to the complex spatio-temporal nature. Base on solving this problem, we propose a sparse attack method with dynamic attention which can generate adversarial samples with lower deviation under the condition of keeping attack success rate in this paper. Firstly, we develop spatial temporal consistency loss which can not only preserve spatial integrity between reference sample and adversarial sample but also keep temporal coherence between consecutive frames across adversarial sample. Then, we develop an interaction-based perturbation contribution analyze method to discard unnecessary perturbations. Besides that, we design a dynamic attention approach to tilt the perturbations towards some joints that have higher dynamics which can decrease overall deviations. Finally, we conduct extensive experiments to evaluate our proposal and the experimental results show that our method contributes to discover potential causes of model fragility and provides material in adversarial training which will increase the robustness of GCN based skeleton human action recognition models.(c) 2022 Published by Elsevier B.V.</t>
  </si>
  <si>
    <t>10.1016/j.future.2022.12.043</t>
  </si>
  <si>
    <t>WOS:000927863900001</t>
  </si>
  <si>
    <t>Singer Identification for Metaverse with Timbral and Middle-Level Perceptual Features</t>
  </si>
  <si>
    <t>Metaverse is an interactive world that combines reality and virtuality, where participants can be virtual avatars. Anyone can hold a concert in a virtual concert hall, and users can quickly identify the real singer behind the virtual idol through the singer identification. Most singer identification methods are processed using the frame-level features. However, expect the singer's timbre, the music frame includes music information, such as melodiousness, rhythm, and tonal. It means the music information is noise for using frame-level features to identify the singers. In this paper, instead of only the frame-level features, we propose to use another two features that address this problem. Middle-level feature, which represents the music's melodiousness, rhythmic stability, and tonal stability, and is able to capture the perceptual features of music. The timbre feature, which is used in speaker identification, represents the singers' voice features. Furthermore, we propose a convolutional recurrent neural network (CRNN) to combine three features for singer identification. The model firstly fuses the frame-level feature and timbre feature and then combines middle-level features to the mix features. In experiments, the proposed method achieves comparable performance on an average F1 score of 0.81 on the benchmark dataset of Artist20, which significantly improves related works.</t>
  </si>
  <si>
    <t>xiao, jing/HRB-7391-2023; Zhang, Xulong/AAH-5645-2019</t>
  </si>
  <si>
    <t>Zhang, Xulong/0000-0001-7005-992X</t>
  </si>
  <si>
    <t>10.1109/IJCNN55064.2022.9892657</t>
  </si>
  <si>
    <t>WOS:000867070906041</t>
  </si>
  <si>
    <t>Batnasan, G; Gochoo, M; Otgonbold, ME; Alnajjar, F; Shih, TK</t>
  </si>
  <si>
    <t>Kallel, I; Kammoun, HM; Akkari, A; Hsairi, L</t>
  </si>
  <si>
    <t>Batnasan, Ganzorig; Gochoo, Munkhjargal; Otgonbold, Munkh-Erdene; Alnajjar, Fady; Shih, Timothy K.</t>
  </si>
  <si>
    <t>ArSL21L: Arabic Sign Language Letter Dataset Benchmarking and an Educational Avatar for Metaverse Applications</t>
  </si>
  <si>
    <t>PROCEEDINGS OF THE 2022 IEEE GLOBAL ENGINEERING EDUCATION CONFERENCE (EDUCON 2022)</t>
  </si>
  <si>
    <t>IEEE Global Engineering Education Conference</t>
  </si>
  <si>
    <t>13th IEEE Global Engineering Education Conference (IEEE EDUCON)</t>
  </si>
  <si>
    <t>MAR 28-31, 2022</t>
  </si>
  <si>
    <t>Gammarth, TUNISIA</t>
  </si>
  <si>
    <t>IEEE,IEEE Educ Soc,IEEE Tunisia Sect Educ Chapter,IEEE Reg 8</t>
  </si>
  <si>
    <t>It is complicated for the PwHL (people with hearing loss) to make a relationship with social majority, which naturally demands an interactive auto computer systems that have ability to understand sign language. With a trending Metaverse applications using augmented reality (AR) and virtual reality (VR), it is easier and interesting to teach sign language remotely using an avatar that mimics the gesture of a person using AI (Artificial Intelligence)-based system. There are various proposed methods and datasets for English SL (sign language); however, it is limited for Arabic sign language. Therefore, we present our collected and annotated Arabic Sign Language Letters Dataset (ArSL21L) consisting of 14202 images of 32 letter signs with various backgrounds collected from 50 people. We benchmarked our ArSL21L, dataset on state-of-the-art object detection models, i.e., 4 versions of YOLOv5. Among the models. YOLOv5l achieved the best result with COCOmAP of 0.83. Moreover, we provide comparison results of classification task between ArSL2018 dataset, the only Arabic sign language letter dataset for classification task, and our dataset by running classification task on in-house short video. The results revealed that the model trained on our dataset has a superior performance over the model trained on ArSL2018. Moreover, we have created our prototype avatar which can mimic the ArSL (Arabic Sign Language) gestures for Metaverse applications Finally, we believe, ArSL21L and the ArSL avatar will offer an opportunity to enhance the research and educational applications for not only the PwHL, but also in general real and virtual world applications. Our ArSL21L benchmark dataset is publicly available for research use on the Mendeley.</t>
  </si>
  <si>
    <t>Alnajjar, Fady/GRX-4246-2022; Alnajjar, Fady/CAF-5791-2022</t>
  </si>
  <si>
    <t>Alnajjar, Fady/0000-0001-6102-3765; Alnajjar, Fady/0000-0001-6102-3765</t>
  </si>
  <si>
    <t>2165-9567</t>
  </si>
  <si>
    <t>978-1-6654-4434-7</t>
  </si>
  <si>
    <t>10.1109/EDUCON52537.2022.9766497</t>
  </si>
  <si>
    <t>WOS:000836390500265</t>
  </si>
  <si>
    <t>Han, DID; Bergs, Y; Moorhouse, N</t>
  </si>
  <si>
    <t>Han, Dai-In Danny; Bergs, Yoy; Moorhouse, Natasha</t>
  </si>
  <si>
    <t>Virtual reality consumer experience escapes: preparing for the metaverse</t>
  </si>
  <si>
    <t>Virtual Reality (VR) experience escapes allow individuals to spend hours on end in immersive virtual environments and interact with content in a world that is providing shelter and illusion of an alternative reality - the metaverse. Discussions on possible risks have largely remained limited to usability challenges, while only a few studies reflect on social, psychological and physical implications this immersive technology exposes and the considerations consumers and businesses need to take. This paper critically reviews literature on escapism to discuss issues in the design and employment of virtual reality consumer experience escapes. Key issues relating to VR experience escapes and resulting effects on consumer health and well-being are discussed, emphasizing needed consumer-centered research and design. Future considerations include (1) Self-indulgent escapism through VR consumer experiences, (2) Ethical considerations in the design of VR consumer experience escapes, and (3) Purposeful design of VR consumer experiences escapes. A sequential research agenda is presented that integrates antecedents of VR experience escapes that connect to three main future research streams; designing purpose-driven VR consumer experience escapes, complementing methodologies for VR consumer experience research, and meaningful VR consumer experience escapes.</t>
  </si>
  <si>
    <t>10.1007/s10055-022-00641-7</t>
  </si>
  <si>
    <t>MAR 2022</t>
  </si>
  <si>
    <t>WOS:000769336000001</t>
  </si>
  <si>
    <t>Guan, J; Morris, A</t>
  </si>
  <si>
    <t>Gittens, C; Quevedo, AJU; Chapa, SGM; Taylor, R</t>
  </si>
  <si>
    <t>Guan, Jie; Morris, Alexis</t>
  </si>
  <si>
    <t>Extended-XRI Body Interfaces for Hyper-Connected Metaverse Environments</t>
  </si>
  <si>
    <t>2022 IEEE GAMES, ENTERTAINMENT, MEDIA CONFERENCE (GEM)</t>
  </si>
  <si>
    <t>IEEE Games, Entertainment, Media Conference (GEM)</t>
  </si>
  <si>
    <t>NOV 27-30, 2022</t>
  </si>
  <si>
    <t>St. Michael, BARBADOS</t>
  </si>
  <si>
    <t>Hybrid mixed-reality (XR) internet-of-things (IoT) research, here called XRI, aims at a strong integration between physical and virtual objects, environments, and agents wherein IoT-enabled edge devices are deployed for sensing, context understanding, networked communication and control of device actuators. Likewise, as augmented reality systems provide an immersive overlay on the environments, and virtual reality provides fully immersive environments, the merger of these domains leads to immersive smart spaces that are hyper-connected, adaptive and dynamic components that anchor the metaverse to real-world constructs. Enabling the human-in-the-loop to remain engaged and connected across these virtual-physical hybrid environments requires advances in user interaction that are multi-dimensional. This work investigates the potential to transition the user interface to the human body as an extended-reality avatar with hybrid extended-body interfaces that can interact both with the physical and virtual sides of the metaverse. It contributes: i) an overview of metaverses, XRI, and avatarization concepts, ii) a taxonomy landscape for extended XRI body interfaces, iii) an architecture and potential interactions for XRI body designs, iv) a prototype XRI body implementation based on the architecture, v) a design-science evaluation, toward enabling future design research directions.</t>
  </si>
  <si>
    <t>978-1-6654-6138-2</t>
  </si>
  <si>
    <t>10.1109/GEM56474.2022.10017701</t>
  </si>
  <si>
    <t>WOS:000926890300016</t>
  </si>
  <si>
    <t>Hui, XZ; Raza, SH; Khan, SW; Zaman, U; Ogadimma, EC</t>
  </si>
  <si>
    <t>Hui, Xiaozhe; Raza, Syed Hassan; Khan, Sanan Waheed; Zaman, Umer; Ogadimma, Emenyeonu C.</t>
  </si>
  <si>
    <t>Exploring Regenerative Tourism Using Media Richness Theory: Emerging Role of Immersive Journalism, Metaverse-Based Promotion, Eco-Literacy, and Pro-Environmental Behavior</t>
  </si>
  <si>
    <t>The evolving tourism industry and increasing number of travelers are not only raising environmental concerns about tourism sites, but also posing challenges for local communities. In this scenario, the notion and agenda for sustainable tourism are widely criticized due to their limited scope and emphasis on creating a balance between economic and adverse environmental and communal benefits. In response, the call for a necessary paradigm transformation has become intense. Consequently, a new approach-regenerative tourism-has been developed to create awareness about pro-environmental behavior to satisfy the primary needs of the community. Regenerative tourism supports the quality of life of local people. Therefore, there is a great need to promote eco-literacy through innovative and better audience experience-laden communication strategies, such as immersive journalism and metaverse-based promotional content. However, little is known about how these future technologies interplay with psychological and social mechanisms to enhance regenerative tourism intention. Drawing an analogy from pro-environmental theory and media richness theory, this research intends to identify whether virtual, augmented reality merger (i.e., immersive journalism), and metaverse-based environmental delineations may contribute to educating tourists and lead to regenerative tourism intention. This research was carried out using a cross-sectional online survey that collected data from 776 digital media users from Pakistan who plan to visit a destination or have done so previously. The results from the data, based on structural equation modeling, suggested that immersive journalism and metaverse-based regenerative tourism promotion are communication strategies that effectively enhance eco-literacy and lead to pro-environmental behavior. However, dispositional empathy has critical moderating implications; the greater the extent of the empathy concerns that individuals uphold, the stronger the eco-literacy and pro-environmental behavior. Finally, regenerative tourism intention can be predicted by these antecedents effectively. Therefore, these pioneer results confirmed that innovative technology-driven media content can augment awareness of regenerative tourism activities and transform travelers' intention to adopt regenerative practices during destination visits. This research suggests strategic guidelines for organizations and governments to implement practical, innovative, and communicative tools that support adopting regenerative practices among prospective travelers.</t>
  </si>
  <si>
    <t>Raza, Syed Hassan/I-7274-2017</t>
  </si>
  <si>
    <t>Raza, Syed Hassan/0000-0002-1318-7818</t>
  </si>
  <si>
    <t>10.3390/su15065046</t>
  </si>
  <si>
    <t>WOS:000958893900001</t>
  </si>
  <si>
    <t>Wang, G; Qin, R; Li, JJ; Wang, FY; Gan, Y; Yan, LH</t>
  </si>
  <si>
    <t>Wang, Ge; Qin, Rui; Li, Juanjuan; Wang, Fei-Yue; Gan, Yu; Yan, Lihua</t>
  </si>
  <si>
    <t>A Novel DAO-Based Parallel Enterprise Management Framework in Web3 Era</t>
  </si>
  <si>
    <t>This article proposes a novel parallel management mode based on decentralized autonomous organizations (DAOs) for enterprises by utilizing the artificial systems, computational experiments, parallel execution (ACP) approach, parallel intelligence theory, and blockchain technologies, to realize the distributed management of an enterprise. The artificial enterprise DAO (EnDAO) corresponding to the actual enterprise is constructed, and they constitute a parallel system via virtual-real interaction and parallel execution. Through the non-fungible token (NFT)-based incentive mechanism, metaverse-based virtual learning and training, as well as DAO-based distributed management and decision-making, the management and control of the actual enterprise as well as its employees can be carried out. By virtue of the virtual-real interactions of three types of employees, as well as the virtual-real feedback of three closed loops in the parallel systems, DAO-based parallel management for enterprises can realize descriptive intelligence, predictive intelligence, and prescriptive intelligence. On this basis, this article takes the recruitment-oriented key performance indicator (KPI) management of a startup technology enterprise as the case to introduce the operation processes and illustrate the superiorities of the proposed DAO-based enterprise parallel management mode.</t>
  </si>
  <si>
    <t>li, juan juan/0000-0002-0827-0449</t>
  </si>
  <si>
    <t>10.1109/TCSS.2023.3239059</t>
  </si>
  <si>
    <t>WOS:000935660100001</t>
  </si>
  <si>
    <t>Golas, A; Goswami, N</t>
  </si>
  <si>
    <t>Golas, Abhinav; Goswami, Nilanjan</t>
  </si>
  <si>
    <t>Industry Talk II: Rendering Architectures for Augmented and Virtual Reality</t>
  </si>
  <si>
    <t>2022 IEEE INTERNATIONAL CONFERENCE ON NETWORKING, ARCHITECTURE AND STORAGE (NAS)</t>
  </si>
  <si>
    <t>16th IEEE International Conference on Networking, Architecture and Storage (NAS)</t>
  </si>
  <si>
    <t>OCT 03-04, 2022</t>
  </si>
  <si>
    <t>Philadelphia, PA</t>
  </si>
  <si>
    <t>IEEE,IEEE Comp Soc,Real Labs Res,FutureWei Technologies</t>
  </si>
  <si>
    <t>The Metaverse will enhance human interaction by bringing people closer together in virtual and augmented worlds. Enabling such immersive experiences requires novel hardware and software systems, with tight vertical integration, and a novel rendering architecture. Novel AR and VR hardware for interacting with the metaverse will require improving the performance per unit power of the graphics pipeline by 1-2 orders of magnitude, while strictly controlling heat dissipation for user comfort, and complying with strict form-factor constraints. Rendering architectures in such devices will also be subject to a constraint new to graphics - latency - as low end-to-end latency is essential for enabling virtual objects to exist stably in the real world. In this talk, we will talk about open research problems for rendering architectures in AR/VR, and a class of rendering architectures that holds promise in addressing them.</t>
  </si>
  <si>
    <t>978-1-6654-5408-7</t>
  </si>
  <si>
    <t>XV</t>
  </si>
  <si>
    <t>WOS:000890297200004</t>
  </si>
  <si>
    <t>Faraboschi, P; Frachtenberg, E; Laplante, P; Milojicic, D; Saracco, R</t>
  </si>
  <si>
    <t>Faraboschi, Paolo; Frachtenberg, Eitan; Laplante, Phil; Milojicic, Dejan; Saracco, Roberto</t>
  </si>
  <si>
    <t>Virtual Worlds (Metaverse): From Skepticism, to Fear, to Immersive Opportunities</t>
  </si>
  <si>
    <t>The advancement of human-computer interfaces and computational power enables the creation of believable virtual worlds. These were once limited to the gaming community but are now used for business purposes, including industrial applications, health, education.</t>
  </si>
  <si>
    <t>Milojicic, Dejan/0000-0001-9830-8588; Frachtenberg, Eitan/0000-0002-3709-1829; saracco, roberto/0000-0002-3869-8710</t>
  </si>
  <si>
    <t>10.1109/MC.2022.3192702</t>
  </si>
  <si>
    <t>WOS:000861426400014</t>
  </si>
  <si>
    <t>Towards Aircraft Maintenance Metaverse Using Speech Interactions with Virtual Objects in Mixed Reality</t>
  </si>
  <si>
    <t>Metaverses embedded in our lives create virtual experiences inside of the physical world. Moving towards metaverses in aircraft maintenance, mixed reality (MR) creates enormous opportunities for the interaction with virtual airplanes (digital twin) that deliver a near-real experience, keeping physical distancing during pandemics. 3D twins of modern machines exported to MR can be easily manipulated, shared, and updated, which creates colossal benefits for aviation colleges who still exploit retired models for practicing. Therefore, we propose mixed reality education and training of aircraft maintenance for Boeing 737 in smart glasses, enhanced with a deep learning speech interaction module for trainee engineers to control virtual assets and workflow using speech commands, enabling them to operate with both hands. With the use of the convolutional neural network (CNN) architecture for audio features and learning and classification parts for commands and language identification, the speech module handles intermixed requests in English and Korean languages, giving corresponding feedback. Evaluation with test data showed high accuracy of prediction, having on average 95.7% and 99.6% on the F1-Score metric for command and language prediction, respectively. The proposed speech interaction module in the aircraft maintenance metaverse further improved education and training, giving intuitive and efficient control over the operation, enhancing interaction with virtual objects in mixed reality.</t>
  </si>
  <si>
    <t>10.3390/s21062066</t>
  </si>
  <si>
    <t>WOS:000652711100001</t>
  </si>
  <si>
    <t>Pigultong, M</t>
  </si>
  <si>
    <t>Pigultong, M.</t>
  </si>
  <si>
    <t>Cognitive Impacts of Using a Metaverse embedded on Learning Management System for Students with Unequal Access to Learning Resources</t>
  </si>
  <si>
    <t>2022 10TH INTERNATIONAL CONFERENCE ON INFORMATION AND EDUCATION TECHNOLOGY (ICIET 2022)</t>
  </si>
  <si>
    <t>10th International Conference on Information and Education Technology (ICIET)</t>
  </si>
  <si>
    <t>APR 09-11, 2022</t>
  </si>
  <si>
    <t>Matsue, JAPAN</t>
  </si>
  <si>
    <t>IEEE,Shimane Univ,Univ Laval,So Fed Univ</t>
  </si>
  <si>
    <t>This research aims to 1) Develop a Metaverse embedded in Learning Management System. 2) To compare the cognitive achievement between groups of students. 3) To study the cognitive effectiveness between groups of students. The population used in this research was 105 undergraduate students enrolled in green university courses in 2021. Every student can access the Internet on a mobile phone in Unequal ways. The researcher divided the population into three groups: 1) 32 students had access to LMS via wi-fi. 2) 30 students had access to LMS via hi-speed 4G mobile internet. 3) 43 students had access to LMS slower than 4G mobile internet. The statistics used in this research were 1) One-way ANOVA 2) Effectiveness index. The results showed that the cognitive score before and after learning via a Metaverse embedded on Learning Management System of the three unequal accessed learning resources groups was significantly different at the level of .05 (p=.000). When considered between groups, the group of students accessing the Internet via a wi-fi network compared to students accessing the Internet via a slower than 4G mobile internet had a statistical difference at the .05 level (p =.000). While the group of students accessing the Internet via hi-speed 4G mobile internet and the group of students accessing the Internet via a slower than 4G mobile internet had a statistically significant difference at the.05 level (p=.003). In contrast, the students accessing the Internet via a wi-fi network and the students accessing the Internet via Hispeed 4G mobile internet had no difference in cognitive test results (p=.213). The results of the Cognitive effectiveness study found that the group of students accessing via wi-fi networks had a 38.85 percent of cognitive increment. The students accessing the hi-speed 4G mobile internet had a 35.35 percent cognitive increment. And the group of students accessing via a slower than 4G mobile internet had a 9.78 percent cognitive increment.</t>
  </si>
  <si>
    <t>Pigultong, Metee/0000-0001-8456-4951</t>
  </si>
  <si>
    <t>978-1-6654-8048-2</t>
  </si>
  <si>
    <t>10.1109/ICIET55102.2022.9779045</t>
  </si>
  <si>
    <t>WOS:000839122100006</t>
  </si>
  <si>
    <t>He, LD; Liu, KX; He, ZH; Cao, LC</t>
  </si>
  <si>
    <t>He, Lidan; Liu, Kexuan; He, Zehao; Cao, Liangcai</t>
  </si>
  <si>
    <t>Three-dimensional holographic communication system for the metaverse</t>
  </si>
  <si>
    <t>OPTICS COMMUNICATIONS</t>
  </si>
  <si>
    <t>We demonstrate a real-time three-dimensional communication system integrating the capture, hologram generation, transmission and display. The point cloud of a 3D scene is captured by a structured light camera and a light field camera. Phase-only computer-generated holograms are calculated by the layer-based angular spectrum method based on rendered depth images and shading images. The dynamic reconstruction of phase -only holograms is realized by a dynamic 4K liquid crystal spatial light modulator. The framerate of 20 fps and the latency of 0.1 s are realized, which can be satisfied by the 5G network. We suggest that this system is a potential solution to telepresence in the metaverse.</t>
  </si>
  <si>
    <t>0030-4018</t>
  </si>
  <si>
    <t>1873-0310</t>
  </si>
  <si>
    <t>10.1016/j.optcom.2022.128894</t>
  </si>
  <si>
    <t>WOS:000877424700004</t>
  </si>
  <si>
    <t>Tan, TF; Li, Y; Lim, JS; Gunasekeran, DV; Teo, ZL; Ng, WY; Ting, DSW</t>
  </si>
  <si>
    <t>Tan, Ting Fang; Li, Yong; Lim, Jane Sujuan; Gunasekeran, Dinesh Visva; Teo, Zhen Ling; Ng, Wei Yan; Ting, Daniel SW.</t>
  </si>
  <si>
    <t>Metaverse and Virtual Health Care in Ophthalmology: Opportunities and Challenges</t>
  </si>
  <si>
    <t>ASIA-PACIFIC JOURNAL OF OPHTHALMOLOGY</t>
  </si>
  <si>
    <t>The outbreak of the coronavirus disease 2019 has further increased the urgent need for digital transformation within the health care settings, with the use of artificial intelligence/deep learning, internet of things, telecommunication network/virtual platform, and blockchain. The recent advent of metaverse, an interconnected online universe, with the synergistic combination of augmented, virtual, and mixed reality described several years ago, presents a new era of immersive and real-time experiences to enhance human-to-human social interaction and connection. In health care and ophthalmology, the creation of virtual environment with three-dimensional (3D) space and avatar, could be particularly useful in patient-fronting platforms (eg, telemedicine platforms), operational uses (eg, meeting organization), digital education (eg, simulated medical and surgical education), diagnostics, and therapeutics. On the other hand, the implementation and adoption of these emerging virtual health care technologies will require multipronged approaches to ensure interoperability with real-world virtual clinical settings, user-friendliness of the technologies and clinical efficiencies while complying to the clinical, health economics, regulatory, and cybersecurity standards. To serve the urgent need, it is important for the eye community to continue to innovate, invent, adapt, and harness the unique abilities of virtual health care technology to provide better eye care worldwide.</t>
  </si>
  <si>
    <t>Teo, Zhen Ling/HLH-2188-2023; wang, wjd/GSD-2051-2022</t>
  </si>
  <si>
    <t>2162-0989</t>
  </si>
  <si>
    <t>10.1097/APO.0000000000000537</t>
  </si>
  <si>
    <t>WOS:000814305000008</t>
  </si>
  <si>
    <t>Moon, I; An, YS; Min, SH; Park, C</t>
  </si>
  <si>
    <t>Moon, Ilyoung; An, Yeongsang; Min, Seunghwa; Park, Chanhee</t>
  </si>
  <si>
    <t>Therapeutic Effects of Metaverse Rehabilitation for Cerebral Palsy: A Randomized Controlled Trial</t>
  </si>
  <si>
    <t>Metaverse physical therapy (MPT), an adjuvant technology for the rehabilitation of children with cerebral palsy (CP), has gained notoriety in the clinical field owing to its accessibility and because it provides motivation for rehabilitation. The aim is to compare the gross motor function and cardiopulmonary function, the activities of daily living, quality of life (QOL), and the perceived risk of coronavirus disease (COVID)-19 transmission between MPT and conventional physical therapy (CPT). A convenience sample of 26 children with CP (mean age, 11.23 +/- 3.24 years, 14 females) were randomized into either the MPT or CPT group and received therapy three days/week for four weeks. Clinical outcomes included gross-motor-function measure 66 (GMFM-66), heart rate (HR), Borg-rating perceived exertion (BRPE), functional independence measure (FIM), pediatric QOL, and the risk of COVID-19 transmission. An analysis of variance showed that compared with CPT, MPT exerted positive effects on GMFM, HR, and BRPE. An independent t-test showed that compared with CPT, MPT exerted positive effects on the perceived transmission risk of COVID-19 but not on FIM and QOL. Our results provide promising therapeutic evidence that MPT improves gross motor function, cardiopulmonary function, and the risk of COVID-19 in children with CP.</t>
  </si>
  <si>
    <t>10.3390/ijerph20021578</t>
  </si>
  <si>
    <t>WOS:000915180100001</t>
  </si>
  <si>
    <t>Dozio, N; Marcolin, F; Scurati, GW; Ulrich, L; Nonis, F; Vezzetti, E; Marsocci, G; La Rosa, A; Ferrise, F</t>
  </si>
  <si>
    <t>Dozio, Nicolo; Marcolin, Federica; Scurati, Giulia Wally; Ulrich, Luca; Nonis, Francesca; Vezzetti, Enrico; Marsocci, Gabriele; La Rosa, Alba; Ferrise, Francesco</t>
  </si>
  <si>
    <t>A design methodology for affective Virtual Reality</t>
  </si>
  <si>
    <t>INTERNATIONAL JOURNAL OF HUMAN-COMPUTER STUDIES</t>
  </si>
  <si>
    <t>In the era of 'metaverse', virtual environments are gaining popularity among new multimedia contents and are also recognized as a valuable means to deliver emotional content. This is favoured by cost reduction, availability and acceptance by end-users of virtual reality technology. Creating effective virtual environments can be achieved by exploiting several opportunities: creating artificial worlds able to generate different stories, mixing sensory cues, and making the whole interactive. The design space for creating emotional virtual environments is ample, and no clear idea of how to integrate the various components exists. This paper discusses how to combine multiple design elements to elicit five distinct emotions. We developed and tested two scenarios per emotion. We present the methodology, the development of the case studies, and the results of the testing.</t>
  </si>
  <si>
    <t>Ferrise, Francesco/C-6502-2008</t>
  </si>
  <si>
    <t>Ferrise, Francesco/0000-0001-8951-8807; Ulrich, Luca/0000-0001-8407-0660; Marcolin, Federica/0000-0002-4360-6905; Dozio, Nicolo/0000-0003-3201-2519; Scurati, Giulia Wally/0000-0002-0389-4279; Nonis, Francesca/0000-0002-7332-7894</t>
  </si>
  <si>
    <t>1071-5819</t>
  </si>
  <si>
    <t>1095-9300</t>
  </si>
  <si>
    <t>10.1016/j.ijhcs.2022.102791</t>
  </si>
  <si>
    <t>WOS:000792963200003</t>
  </si>
  <si>
    <t>Kim, J; Hwang, L; Kwon, S; Lee, S</t>
  </si>
  <si>
    <t>Kim, Jungho; Hwang, Leehwan; Kwon, Soonchul; Lee, Seunghyun</t>
  </si>
  <si>
    <t>Change in Blink Rate in the Metaverse VR HMD and AR Glasses Environment</t>
  </si>
  <si>
    <t>Blink rate, a major physiological response in humans, directly affects ocular diseases such as keratitis and dry eye. The blink rate in normal eyes appears at a constant frequency of 6-30 times per minute and is constant for each individual. In a previous study, the blink rate decreased when viewing content with high intensity and realism. Therefore, we tried to investigate the change in blink rate when viewing the content in VR HMD (virtual reality head-mounted display) and AR (augmented reality) glasses environments. We compared and analyzed the blink rate in four environments: natural state, viewing monitor, viewing VR HMD, and viewing AR glasses. Twenty-one participants (age, 26.87 +/- 3.31 years) viewed the content for 1 min in four environments. One-way repeated ANOVA was used to analyze the blink rate changes. The study showed that the blink rate was decreased in the monitor, VR HMD, and AR glasses environments compared to that in the natural environment. Comparing the VR HMD environment with the AR glasses environment showed that the blink rate decreased in the VR HMD environment. The results of this study can be used for content use safety recommendations (guidelines for safe use of contents due to decreased blink rate) in the VR HMD and AR glasses environments, which are currently attracting attention in the metaverse.</t>
  </si>
  <si>
    <t>KWON, SOON CHUL/0000-0001-6595-6415; Lee, Seung Hyun/0000-0002-4113-5118; HWANG, LEEHWAN/0000-0001-7208-7190</t>
  </si>
  <si>
    <t>10.3390/ijerph19148551</t>
  </si>
  <si>
    <t>WOS:000831632700001</t>
  </si>
  <si>
    <t>Wang, FF</t>
  </si>
  <si>
    <t>Wang, Fengfei</t>
  </si>
  <si>
    <t>Metaverse-Empowered Music and Dance: Experience of Emotion and Scene Unification</t>
  </si>
  <si>
    <t>Music and dance are closely related and symbiotic. On the one hand, dance often requires music accompaniment. On the other hand, dance can enrich the melody and style of music. The emergence of the metaverse has taken the experience of music and dance to a new level. This paper studies the three-dimensional situational experience of music and dance in Virtual Reality (VR) empowered by metaverse to feel the beauty of situational integration. After the spherical video is projected onto a two-dimensional plane to form a panoramic video, the two-dimensional panoramic video needs to be converted into a spherical video for users to watch. Therefore, it is more reasonable to take spherical video distortion as the distortion measure of panoramic video coding. In this paper, spherical video distortion is taken as the measurement standard of video quality, and the panoramic video coding technology is optimized. Furthermore, the corresponding weights are introduced to change the distortion ratio of different interpolation regions in the calculation process of rate distortion cost, and a rate distortion optimization technology based on spherical distortion measurement is proposed. The equal weight feature of spherical pixel is realized on two-dimensional plane, which improves the coding efficiency of panoramic video. Experimental results show that compared with the three benchmarks, the proposed algorithm can achieve 1.6157% bit saving on average and achieve a good Quality of Experience (QoE) when other processes are the same.</t>
  </si>
  <si>
    <t>APR 4</t>
  </si>
  <si>
    <t>10.1155/2022/2455782</t>
  </si>
  <si>
    <t>WOS:000791247300001</t>
  </si>
  <si>
    <t>Sone, J; Sato, T; Yanagawa, S; Yamada, K; Lin, LW</t>
  </si>
  <si>
    <t>Sone, Junji; Sato, Tatsuya; Yanagawa, Shinmyo; Yamada, Katsumi; Lin, Liwei</t>
  </si>
  <si>
    <t>Study of Thin Polymer pre-charge Multi point Tactile device</t>
  </si>
  <si>
    <t>Thin and multi point tactile device is good for human interaction at Metaverse, health, remote control and so on. Pre charge tactile device is very thin, then we can use many applications. We develop the multi point device and confirmed the vibration ability.</t>
  </si>
  <si>
    <t>l, j/HNC-5728-2023; Li, Jiaxi/HTS-3430-2023; Lin, L/HKO-8213-2023; Li, Li/IAQ-0885-2023</t>
  </si>
  <si>
    <t xml:space="preserve">Li, Jiaxi/0000-0002-8197-8590; </t>
  </si>
  <si>
    <t>10.1109/VRW55335.2022.00071</t>
  </si>
  <si>
    <t>WOS:000808111800062</t>
  </si>
  <si>
    <t>Teng, ZQ; Cai, Y; Gao, Y; Zhang, XY; Li, XL</t>
  </si>
  <si>
    <t>Teng, Zhuoqi; Cai, Yan; Gao, Yu; Zhang, Xiying; Li, Xinlong</t>
  </si>
  <si>
    <t>Factors Affecting Learners' Adoption of an Educational Metaverse Platform: An Empirical Study Based on an Extended UTAUT Model</t>
  </si>
  <si>
    <t>This study examined the factors affecting learners' adoption of an educational metaverse platform using an extended UTAUT (unified theory of acceptance and use of technology) model and incorporating perceived risk. Data were derived from a survey of 495 respondents from China and analyzed using structural equation modeling. The results revealed that (i) performance expectancy, effort expectancy, social influence, and facilitating conditions had significantly positive effects on learners' satisfaction with the Eduverse; (ii) learners' satisfaction had a positive effect on their continued usage intention; (iii) learners' intention to use the Eduverse was reduced after they perceived risks. Our study provided empirical evidence of the validity of the UTAUT model in explaining learners' adoption of the Eduverse. Our findings have significant practical implications for enterprises, educational institutions, and governments.</t>
  </si>
  <si>
    <t>Gao, Yu/HHM-7978-2022; Zhang, Xi/HJH-1211-2023; TENG, ZHUOQI/HGE-1732-2022</t>
  </si>
  <si>
    <t>Gao, Yu/0000-0002-6916-5116; TENG, ZHUOQI/0000-0002-2741-3580; Cai, Yan/0000-0003-0888-7526</t>
  </si>
  <si>
    <t>AUG 26</t>
  </si>
  <si>
    <t>10.1155/2022/5479215</t>
  </si>
  <si>
    <t>WOS:000882711600008</t>
  </si>
  <si>
    <t>Zou, ZZ; Ye, M; Li, S; Li, X; Dufaux, F</t>
  </si>
  <si>
    <t>Zou, Zizhuang; Ye, Mao; Li, Shuai; Li, Xue; Dufaux, Frederic</t>
  </si>
  <si>
    <t>360 degrees Image Saliency Prediction by Embedding Self-Supervised Proxy Task</t>
  </si>
  <si>
    <t>IEEE TRANSACTIONS ON BROADCASTING</t>
  </si>
  <si>
    <t>The development of Metaverse industry produces many 360 degrees images and videos. Transmitting these images or videos efficiently is the key to success of Metaverse. Since the subject's field of view is limited in Metaverse, from the perception perspective, bit rates can be saved by focusing video encoding on salient regions. On different ways of handling 360 degrees image projections, the existing works either consider combining local and global projections or just use only global projection for saliency prediction, which results in slow detection speed or low accuracy. In this work, we address this problem by Embedding a self-supervised Proxy task in the Saliency prediction Network, dubbed as EPSNet. The main architecture follows an autoencoder with an encoder for feature extraction and a decoder for saliency prediction. The proxy task is combined with the encoder to enforce it to learn local and global information. It is designed to find the location of a certain local projection in the global projection via self-supervised learning. A cross-attention fusion mechanism is used to fuse the global and local features for location prediction. Then, the decoder is trained based on the sole global projection. In this way, the time-consuming local-global feature fusion is placed in the training stage only. Experiments on public dataset show that our method has achieved satisfactory results in terms of inference speed and accuracy. The dataset and code are available at https://github.com/zzz0326/EPSNet.</t>
  </si>
  <si>
    <t>Dufaux, Frederic/HJJ-1496-2023; Ye, Mao/G-8559-2012</t>
  </si>
  <si>
    <t xml:space="preserve">Dufaux, Frederic/0000-0001-6388-4112; </t>
  </si>
  <si>
    <t>0018-9316</t>
  </si>
  <si>
    <t>1557-9611</t>
  </si>
  <si>
    <t>10.1109/TBC.2023.3254143</t>
  </si>
  <si>
    <t>WOS:000953391900001</t>
  </si>
  <si>
    <t>Hao, CX; Dwivedi, A; Beckerle, P</t>
  </si>
  <si>
    <t>Borja, P; DellaSantina, C; Peternel, L; Torta, E</t>
  </si>
  <si>
    <t>Hao, Chenxu; Dwivedi, Anany; Beckerle, Philipp</t>
  </si>
  <si>
    <t>A Literature-Based Perspective on Human-Centered Design and Evaluation of Interfaces for Virtual Reality in Robotics</t>
  </si>
  <si>
    <t>HUMAN-FRIENDLY ROBOTICS, HFR, 2022</t>
  </si>
  <si>
    <t>Springer Proceedings in Advanced Robotics</t>
  </si>
  <si>
    <t>15th International Workshop on Human-Friendly Robotics (HFR)</t>
  </si>
  <si>
    <t>SEP 22-23, 2022</t>
  </si>
  <si>
    <t>Delft, NETHERLANDS</t>
  </si>
  <si>
    <t>Franka Emika,Fizyr,RoboHouse,TU Delft Robot Inst</t>
  </si>
  <si>
    <t>Over the past decade, the use of virtual reality applications is increasing in the field of robotics, which is set to increase even further with the advent of Metaverse. Metaverse is considered as an embodied internet which will seamlessly integrate machines, robots, and computer applications including those in virtual and augmented reality. In this work, we review the current state of research and discuss the underlying problems with the current design and evaluation methods for the state-of-the-art virtual reality interfaces employed in the field of robotics. To overcome these issues, we present our perspective on the methods for design and evaluation of such interfaces. Our perspective takes into account human-centered design methods along with the functional measures of evaluating the performance of the interfaces. This interdisciplinary perspective emphasizes rigorously designed empirical experiments that require close collaborations among engineers, designers, human-computer interaction researchers and cognitive scientists.</t>
  </si>
  <si>
    <t>2511-1256</t>
  </si>
  <si>
    <t>2511-1264</t>
  </si>
  <si>
    <t>978-3-031-22733-2; 978-3-031-22731-8; 978-3-031-22730-1</t>
  </si>
  <si>
    <t>10.1007/978-3-031-22731-8_1</t>
  </si>
  <si>
    <t>WOS:000968175000001</t>
  </si>
  <si>
    <t>Cha, HS; Im, CH</t>
  </si>
  <si>
    <t>Cha, Ho-Seung; Im, Chang-Hwan</t>
  </si>
  <si>
    <t>Improvement of robustness against electrode shift for facial electromyogram-based facial expression recognition using domain adaptation in VR-based metaverse applications</t>
  </si>
  <si>
    <t>Recognition of users' facial expressions and reflecting them on the face of the user's virtual avatar is a key technology for realizing immersive virtual reality (VR)-based metaverse applications. As a method to realize this technology, a facial electromyogram (fEMG)-based facial expression recognition (FER) system, with the fEMG electrodes being attached on the pad of a VR headset, has recently been proposed. However, the performance of such FER systems has severely deteriorated when the locations of fEMG electrodes change by the re-wearing of the VR headset, requiring long and tedious calibration sessions every time the user wears the VR headset. In this study, we developed an fEMG-based FER system that is robust against electrode shifts by employing new signal processing techniques: covariate shift adaptation techniques in feature and classifier domains. To verify the feasibility of the proposed method, fEMG data were recorded while participants were making 11 facial expressions repeatedly in four sessions, between which they detached and reattached the fEMG electrodes on their faces. Our experiments showed that classification accuracy dropped from 88 to 79% by the change of the electrode locations when the proposed method was not applied, whereas the accuracy was significantly improved up to 86% when the proposed covariate shift adaptation method was employed. It is expected that the proposed method would contribute to enhancing the practicality of the fEMG-based FER, promoting the practical application of the fEMG-based FER to VR-based metaverse applications.</t>
  </si>
  <si>
    <t>10.1007/s10055-023-00761-8</t>
  </si>
  <si>
    <t>WOS:000932543100001</t>
  </si>
  <si>
    <t>Barbara, J; Haahr, M</t>
  </si>
  <si>
    <t>Vosmeer, M; Holloway-Attaway, L</t>
  </si>
  <si>
    <t>Barbara, Jonathan; Haahr, Mads</t>
  </si>
  <si>
    <t>Identification and IDNs in the Metaverse: Who Would We Like to Be?</t>
  </si>
  <si>
    <t>INTERACTIVE STORYTELLING, ICIDS 2022</t>
  </si>
  <si>
    <t>15th International Conference on Interactive Digital Storytelling (ICIDS)</t>
  </si>
  <si>
    <t>DEC 04-07, 2022</t>
  </si>
  <si>
    <t>Univ California, Santa Cruz, CA</t>
  </si>
  <si>
    <t>Univ California</t>
  </si>
  <si>
    <t>One's digital identity on the Metaverse is critical enough to warrant EU regulation. Suggesting Interactive Digital Narratives as having a role to play in theMetaverse, we focus on the identity of the Virtual Reality interactor in such virtual spaces, and the potential impact this may have on the self-identity of the interactor. Building upon the notions of identity and the interactor's construction of their narrative identity, we revisit identification in the context of VR Interactive Narratives (VRINs) and explore authenticity and character similarity as its dimensions. We interpret the construction of a narrative identity in VR as a vehicle for identity shift between the interactor's self-identity and identification with the character. Based on the theoretical framework, we present a conceptual model for identity shift in VRINs which we then apply to a number of case studies to exemplify its utility and provide some guidelines for VRIN authors in how to use this model.</t>
  </si>
  <si>
    <t>Barbara, Jonathan/K-1392-2015</t>
  </si>
  <si>
    <t>Barbara, Jonathan/0000-0001-6207-170X; Haahr, Mads/0000-0002-9273-6458</t>
  </si>
  <si>
    <t>978-3-031-22297-9; 978-3-031-22298-6</t>
  </si>
  <si>
    <t>10.1007/978-3-031-22298-6_39</t>
  </si>
  <si>
    <t>WOS:000913208900039</t>
  </si>
  <si>
    <t>Gao, YC; Lu, YH; Zhu, X</t>
  </si>
  <si>
    <t>Gao, Yuechen; Lu, Yihua; Zhu, Xi</t>
  </si>
  <si>
    <t>Mateverse, the Future Materials Science Computation Platform Based on Metaverse</t>
  </si>
  <si>
    <t>JOURNAL OF PHYSICAL CHEMISTRY LETTERS</t>
  </si>
  <si>
    <t>Currently, computational materials science involves human-computer interaction through coding in software or neural networks. There is still no direct way for human intelligence endorsement. The digitalization of human intelligence should be the ultimate goal for many disciplines. In materials science, human intelligence is still irreplaceable from machine learning techniques, where humans can deal with complex correlations in the real world. We design the framework of Mateverse, a materials science computation platform based on Metaverse, which unifies human intelligence, experiment data, and theoretical simulations. In Mateverse, we intensively study the properties of H2O, including the liquid and solid phases. We show that we can optimize a new water force field (which we name TIP4P-Meta) directly from the interactions between human and visible properties of H2O. This force field is validated to be better than the conventional water model, and new ice polymorphs can be generated. We believe our platform can provide valuable hints in the paradigm upgrade in future computational materials science development.</t>
  </si>
  <si>
    <t>Zhu, Xi/M-4512-2013</t>
  </si>
  <si>
    <t>Zhu, Xi/0000-0002-2496-4053; Gao, Yuechen/0000-0003-1397-1781</t>
  </si>
  <si>
    <t>1948-7185</t>
  </si>
  <si>
    <t>10.1021/acs.jpclett.2c03459</t>
  </si>
  <si>
    <t>WOS:000917955400001</t>
  </si>
  <si>
    <t>Pan, DF; Ding, DR; Ge, XH; Han, QL; Zhang, XM</t>
  </si>
  <si>
    <t>Pan, Dengfeng; Ding, Derui; Ge, Xiaohua; Han, Qing-Long; Zhang, Xian-Ming</t>
  </si>
  <si>
    <t>Privacy-Preserving Platooning Control of Vehicular Cyber-Physical Systems With Saturated Inputs</t>
  </si>
  <si>
    <t>Metaverse allows the physical reality to tightly integrate with the digital universe. As one typical metaverse application, platooning control of vehicular cyber-physical systems has attracted extensive attention as it is beneficial to improve traffic efficiency, driving safety, and emission reduction. However, due to the open nature of wireless communication networks, the transmitted vehicle-to-vehicle (V2V) data packets become exposed to the public and concomitant data leakage can lead to unintended consequences to vehicular platoons. This article is concerned with the privacy-preserving platooning control issue of vehicular cyber-physical systems with input saturations. First, a novel distributed proportional-integral observer is proposed to estimate the full state of each vehicle, where the integral terms with a forgetting factor facilitate to realize the tradeoff between transient performance and steady-state performance for the platoon. Second, sampled-data-based dynamic encryption and decryption schemes, featuring a dynamic private key, are developed such that the encrypted and decrypted V2V data can be kept private to each platoon vehicle. It is then shown that the platooning control problem over a generic communication topology can be cast into the stability issue of an auxiliary dynamic system. Furthermore, sufficient conditions on the existence of the desired observer and controller gains as well as the private key parameter selection are derived to guarantee the desired platoon stability and privacy preservation requirements. Finally, an illustrative example is given to demonstrate the effectiveness of the proposed control method.</t>
  </si>
  <si>
    <t>Zhang, Xian-Ming/N-4262-2016; Ge, Xiaohua/U-8077-2017; Ding, Derui/E-4679-2018</t>
  </si>
  <si>
    <t>Zhang, Xian-Ming/0000-0003-0691-5386; Ge, Xiaohua/0000-0003-0180-0897; Pan, Dengfeng/0000-0002-8475-527X; Ding, Derui/0000-0001-7402-6682</t>
  </si>
  <si>
    <t>10.1109/TSMC.2022.3226901</t>
  </si>
  <si>
    <t>WOS:000912902500001</t>
  </si>
  <si>
    <t>Zhenga, YY; Raoa, CL; Wana, HC; Zhoub, YL; Zhoua, PQ; Yua, JY; Loua, X</t>
  </si>
  <si>
    <t>Sezer, S; Buchner, T; Becker, J; Marshall, A; Siddiqui, F; Harbaum, T; McLaughlin, K</t>
  </si>
  <si>
    <t>Zhenga, Yueyang; Raoa, Chaolin; Wana, Haochuan; Zhoub, Yuliang; Zhoua, Pingqiang; Yua, Jingyi; Loua, Xin</t>
  </si>
  <si>
    <t>An RRAM-based Neural Radiance Field Processor</t>
  </si>
  <si>
    <t>2022 IEEE 35TH INTERNATIONAL SYSTEM-ON-CHIP CONFERENCE (IEEE SOCC 2022)</t>
  </si>
  <si>
    <t>IEEE International SOC Conference</t>
  </si>
  <si>
    <t>35th IEEE International System-on-Chip Conference (SOCC)</t>
  </si>
  <si>
    <t>SEP 05-08, 2022</t>
  </si>
  <si>
    <t>Belfast, NORTH IRELAND</t>
  </si>
  <si>
    <t>IEEE,IEEE Circuits &amp; Syst Soc</t>
  </si>
  <si>
    <t>Photorealistic rendering of virtual scenes is a crucial task in the applications of augmented reality (AR), virtual reality (VR) and metaverse. Traditional rasterization or raytracing-based approaches usually involve a lot of manual efforts, making them unsuitable for mass production of virtual contents. The recently proposed Neural Radiance Fields (NeRF)-based technique demonstrated state-of-the-art results, but it demands a huge amount of computation. In this paper, we propose a resistive random access memory (RRAM)-based NeRF rendering accelerator. In the proposed accelerator, dataflow is specifically designed according to the parallel nature of NeRF-based rendering to increase the utilization of the RRAM array. Moreover, positional encoding engines are included in the proposed accelerator to reduce the off-chip memory bandwidth. Simulation results show that, for the execution of NeRF-based rendering, the overall performance and energy efficiency of the proposed accelerator is much higher than the existing GPU and TPU implementations.</t>
  </si>
  <si>
    <t>2164-1676</t>
  </si>
  <si>
    <t>2164-1706</t>
  </si>
  <si>
    <t>978-1-6654-5985-3</t>
  </si>
  <si>
    <t>10.1109/SOCC56010.2022.9908135</t>
  </si>
  <si>
    <t>WOS:000885041700055</t>
  </si>
  <si>
    <t>Qin, R; Ding, WW; Li, JJ; Guan, ST; Wang, G; Ren, YH; Qu, ZY</t>
  </si>
  <si>
    <t>Qin, Rui; Ding, Wenwen; Li, Juanjuan; Guan, Sangtian; Wang, Ge; Ren, Yuhai; Qu, Zhiyou</t>
  </si>
  <si>
    <t>Web3-Based Decentralized Autonomous Organizations and Operations: Architectures, Models, and Mechanisms</t>
  </si>
  <si>
    <t>Empowered by blockchain and Web3 technologies, decentralized autonomous organizations (DAOs) are able to redefine resources, production relations, and organizational structures in a revolutionary manner. This article aims to reanalyze DAOs from the perspectives of organization and operation, and provide a more precise definition of DAOs as DAOs and Operations. Based on this, the fundamental principles and requirements of DAOs are explained, while the infrastructure based on cyber- physical-social system (CPSS) and parallel intelligence, as well as the supporting technologies, such as digital twins, metaverse, and Web3, are discussed. Besides, a five-layer intelligent architecture is presented, and the closed-loop equation and new function oriented intelligent algorithms are also proposed. Moreover, the governance mechanisms from the individual, organizational and social perspectives are discussed, and the incentive mechanisms for the human, robot, and digital human are analyzed. This article can be regarded as a stepping stone for further research and developments of DAOs.</t>
  </si>
  <si>
    <t>ding, wen wen/0000-0002-0752-0733; li, juan juan/0000-0002-0827-0449</t>
  </si>
  <si>
    <t>10.1109/TSMC.2022.3228530</t>
  </si>
  <si>
    <t>WOS:000903547900001</t>
  </si>
  <si>
    <t>Martins, D; Oliveira, L; Amaro, AC</t>
  </si>
  <si>
    <t>Rocha, A; Bordel, B; Penalvo, FG; Goncalves, R</t>
  </si>
  <si>
    <t>Martins, Dalila; Oliveira, Lidia; Amaro, Ana Carla</t>
  </si>
  <si>
    <t>Life in Second Life through the eyes of the residents</t>
  </si>
  <si>
    <t>2022 17TH IBERIAN CONFERENCE ON INFORMATION SYSTEMS AND TECHNOLOGIES (CISTI)</t>
  </si>
  <si>
    <t>Iberian Conference on Information Systems and Technologies</t>
  </si>
  <si>
    <t>17th Iberian Conference on Information Systems and Technologies (CISTI)</t>
  </si>
  <si>
    <t>JUN 22-25, 2022</t>
  </si>
  <si>
    <t>Madrid, SPAIN</t>
  </si>
  <si>
    <t>Univ Politecnica Madrid,IEEE SMC Portugal Chapter,Informat &amp; Technol Management Assoc,IEEE Spain Sect,IEEE SMC Spain Chapter,IEEE SMC France Chapter,IEEE SMC Italy Chapter,AISTI</t>
  </si>
  <si>
    <t>More than a virtual world, Second Life (SL) is characterized by being an online metaverse in which the user can, in fact, create a second life. Since Second Life is a metaverse that simulates reality, users or residents can explore the world, meet other people, participate in activities, and thus simulate real world routines [1]. Based on the LOCUS project, this article intends, through the vision of the residents, to understand their preferences and what they value most in Second Life. The focus is on the space and the places they most like and what they value; on communication, that is, how are the communicational interactions between residents and preferences; and, on playability (if there is playability and if there is interest in this topic). In this way, the respondents' answers will be a trigger to build the interaction and playability of the village of Amiais in Second Life. Through this feedback, Amiais will continue to be developed with the goal of being an interesting environment that arouses curiosity, the desire to play and interact with other residents.</t>
  </si>
  <si>
    <t>2166-0727</t>
  </si>
  <si>
    <t>978-989-33-3436-2</t>
  </si>
  <si>
    <t>WOS:000848616300005</t>
  </si>
  <si>
    <t>Al-Zyoud, I; Laamarti, F; Ma, XC; Tobon, D; El Saddik, A</t>
  </si>
  <si>
    <t>Al-Zyoud, Izaldein; Laamarti, Fedwa; Ma, Xiaocong; Tobon, Diana; El Saddik, Abdulmotaleb</t>
  </si>
  <si>
    <t>Towards a Machine Learning-Based Digital Twin for Non-Invasive Human Bio-Signal Fusion</t>
  </si>
  <si>
    <t>Human bio-signal fusion is considered a critical technological solution that needs to be advanced to enable modern and secure digital health and well-being applications in the metaverse. To support such efforts, we propose a new data-driven digital twin (DT) system to fuse three human physiological bio-signals: heart rate (HR), breathing rate (BR), and blood oxygen saturation level (SpO2). To accomplish this goal, we design a computer vision technology based on the non-invasive photoplethysmography (PPG) technique to extract raw time-series bio-signal data from facial video frames. Then, we implement machine learning (ML) technology to model and measure the bio-signals. We accurately demonstrate the digital twin capability in the modelling and measuring of three human bio-signals, HR, BR, and SpO2, and achieve strong performance compared to the ground-truth values. This research sets the foundation and the path forward for realizing a holistic human health and well-being DT model for real-world medical applications.</t>
  </si>
  <si>
    <t>; /D-4159-2009</t>
  </si>
  <si>
    <t>Ma, Xiaocong/0000-0001-5691-829X; Laamarti, Fedwa/0000-0002-0338-9264; /0000-0002-7690-8547; Tobon, Diana/0000-0003-4659-7693</t>
  </si>
  <si>
    <t>10.3390/s22249747</t>
  </si>
  <si>
    <t>WOS:000903459800001</t>
  </si>
  <si>
    <t>Anagnostakis, AG; Naxakis, C; Giannakeas, N; Tsipouras, MG; Tzallas, AT; Glavas, E</t>
  </si>
  <si>
    <t>Anagnostakis, Aristidis G.; Naxakis, Charilaos; Giannakeas, Nikolaos; Tsipouras, Markos G.; Tzallas, Alexandros T.; Glavas, Euripidis</t>
  </si>
  <si>
    <t>Scalable Consensus Over Finite Capacities in Multiagent IoT Ecosystems</t>
  </si>
  <si>
    <t>In the real world, consensus achievement is an adaptive and evolutionary process. Tailor-made mechanisms are engaging in the light of disputes to resolve emerging contradictions between the atoms. Most of the dominant blockchain architectures tend to oversee this fact. They come integrated with rigid, overkilling consensus-achievement procedures, which, in many cases, are not necessary or significantly beneficial. They often raise overwhelming demands on the nodes and prohibit the deployment of fully distributed and peer blockchain operation in the IoT world. Still, for the IoT ecosystems and the metaverse to become self-sustainable and self-evolving, robust validity mechanisms must be embedded in the atomic scale. This work investigates the process of building and sustaining scalable consensus policies over the trivial atomic capacities of the IoT ecosystems. For this, we deploy the IoT microblockchain framework as an atomic consistency tier and we define a primary set of validity rules that every node can easily carry out. The initial concept relies on Godel's incompleteness theorems and K. Friston's free energy principle and is investigated under the perspectives of graph and game theory. To study the dynamic behavior of the system, a competitive game among the nodes is run. The Proof of Existence (PoE) is utilized as a universal proofing case. Its feasibility is demonstrated, and its complexity is analyzed under various system considerations. The findings prove that finite-capacity atoms can collectively and efficiently support verifiable validity and scalable consensus in the evolutionary IoT ecosystems and the metaverse, even under conditions of high diversity, trivial capacity, and eventual consistency.</t>
  </si>
  <si>
    <t>Giannakeas, Nikolaos/0000-0002-0615-783X; Tzallas, Alexandros/0000-0001-9043-1290; Anagnostakis, Aristidis/0000-0003-0633-7774</t>
  </si>
  <si>
    <t>APR 15</t>
  </si>
  <si>
    <t>10.1109/JIOT.2022.3162103</t>
  </si>
  <si>
    <t>WOS:000968830500013</t>
  </si>
  <si>
    <t>Voinea, GD; Girbacia, F; Postelnicu, CC; Duguleana, M; Antonya, C; Soica, A; Stanescu, RC</t>
  </si>
  <si>
    <t>Voinea, Gheorghe Daniel; Girbacia, Florin; Postelnicu, Cristian Cezar; Duguleana, Mihai; Antonya, Csaba; Soica, Adrian; Stanescu, Ruxandra-Cristina</t>
  </si>
  <si>
    <t>Study of Social Presence While Interacting in Metaverse with an Augmented Avatar during Autonomous Driving</t>
  </si>
  <si>
    <t>In this paper, we studied the effects of using Microsoft HoloLens 2 in a Metaverse-based collaborative mixed reality environment on the driver's social presence while using an autonomous driving system. In (semi-) autonomous vehicles the driver is the system's monitor, and the driving process becomes a secondary task. Our approach is motivated by the advent of Microsoft Mesh XR technology that enables immersion in multi-person, shared mixed reality environments. We conducted a user study comparing the effects on social presence in two scenarios: baseline and mixed reality collaboration. During the baseline condition, participants communicated and interacted with another person using Skype/Meet which was installed on a mobile tablet. In the second scenario the participants used the Microsoft Mesh application installed on HoloLens 2 to collaborate in a mixed reality environment where each user is represented by an augmented 3D avatar. During the experiment, the participant had to perform a social interaction tell-a-lie task and a remote collaborative tic-tac-toe game, while also monitoring the vehicle's behavior. The social presence was measured using the Harms and Biocca questionnaire, one of the most widely used tools for evaluating the user's experience. We found that there are significant statistical differences for Co-presence, Perceived Emotional Interdependence, and Perceived Behavioral Interdependence, and participants were able to easily interact with the avatar in the mixed reality scenario. The proposed study procedure could be taken further to assess the driver's performance during handover procedures, especially when the autonomous driving system encounters a critical situation.</t>
  </si>
  <si>
    <t>wang, wjd/GSD-2051-2022; Voinea, Gheorghe-Daniel/AAZ-7292-2021</t>
  </si>
  <si>
    <t>Voinea, Gheorghe-Daniel/0000-0003-3465-0282; Antonya, Csaba/0000-0002-0139-5425; STANESCU, Ruxandra Cristina/0000-0002-9471-6047; Girbacia, Florin/0000-0002-7228-6525; Duguleana, Mihai/0000-0002-7009-356X</t>
  </si>
  <si>
    <t>10.3390/app122211804</t>
  </si>
  <si>
    <t>WOS:000887042000001</t>
  </si>
  <si>
    <t>Li, MX; Song, Y; Wang, B</t>
  </si>
  <si>
    <t>Li, Mengxing; Song, Ying; Wang, Bo</t>
  </si>
  <si>
    <t>CWCT: An Effective Vision Transformer using improved Cross-Window Self-Attention and CNN</t>
  </si>
  <si>
    <t>In the process of metaverse construction, in order to achieve better interaction, it is necessary to provide clear semantic information for each object. Image classification technology plays a very important role in this process. Based on CMT transformer and improved Cross-Shaped Window Self-Attention, this paper presents an improved Image classification framework combining CNN and transformers, which is called CWCT transformer. Due to the high resolution of the image, vision transformers will lead to too high model complexity and too much calculation. To solve this problem, CWCT captures local features by using optimized Cross-Window Self-Attention mechanism and global features by using convolutional neural networks ( CNN) stack. This structure has the flexibility to model at various scales and has linear computational complexity concerning image size. Compared with the original CMT network, the classification accuracy has been improved on ImageNet-1k and randomly screened Tiny-ImageNet dataset. Thanks to the optimized Cross-Window Self-Attention, the CWCT proposed in this paper has a significant improvement in operation speed and model complexity compared with CMT.</t>
  </si>
  <si>
    <t>10.1109/VRW55335.2022.00041</t>
  </si>
  <si>
    <t>WOS:000808111800032</t>
  </si>
  <si>
    <t>Lin, FZ; Ning, W; Zou, ZR</t>
  </si>
  <si>
    <t>Huang, DS; Jo, KH; Jing, J; Premaratne, P; Bevilacqua, V; Hussain, A</t>
  </si>
  <si>
    <t>Lin, Fangze; Ning, Wei; Zou, Zhengrong</t>
  </si>
  <si>
    <t>Fed-MT-ISAC: Federated Multi-task Inverse Soft Actor-Critic for Human-Like NPCs in the Metaverse Games</t>
  </si>
  <si>
    <t>INTELLIGENT COMPUTING METHODOLOGIES, PT III</t>
  </si>
  <si>
    <t>Lecture Notes in Artificial Intelligence</t>
  </si>
  <si>
    <t>18th International Conference on Intelligent Computing (ICIC)</t>
  </si>
  <si>
    <t>AUG 07-11, 2022</t>
  </si>
  <si>
    <t>EIT Inst Adv Study,Xian Polytechn Univ,Shenzhen Univ,Guangxi Acad Sci,Int Neural Network Soc,Natl Sci Fdn China</t>
  </si>
  <si>
    <t>Imitation Learning (IL) is a powerful approach for constructing human-like NPCs in games. Unlike general games, metaverse games tend to build up the more complex, and more diverse game characters. Data between distinct roles is not interoperable, which leads to the challenge of sparse samples. We consider transferring the information from different tasks to solve the problem of sparse samples. Unfortunately, this approach also faces two thorny issues of privacy protection and knowledge transfer across tasks. To solve a series of problems, we propose a practical approach termed Federated Multi-Task Inverse Soft Actor Critic (Fed-MT-ISAC), which extends the Inverse Soft Actor-Critic (ISAC) to federated and multi-task cases. We compare the performance of all algorithms in multi-style tasks and multi-skill tasks. Empirical results show that the proposed algorithm successfully achieves performance improvement in all experimental settings.</t>
  </si>
  <si>
    <t>, xiao_wei/0000-0002-1631-1618; Fangze, Lin/0000-0002-0701-7943; Zhengrong, Zou/0000-0002-6619-4368</t>
  </si>
  <si>
    <t>978-3-031-13832-4; 978-3-031-13831-7</t>
  </si>
  <si>
    <t>10.1007/978-3-031-13832-4_41</t>
  </si>
  <si>
    <t>WOS:000870337200041</t>
  </si>
  <si>
    <t>Wu, JH; Si, SJ; Wang, JZ; Xiao, J</t>
  </si>
  <si>
    <t>Wu, Jianhan; Si, Shijing; Wang, Jianzong; Xiao, Jing</t>
  </si>
  <si>
    <t>Improving Human Image Synthesis with Residual Fast Fourier Transformation and Wasserstein Distance</t>
  </si>
  <si>
    <t>With the rapid development of the Metaverse, virtual humans have emerged, and human image synthesis and editing techniques, such as pose transfer, have recently become popular. Most of the existing techniques rely on GANs, which can generate good human images even with large variants and occlusions. But from our best knowledge, the existing state-of-the-art method still has the following problems: the first is that the rendering effect of the synthetic image is not realistic, such as poor rendering of some regions. And the second is that the training of GAN is unstable and slow to converge, such as model collapse. Based on the above two problems, we propose several methods to solve them. To improve the rendering effect, we use the Residual Fast Fourier Transform Block to replace the traditional Residual Block. Then, spectral normalization and Wasserstein distance are used to improve the speed and stability of GAN training. Experiments demonstrate that the methods we offer are effective at solving the problems listed above, and we get state-of-the-art scores in LPIPS and PSNR.</t>
  </si>
  <si>
    <t>xiao, jing/HRB-7391-2023</t>
  </si>
  <si>
    <t>10.1109/IJCNN55064.2022.9892625</t>
  </si>
  <si>
    <t>WOS:000867070906009</t>
  </si>
  <si>
    <t>Moztarzadeh, O; Jamshidi, M; Sargolzaei, S; Keikhaee, F; Jamshidi, A; Shadroo, S; Hauer, L</t>
  </si>
  <si>
    <t>Moztarzadeh, Omid; Jamshidi, Mohammad (Behdad); Sargolzaei, Saleh; Keikhaee, Fatemeh; Jamshidi, Alireza; Shadroo, Shabnam; Hauer, Lukas</t>
  </si>
  <si>
    <t>Metaverse and Medical Diagnosis: A Blockchain-Based Digital Twinning Approach Based on MobileNetV2 Algorithm for Cervical Vertebral Maturation</t>
  </si>
  <si>
    <t>DIAGNOSTICS</t>
  </si>
  <si>
    <t>Advanced mathematical and deep learning (DL) algorithms have recently played a crucial role in diagnosing medical parameters and diseases. One of these areas that need to be more focused on is dentistry. This is why creating digital twins of dental issues in the metaverse is a practical and effective technique to benefit from the immersive characteristics of this technology and adapt the real world of dentistry to the virtual world. These technologies can create virtual facilities and environments for patients, physicians, and researchers to access a variety of medical services. Experiencing an immersive interaction between doctors and patients can be another considerable advantage of these technologies, which can dramatically improve the efficiency of the healthcare system. In addition, offering these amenities through a blockchain system enhances reliability, safety, openness, and the ability to trace data exchange. It also brings about cost savings through improved efficiencies. In this paper, a digital twin of cervical vertebral maturation (CVM), which is a critical factor in a wide range of dental surgery, within a blockchain-based metaverse platform is designed and implemented. A DL method has been used to create an automated diagnosis process for the upcoming CVM images in the proposed platform. This method includes MobileNetV2, a mobile architecture that improves the performance of mobile models in multiple tasks and benchmarks. The proposed technique of digital twinning is simple, fast, and suitable for physicians and medical specialists, as well as for adapting to the Internet of Medical Things (IoMT) due to its low latency and computing costs. One of the important contributions of the current study is to use of DL-based computer vision as a real-time measurement method so that the proposed digital twin does not require additional sensors. Furthermore, a comprehensive conceptual framework for creating digital twins of CVM based on MobileNetV2 within a blockchain ecosystem has been designed and implemented, showing the applicability and suitability of the introduced approach. The high performance of the proposed model on a collected small dataset demonstrates that low-cost deep learning can be used for diagnosis, anomaly detection, better design, and many more applications of the upcoming digital representations. In addition, this study shows how digital twins can be performed and developed for dental issues with the lowest hardware infrastructures, reducing the costs of diagnosis and treatment for patients.</t>
  </si>
  <si>
    <t>2075-4418</t>
  </si>
  <si>
    <t>10.3390/diagnostics13081485</t>
  </si>
  <si>
    <t>WOS:000977999000001</t>
  </si>
  <si>
    <t>Lee, YA; Jung, JH; Kim, H; Jung, MY; Lee, SS</t>
  </si>
  <si>
    <t>Lee, Yuna; Jung, Jung-Hoon; Kim, Hyunjun; Jung, Minyoung; Lee, Sang-Soo</t>
  </si>
  <si>
    <t>Comparative Case Study of Teamwork on Zoom and Gather.Town</t>
  </si>
  <si>
    <t>Teamwork is a strategy for successful learning. With the Coronavirus outbreak, many universities began to rely on synchronous video conferencing and/or metaverse platforms. This study examines the difference between undergraduate students' perceptions and experiences of teamwork on Zoom and Gather.Town. A mixed-method comparative case study was conducted in which a questionnaire survey was administered to 20 undergraduate students in Korea, followed by in-depth interviews and participant observation; reflective journal writing was also examined. The data were quantitatively and qualitatively analyzed. The results show that the students had a higher perception of teamwork on Gather.Town than on Zoom. Gather.Town was effective because of the sense of presence and mobility of space it afforded, the social presence it facilitated through avatars, empowerment, and openness of emotions, and the differences in the interface and social platform. The findings can aid in the selection of platforms to suit the needs of students and instructors and in the design and implementation of effective teamwork activities on the selected platform.</t>
  </si>
  <si>
    <t>10.3390/su15021629</t>
  </si>
  <si>
    <t>WOS:000927221000001</t>
  </si>
  <si>
    <t>Ebadpour, M; Talla, J; Jamshidi, MB; Peroutka, Z</t>
  </si>
  <si>
    <t>Ebadpour, Mohsen; Talla, Jakub; Jamshidi, Mohammad Behdad; Peroutka, Zdenek</t>
  </si>
  <si>
    <t>EKF Digital Twinning of Induction Motor Drives for the Metaverse</t>
  </si>
  <si>
    <t>This paper presents a feasible state estimation of speed sensorless rotor field oriented controlled induction motor (IM) drive based on an accurate Extended Kalman Filter (EKF) digital twin model. Digital Twin is one of the attractive trends for the drive industries which provides physical assets over different operating scenarios in a cost-effective platform with no risk. The practical digital twin of the drive system for the Metaverse environment requires precise mathematical model of the motor, EKF algorithm, appropriate state controllers, and voltage source inverter. The quality of the state estimation with EKF strongly depends on input voltages which mainly come from the inverter. Unlike the previous researches which have adopted low precise ideal inverter model, in this study, a high performance EKF observer is employed based on the practical model of the inverter with rigorously considering the dead-time effects and voltage drops of switching devices. Therefore, operation of the EKF observer with digital twin model of the drive system is validated on a 4kW induction motor using simulation results acquired from MATLAB/Simulink software.</t>
  </si>
  <si>
    <t>10.1109/ME54704.2022.9983341</t>
  </si>
  <si>
    <t>WOS:000947331700057</t>
  </si>
  <si>
    <t>Hu, P; Boorboor, S; Jadhav, S; Marino, J; Mirhosseini, S; Kaufman, AE</t>
  </si>
  <si>
    <t>Hu, Ping; Boorboor, Saeed; Jadhav, Shreeraj; Marino, Joseph; Mirhosseini, Seyedkoosha; Kaufman, Arie E.</t>
  </si>
  <si>
    <t>Spatial Perception in Immersive Visualization: A Study and Findings</t>
  </si>
  <si>
    <t>Spatial information understanding is fundamental to visual perception in Metaverse. Beyond the stereoscopic visual cues naturally carried in Metaverse, the human vision system may use other auxiliary information provided by any shadow casting or motion parallax available to perceive the 3D virtual world. However, the combined use of shadows and motion parallax to improve 3D perception have not been fully studied. In particular, when visualizing the combination of volumetric data and associated skeleton models in VR, how to provide the auxiliary visual cues to enhance observers' perception of the structural information is a key yet underexplored topic. This problem is particularly challenging for visualization of data in biomedical research. In this paper, we focus on immersive analytics in neurobiology where the structural information includes the relative position of objects (nuclei / cell body) in the 3D space and the spatial measurement and connectivity of segments (axons and dendrites) in a model. We present a perceptual experiment designed for understanding the consequence of shadow casting and motion parallax in the neuron structures observation and the feedback and analysis of the experiment are reported and discussed.</t>
  </si>
  <si>
    <t>10.1109/ISMAR-Adjunct57072.2022.00080</t>
  </si>
  <si>
    <t>WOS:000918030200069</t>
  </si>
  <si>
    <t>Wang, YT; Tian, YL; Wang, JG; Cao, YS; Li, SX; Tian, B</t>
  </si>
  <si>
    <t>Wang, Yutong; Tian, Yonglin; Wang, Jiangong; Cao, Yansong; Li, Shixing; Tian, Bin</t>
  </si>
  <si>
    <t>Integrated Inspection of QoM, QoP, and QoS for AOI Industries in Metaverses</t>
  </si>
  <si>
    <t>With the rapid development of information technologies such as digital twin, extended reality, and blockchain, the hype around metaverse  is increasing at astronomical speed. However, much attention has been paid to its entertainment and social functions. Considering the openness and interoperability of metaverses, the market of quality inspection promises explosive growth. In this paper, taking advantage of metaverses, we first propose the concept of Automated Quality Inspection (AutoQI), which performs integrated inspection covering the entire manufacturing process, including Quality of Materials, Quality of Manufacturing (QoM), Quality of Products, Quality of Processes (QoP), Quality of Systems, and Quality of Services (QoS). Based on the scenarios engineering theory, we discuss how to perform interactions between metaverses and the physical world for virtual design instruction and physical validation feedback. Then we introduce a bottomup inspection device development workflow with productivity tools offered by metaverses, making development more effective and efficient than ever. As the core of quality inspection, we propose Quality Transformers to complete detection task, while federated learning is integrated to regulate data sharing. In summary, we point out the development directions of quality inspection under metaverse tide.</t>
  </si>
  <si>
    <t>10.1109/JAS.2022.106091</t>
  </si>
  <si>
    <t>WOS:000894969600006</t>
  </si>
  <si>
    <t>Sykownik, P; Maloney, D; Freeman, G; Masuch, M</t>
  </si>
  <si>
    <t>Sykownik, Philipp; Maloney, Divine; Freeman, Guo; Masuch, Maic</t>
  </si>
  <si>
    <t>Something Personal from the Metaverse: Goals, Topics, and Contextual Factors of Self-Disclosure in Commercial Social VR</t>
  </si>
  <si>
    <t>PROCEEDINGS OF THE 2022 CHI CONFERENCE ON HUMAN FACTORS IN COMPUTING SYSTEMS (CHI' 22)</t>
  </si>
  <si>
    <t>CHI Conference on Human Factors in Computing Systems (CHI)</t>
  </si>
  <si>
    <t>APR 30-MAY 05, 2022</t>
  </si>
  <si>
    <t>New Orleans, LA</t>
  </si>
  <si>
    <t>Assoc Comp Machinery,ACM SIGCHI,Google,Bloomberg,Meta,Microsoft,NSF,Yahoo</t>
  </si>
  <si>
    <t>Current Social VR literature provides limited insight on one of the most critical behaviors for developing and maintaining interpersonal relationships: self-disclosure. Therefore, we present an online survey (N = 126) investigating how users disclose personal information to each other in Social VR. Our results indicate that many participants see in Social VR access to authentic connections with others despite tending towards skepticism and privacy concerns. Most users disclose sexuality-related information, lifestyle preferences, and personal goals. In contrast, information that breaks anonymity, such as real names and more intimate aspects of oneself, are shared less commonly. Thereby, self-disclosure decisions depend on factors like the relationship to or age of disclosure recipients, the privacy of a virtual environment, the group size, or the activity context, and is driven by different goals, i.a., relational development or exploration of oneself. These insights advance the understanding of current Social VR users and their behavior by directing future research on self-disclosure-based relationship building in Social VR and outlying broader design implications for the future metaverse.</t>
  </si>
  <si>
    <t>978-1-4503-9157-3</t>
  </si>
  <si>
    <t>10.1145/3491102.3502008</t>
  </si>
  <si>
    <t>WOS:000890212503013</t>
  </si>
  <si>
    <t>Kang, JW; Ye, DD; Nie, JT; Xiao, J; Deng, XJ; Wang, SM; Xiong, ZH; Yu, R; Niyato, D</t>
  </si>
  <si>
    <t>Kang, Jiawen; Ye, Dongdong; Nie, Jiangtian; Xiao, Jiang; Deng, Xianjun; Wang, Siming; Xiong, Zehui; Yu, Rong; Niyato, Dusit</t>
  </si>
  <si>
    <t>Blockchain-based Federated Learning for Industrial Metaverses: Incentive Scheme with Optimal AoI</t>
  </si>
  <si>
    <t>2022 IEEE INTERNATIONAL CONFERENCE ON BLOCKCHAIN (BLOCKCHAIN 2022)</t>
  </si>
  <si>
    <t>5th IEEE International Conference on Blockchain (Blockchain)</t>
  </si>
  <si>
    <t>AUG 22-25, 2022</t>
  </si>
  <si>
    <t>Espoo, FINLAND</t>
  </si>
  <si>
    <t>IEEE,IEEE Comp Soc,IEEE Tech Comm Scalable Comp,IEEE Technol &amp; Engn Management Soc</t>
  </si>
  <si>
    <t>The emerging industrial metaverses realize the mapping and expanding operations of physical industry into virtual space for significantly upgrading intelligent manufacturing. The industrial metaverses obtain data from various production and operation lines by Industrial Internet of Things (IIoT), and thus conduct effective data analysis and decision-making, thereby enhancing the production efficiency of the physical space, reducing operating costs, and maximizing commercial value. However, there still exist bottlenecks when integrating metaverses into IIoT, such as the privacy leakage of sensitive data with commercial secrets, IIoT sensing data freshness, and incentives for sharing these data. In this paper, we design a user-defined privacy-preserving framework with decentralized federated learning for the industrial metaverses. To further improve privacy protection of industrial metaverse, a cross-chain empowered federated learning framework is further utilized to perform decentralized, secure, and privacy-preserving data training on both physical and virtual spaces through a hierarchical blockchain architecture with a main chain and multiple subchains. Moreover, we introduce the age of information as the data freshness metric and thus design an age-based contract model to motivate data sensing among IIoT nodes. Numerical results indicate the efficiency of the proposed framework and incentive mechanism in the industrial metaverses.</t>
  </si>
  <si>
    <t>978-1-6654-6104-7</t>
  </si>
  <si>
    <t>10.1109/Blockchain55522.2022.00020</t>
  </si>
  <si>
    <t>WOS:000865770500009</t>
  </si>
  <si>
    <t>Chen, YL; Huang, D; Liu, Z; Osmani, M; Demian, P</t>
  </si>
  <si>
    <t>Chen, Yali; Huang, Dan; Liu, Zhen; Osmani, Mohamed; Demian, Peter</t>
  </si>
  <si>
    <t>Construction 4.0, Industry 4.0, and Building Information Modeling (BIM) for Sustainable Building Development within the Smart City</t>
  </si>
  <si>
    <t>At present, the smart city offers the most desired state of urban development, encompassing, as it does, the concept of sustainable development. The creation of a smart city is closely associated with upgrading the construction industry to encompass many emerging concepts and technologies, such as Construction 4.0, with its roots in Industry 4.0, and the deployment of building information modeling (BIM) as an essential tool for the construction industry. Therefore, this paper aims to explore the current state of the art and development trajectory of the multidisciplinary integration of Construction 4.0, Industry 4.0, BIM, and sustainable construction in the context of the smart city. It is the first attempt in the literature to use both macro-quantitative analysis and micro-qualitative analysis methods to investigate this multidisciplinary research topic. By using the visual bibliometric tool, VOSviewer, and based on macro keyword co-occurrence, this paper is the first to reveal the five keyword-constructed schemes, research hotspots, and development trends of the smart city, Construction 4.0, Industry 4.0, BIM, and sustainable construction, from 2014 to 2021 (a period of eight years). Additionally, the top 11 productive subject areas have been identified with the help of VOSviewer software keyword-clustering analysis and application. Furthermore, the whole-building life cycle is considered as an aid to identifying research gaps and trends, providing suggestions for future research with the assistance of an upgraded version of BIM, namely, city information modeling (CIM) and the future integration of Industry 5.0 and Construction 5.0, or even of Industry Metaverse with Construction Metaverse.</t>
  </si>
  <si>
    <t>Demian, Peter/M-6456-2014</t>
  </si>
  <si>
    <t>Demian, Peter/0000-0001-8391-8690; Liu, Zhen/0000-0001-6548-4403</t>
  </si>
  <si>
    <t>10.3390/su141610028</t>
  </si>
  <si>
    <t>WOS:000845331000001</t>
  </si>
  <si>
    <t>Yang, J; Andersson, A; Sanders, S</t>
  </si>
  <si>
    <t>Yang, Jin; Andersson, Andreas; Sanders, Susan</t>
  </si>
  <si>
    <t>5G-NR Latency Field Performance for Immersive Live Video</t>
  </si>
  <si>
    <t>Low latency and high reliability are major superiority of 5G New Radio (5G-NR) on top of enhanced mobile broadband. 5G end-to-end network architecture supports flexible routing of traffic from remote radio and distributed units to various user traffic destinations. This combined with emerging Mobile Edge Computing (MEC) enables immersive live video experiences with much lower latency and higher reliability than that of enhanced mobile broadband services. Those enhancements are important for various vertical sectors, such as Vehicle-to-Everything (V2X), entertainment, healthcare, industrial IoT and metaverse. In this paper, 5G-NR latency performances are studied systematically for the first time in a commercial network under adverse radio fading environments. Both the latency and the latency variation increase with a higher video data rate and Block Error Rate. 5G-NR mobility and handover performance are evaluated for a ubiquitous consistent latency. End-to-end average latency of 4.5 to 15.5 ms are demonstrated in a wide area network. The impact of devices and Connected Mode Discontinuous Reception (cDRX) on latency are studied. The solution to tradeoff latency with battery life are proposed. Future work and various means to enhance immersive video experience are explored.</t>
  </si>
  <si>
    <t>10.1109/VTC2022-Spring54318.2022.9860479</t>
  </si>
  <si>
    <t>WOS:000861825800106</t>
  </si>
  <si>
    <t>Guidi, B; Michienzi, A</t>
  </si>
  <si>
    <t>Guidi, Barbara; Michienzi, Andrea</t>
  </si>
  <si>
    <t>Social games and Blockchain: exploring the Metaverse of Decentraland</t>
  </si>
  <si>
    <t>Online Social Networks gained a crucial role in people's everyday life, acting as the medium through which people can interact with each other. The introduction of blockchain technology prompted a new generation of social media based on the concept of Non-Fungible Token (NFT) and other Web3 technologies, giving birth to the Metaverse. Decentraland is one such platform, where users can explore a 3D virtual world and communicate with each other. The main feature of Decentraland is that the virtual world is divided into parcels, implemented through NM, that can be traded among users and where owners can create buildings or mini-games for other users to play with. In this work, we explore the virtual world of Decentraland by presenting the main details of the virtual world and by focusing on the economic impact of NFT trading on the description of the parcels. In detail, the parcel's description can be used to advertise the proximity of the parcel to infrastructures or special projects to attract potential buyers. This paper's findings show the impact and the magnitude of this phenomenon, highlighting entire quarters that adopt this technique throughout the map by overriding the playful aspect of the platform.</t>
  </si>
  <si>
    <t>10.1109/ICDCSW56584.2022.00045</t>
  </si>
  <si>
    <t>WOS:000895984800036</t>
  </si>
  <si>
    <t>Lee, S; Jeong, JB; Ryu, ES</t>
  </si>
  <si>
    <t>Lee, Soonbin; Jeong, Jong-Beom; Ryu, Eun-Seok</t>
  </si>
  <si>
    <t>Group-Based Adaptive Rendering System for 6DoF Immersive Video Streaming</t>
  </si>
  <si>
    <t>The Moving Picture Experts Group (MPEG) has started an immersive media standard project to enable multi-view video and depth representation in three-dimensional (3D) scenes. The MPEG Immersive Video (MIV) standard technology is intended to provide a limited 6 degrees of freedom (DoF) based on depth map-based image rendering (DIBR). The 6DoF immersive video system is still challenging because multiple high-quality video streams require high bandwidth and computing resources. This paper proposes a group-based adaptive rendering method for 6DoF immersive video streaming. With group-based MIV, each group can be transmitted independently, which enables adaptive transmission depending on the user's viewport. The proposed method derives weights from groups for view synthesis and allocates high-quality bitstreams according to a given viewport. This paper also discussed the results of the group-based approach in the MIV, and the advantages and drawbacks of this approach are detailed. In addition, pixel rate constraint analysis has been introduced to facilitate deployment with existing video codecs. On end-to-end evaluation metrics with TMIV anchor, the proposed method saves average 37.26% Bjontegaard-delta rate (BD-rate) on the peak signal-to-noise ratio (PSNR).</t>
  </si>
  <si>
    <t>Ryu, Eun-Seok/0000-0003-4894-6105; Lee, Soonbin/0000-0002-8951-0335; Jeong, Jong-Beom/0000-0002-7356-5753</t>
  </si>
  <si>
    <t>10.1109/ACCESS.2022.3208599</t>
  </si>
  <si>
    <t>WOS:000864159000001</t>
  </si>
  <si>
    <t>Goldstein, H</t>
  </si>
  <si>
    <t>Goldstein, Harry</t>
  </si>
  <si>
    <t>Looking Back to See Ahead: Technologies decades in the making finally get their star turn in 2023</t>
  </si>
  <si>
    <t>Magazines love to dabble in prognostication, particularly when it comes to emerging technology. Startups show such futuristic pronouncements to potential investors, who in turn use them as data points to inform their bets. And as readers, we gravitate toward them, if only so we can feel superior when, say, a highly anticipated product launch bombs's kiss to Mark Zuckerberg for the schadenfreude fest that is the metaverse.</t>
  </si>
  <si>
    <t>10.1109/MSPEC.2023.10006680</t>
  </si>
  <si>
    <t>WOS:000917273800001</t>
  </si>
  <si>
    <t>Xia, FZ; Mayborne, MP; Ma, Q; Youcef-Toumi, K</t>
  </si>
  <si>
    <t>Xia, Fangzhou; Mayborne, Morgan P.; Ma, Qiong; Youcef-Toumi, Kamal</t>
  </si>
  <si>
    <t>Physical Intelligence in the Metaverse: Mixed Reality Scale Models for Twistronics and Atomic Force Microscopy</t>
  </si>
  <si>
    <t>2022 IEEE/ASME INTERNATIONAL CONFERENCE ON ADVANCED INTELLIGENT MECHATRONICS (AIM)</t>
  </si>
  <si>
    <t>IEEE ASME International Conference on Advanced Intelligent Mechatronics</t>
  </si>
  <si>
    <t>IEEE/ASME International Conference on Advanced Intelligent Mechatronics (AIM)</t>
  </si>
  <si>
    <t>JUL 11-15, 2022</t>
  </si>
  <si>
    <t>Sapporo, JAPAN</t>
  </si>
  <si>
    <t>IEEE,ASME</t>
  </si>
  <si>
    <t>Physical intelligence (PI) is an emerging research field using new multi-functional smart materials in mechatronic designs. On the microscopic scale, PI principles give rise to unconventional transducers, which are especially useful for micro/nanorobot design with size and resource constrains. Since it is not easy to directly observe nanoscale multi-physics phenomenon, understanding their principles can be challenging. In this work, we bring PI principles into the metaverse to bridge this gap by developing two mixed reality scale models. The first example is a virtual reality (VR) 2D material twistronics visualizer to demonstrate the novel intelligent 2D materials with tunable properties as a rising field in condensed matter physics. Users can interactively control the cross-coupling multi-physics phenomena and observe the visualized material responses. The second example is centered around an Atomic Force Microscope (AFM) to illustrate its imaging and probe principles. For interaction, users can control the twist angle using atomic lattice models and feel the AFM cantilever force using custom haptic devices. We believe these tools can help precision mechatronic engineers understand and make better use of physical intelligence building blocks to design micro-electromechanical systems.</t>
  </si>
  <si>
    <t>2159-6255</t>
  </si>
  <si>
    <t>978-1-6654-1308-4</t>
  </si>
  <si>
    <t>10.1109/AIM52237.2022.9863383</t>
  </si>
  <si>
    <t>WOS:000860750800170</t>
  </si>
  <si>
    <t>Nagao, K</t>
  </si>
  <si>
    <t>Nagao, Katashi</t>
  </si>
  <si>
    <t>Virtual Reality Campuses as New Educational Metaverses</t>
  </si>
  <si>
    <t>IEICE TRANSACTIONS ON INFORMATION AND SYSTEMS</t>
  </si>
  <si>
    <t>This paper focuses on the potential value and future prospects of using virtual reality (VR) technology in online education. In detailing online education and the latest VR technology, we focus on meta -verse construction and artificial intelligence (AI) for educational VR use. In particular, we describe a virtual university campus in which on-demand VR lectures are conducted in virtual lecture halls, automated evaluations of student learning and training using machine learning, and the linking of multiple digital campuses.</t>
  </si>
  <si>
    <t>0916-8532</t>
  </si>
  <si>
    <t>1745-1361</t>
  </si>
  <si>
    <t>E106D</t>
  </si>
  <si>
    <t>10.1587/transinf.2022ETI0001</t>
  </si>
  <si>
    <t>WOS:000931333500002</t>
  </si>
  <si>
    <t>Lu, MJ; Mu, SY; Cheng, CS; Chen, JH</t>
  </si>
  <si>
    <t>Lu, Mei-Ju; Mu, Sin-Yuan; Cheng, Chia-Sheng; Chen, Jihan</t>
  </si>
  <si>
    <t>Advanced Packaging Technologies for Co-packaged Optics</t>
  </si>
  <si>
    <t>With regard to strong demands of Internet of things (IoT), 5th generation wireless 5G, metaverse, and so on, optical communication plays an important role in datacenter and high-performance computing (HPC) application. In this article, we discuss the packaging technologies in terms of assembly and test aimed to realize the co-packaged optics, and to fulfill the requests of high bandwidth and low power consumption when transferring high speed data.</t>
  </si>
  <si>
    <t>10.1109/ECTC51906.2022.00014</t>
  </si>
  <si>
    <t>WOS:000848765300007</t>
  </si>
  <si>
    <t>Zhao, JQ; Lu, Y; Zhou, FJ; Mao, RP; Fei, FQ</t>
  </si>
  <si>
    <t>Zhao, Junqiang; Lu, Yi; Zhou, Fujun; Mao, Ruping; Fei, Fangqin</t>
  </si>
  <si>
    <t>Systematic Bibliometric Analysis of Research Hotspots and Trends on the Application of Virtual Reality in Nursing</t>
  </si>
  <si>
    <t>Background: With the emergence of the metaverse, virtual reality, as a digital technology, must be getting hotter. High quality virtual reality related nursing knowledge scene learning is gradually replacing traditional education and intervention skills. Objective: This systematic study aimed to gain insights into the overall application of virtual reality technology in the study of nursing. Methods: Citations downloaded from the Web of Science Core Collection database for use in VR in nursing publications published from January 1, 2012, to December 31, 2021, were considered in the research. Information retrieval was analyzed using https:// bibliometric.com/app, CiteSpace.5.8. R3, and VOS viewer. Results: A total of 408 institutions from 95 areas contributed to relevant publications, of which the United States is the most influential country in this research field. The clustering labels of cited documents were obtained from the citing documents. Virtual simulation, virtual learning, clinical skills, and dementia are the clustering labels of co-cited documents. The burst keywords represented the research frontiers in 2020-2021, which were knowledge and simulation. Conclusion: Virtual nursing has had an impact on both nurses and clients. With the emergence of the concept of the metaverse, the research and application of virtual reality technology in nursing will gradually increase.</t>
  </si>
  <si>
    <t>Fei, Fangqin/0000-0002-0506-8958</t>
  </si>
  <si>
    <t>MAY 19</t>
  </si>
  <si>
    <t>10.3389/fpubh.2022.906715</t>
  </si>
  <si>
    <t>WOS:000806078600001</t>
  </si>
  <si>
    <t>Gent, E</t>
  </si>
  <si>
    <t>Gent, Edd</t>
  </si>
  <si>
    <t>Lessons From a Second Life &gt; Before Meta, Philip Rosedale Created an Online Universe</t>
  </si>
  <si>
    <t>When Mark Zuckerberg announced that Meta, nee Facebook, would focus on building a shared virtual reality inspired by the fictional metaverse, many were reminded of Linden Lab's Second Life. This came to global prominence in the 2000s as an online world that users could explore, trade, and create in through avatars. (The IEEE even had its own virtual meeting space inside.) But although a dedicated group still populates Second Life, it faded from the zeitgeist.</t>
  </si>
  <si>
    <t>10.1109/MSPEC.2022.9676346</t>
  </si>
  <si>
    <t>WOS:000742180200014</t>
  </si>
  <si>
    <t>Vondracek, M; Baggili, I; Casey, P; Mekni, M</t>
  </si>
  <si>
    <t>Vondracek, Martin; Baggili, Ibrahim; Casey, Peter; Mekni, Mehdi</t>
  </si>
  <si>
    <t>Rise of the Metaverse?s Immersive Virtual Reality Malware and the Man-in-the-Room Attack &amp; Defenses</t>
  </si>
  <si>
    <t>The allure of the metaverse along with Virtual Reality (VR) technologies and speed at which they are deployed may shift focus away from security and privacy fundamentals. In this work we employ classic exploitation techniques against cutting edge devices to obtain equally novel results. The unique features of the Virtual Reality landscape set the stage for our primary account of a new attack, the Man-in-the-Room (MitR). This attack, realized from a vulnerable social networking application led to both worming and botnet capabilities being adapted for VR with potential critical impacts affecting millions of users. Our work improves the state-of-the-art in Virtual Reality (VR) security and socio-technical research in VR. It shares several analytical and attacking tools, example exploits, evaluation dataset, and vulnerability signatures with the scientific and professional communities to ensure secure VR software development. The presented results demonstrate the detection and prevention of VR vulnerabilities, and raise questions in the law and policy domains pertaining to VR security and privacy. Published by Elsevier Ltd.</t>
  </si>
  <si>
    <t>Vondráček, Martin/ABD-7233-2020</t>
  </si>
  <si>
    <t>10.1016/j.cose.2022.102923</t>
  </si>
  <si>
    <t>WOS:000927557200001</t>
  </si>
  <si>
    <t>Suzuki, K; Mori, H; Toyama, F</t>
  </si>
  <si>
    <t>Suzuki, Ko; Mori, Hiroshi; Toyama, Fubito</t>
  </si>
  <si>
    <t>Motion Correction of Interactive CG Avatars Using Machine Learning</t>
  </si>
  <si>
    <t>Motion capture allows users to control their CG avatar via their own movements. However, the composed avatar motion fails to deliver the actual input movements if the user's motion information is not accurately captured due to measurement errors. In this paper, we propose a method that complements a user's motion according to the motion of another person for a two-party motion with interaction. This method is expected to compose avatar motions that look natural to the other person while emphasizing the actual motions of the user.</t>
  </si>
  <si>
    <t>10.1109/VRW55335.2022.00256</t>
  </si>
  <si>
    <t>WOS:000808111800247</t>
  </si>
  <si>
    <t>Billert, MS; Weinert, T; de Gafenco, MT; Janson, A; Klusmeyer, J; Leimeister, JM</t>
  </si>
  <si>
    <t>Billert, Matthias Simon; Weinert, Tim; de Gafenco, Marian Thiel; Janson, Andreas; Klusmeyer, Jens; Leimeister, Jan Marco</t>
  </si>
  <si>
    <t>Vocational Training With Microlearning-How Low-Immersive 360-Degree Learning Environments Support Work-Process-Integrated Learning</t>
  </si>
  <si>
    <t>In-company training is facing new challenges in preparing employees for the demands of digitalized and automated manufacturing. New training concepts like microlearning are necessary to support work-process-related learning. To handle the limitations of microlearning, we develop a 360-degree learning system to demonstrate a realistic work environment and overcome the lack of design knowledge supporting the motivation and performance of employees using such systems. Based on a systematic literature review and semistructured interviews, we have developed design requirements for interactive 360-degree learning environments. We used a workshop-based mixed-method approach with interviews, concept maps, and video analysis to evaluate the motivation and performance of precision mechanics within a prototypical work-process-oriented learning environment in an intercompany vocational training center. The results show a positive effect on learning outcomes and motivation. In addition, the ease of use and sense of presence while using the learning environment are rated as high. We contribute to theory by shedding new light on learners' motivation and performance within work-process-oriented interactive 360-degree learning environments. Furthermore, we offer guidelines for developing interactive 360-degree learning environments against the background of the current metaverse discussion.</t>
  </si>
  <si>
    <t>Thiel de Gafenco, Marian/HJA-3430-2022</t>
  </si>
  <si>
    <t>Thiel de Gafenco, Marian/0000-0001-5099-4814; Leimeister, Jan Marco/0000-0002-1990-2894; Janson, Andreas/0000-0003-3149-0340</t>
  </si>
  <si>
    <t>OCT 1</t>
  </si>
  <si>
    <t>10.1109/TLT.2022.3176777</t>
  </si>
  <si>
    <t>WOS:000873738300005</t>
  </si>
  <si>
    <t>Gilles, M; Chen, YH; Winter, TR; Zeng, EXZ; Wong, A</t>
  </si>
  <si>
    <t>Gilles, Maximilian; Chen, Yuhao; Winter, Tim Robin; Zeng, E. Zhixuan; Wong, Alexander</t>
  </si>
  <si>
    <t>MetaGraspNet: A Large-Scale Benchmark Dataset for Scene-Aware Ambidextrous Bin Picking via Physics-based Metaverse Synthesis</t>
  </si>
  <si>
    <t>2022 IEEE 18TH INTERNATIONAL CONFERENCE ON AUTOMATION SCIENCE AND ENGINEERING (CASE)</t>
  </si>
  <si>
    <t>IEEE International Conference on Automation Science and Engineering</t>
  </si>
  <si>
    <t>IEEE 18th International Conference on Automation Science and Engineering (IEEE CASE)</t>
  </si>
  <si>
    <t>AUG 20-24, 2022</t>
  </si>
  <si>
    <t>Mexico City, MEXICO</t>
  </si>
  <si>
    <t>Autonomous bin picking poses significant challenges to vision-driven robotic systems given the complexity of the problem, ranging from various sensor modalities, to highly entangled object layouts, to diverse item properties and gripper types. Existing methods often address the problem from one perspective. Diverse items and complex bin scenes require diverse picking strategies together with advanced reasoning. As such, to build robust and effective machine-learning algorithms for solving this complex task requires significant amounts of comprehensive and high quality data. Collecting such data in real world would be too expensive and time prohibitive and therefore intractable from a scalability perspective. To tackle this big, diverse data problem, we take inspiration from the recent rise in the concept of metaverses, and introduce MetaGraspNet, a large-scale photo-realistic bin picking dataset constructed via physics-based metaverse synthesis. The proposed dataset contains 217k RGBD images across 82 different article types, with full annotations for object detection, amodal perception, keypoint detection, manipulation order and ambidextrous grasp labels for a parallel-jaw and vacuum gripper. We also provide a real dataset consisting of over 2.3k fully annotated high-quality RGBD images, divided into 5 levels of difficulties and an unseen object set to evaluate different object and layout properties. Finally, we conduct extensive experiments showing that our proposed vacuum seal model and synthetic dataset achieves state-of-the-art performance and generalizes to real world use-cases.</t>
  </si>
  <si>
    <t>Gilles, Maximilian/0000-0002-0528-5709</t>
  </si>
  <si>
    <t>2161-8070</t>
  </si>
  <si>
    <t>978-1-6654-9042-9</t>
  </si>
  <si>
    <t>10.1109/CASE49997.2022.9926427</t>
  </si>
  <si>
    <t>WOS:000927622400025</t>
  </si>
  <si>
    <t>Wang, H</t>
  </si>
  <si>
    <t>Wang, Huan</t>
  </si>
  <si>
    <t>Construction and Application of a New Metal Random Matrix-Based Theory in a Numerical Phantom of the Metaverse NFT</t>
  </si>
  <si>
    <t>MATHEMATICAL PROBLEMS IN ENGINEERING</t>
  </si>
  <si>
    <t>As the metaverse is hot, nonhomogenized tokens (NFT) as digital artwork identifiers present different characteristics and application values from other homogenized tokens, and their use for copyright verification will suffer from the problems of storage space limitation and data verification reliance on database, this study designs an NFT digital copyright authentication model for textual works. To cater for the uncontrollability of conventional Hash algorithms in stream matching due to the high conflict rate, a new random matrix theory is applied to propose a new Hash algorithm, which is used on the block structure of NFT credential authentication, while extending the block structure so that the data within the work is completely stored in the blockchain with NFT as the credential, allowing the database to store the work data in a relatively safe manner. The verification of the work data has the immutability and unique cryptographic solution of NFT. The NFT-based digital model collects TR information and conducts 30 tests, and the average test time for generating blocks is 0.53 s. Through the block query for detection, 248,655 words have exceeded the number of words of an article, and the consumption time is only 0.23s, to meet the customer's real-time query requirements for the system. According to the overhead ratio, the record storage expenditure is about 2-3 times of the text storage expenditure, the work storage expenditure, and the storage expenditure for storing 240,000 words for authentication is about 3720 KB.</t>
  </si>
  <si>
    <t>1024-123X</t>
  </si>
  <si>
    <t>1563-5147</t>
  </si>
  <si>
    <t>10.1155/2022/3429528</t>
  </si>
  <si>
    <t>WOS:000872905600012</t>
  </si>
  <si>
    <t>Yamada, K; Mori, H; Toyama, F</t>
  </si>
  <si>
    <t>Yamada, Koji; Mori, Hiroshi; Toyama, Fubito</t>
  </si>
  <si>
    <t>Towards Controlling Whole Body Avatars with Partial Body-Tracking and Environmental Information</t>
  </si>
  <si>
    <t>In body-tracking-based avatar manipulation, the user's motion is reflected in their avatar, which creates a high level of immersion. Conversely, the user is required to give a detailed performance similar to that of the avatar to be composed. In this research, we aim to produce avatar motion that reflects the user's intended actions and maintains consistency with the VR environment by inputting the user's posture. The avatar's body motion was generated by inputting the user's motion and VR environmental information into the motion configuration network, which was developed using machine learning.</t>
  </si>
  <si>
    <t>10.1109/VRW55335.2022.00260</t>
  </si>
  <si>
    <t>WOS:000808111800251</t>
  </si>
  <si>
    <t>Li, Z; Huang, YM; Yau, YP; Hui, P; Lee, LH</t>
  </si>
  <si>
    <t>Li, Zheng; Huang, Yiming; Yau, Yui-Pan; Hui, Pan; Lee, Lik-Hang</t>
  </si>
  <si>
    <t>Towards Reproducible Evaluations for Flying Drone Controllers in Virtual Environments</t>
  </si>
  <si>
    <t>2022 IEEE/RSJ INTERNATIONAL CONFERENCE ON INTELLIGENT ROBOTS AND SYSTEMS (IROS)</t>
  </si>
  <si>
    <t>IEEE International Conference on Intelligent Robots and Systems</t>
  </si>
  <si>
    <t>IEEE/RSJ International Conference on Intelligent Robots and Systems (IROS)</t>
  </si>
  <si>
    <t>OCT 23-27, 2022</t>
  </si>
  <si>
    <t>Kyoto, JAPAN</t>
  </si>
  <si>
    <t>IEEE,Royal Soc Japan,IEEE Robot &amp; Automat Soc,IES,SICE,New Technol Fdn</t>
  </si>
  <si>
    <t>Research attention on natural user interfaces (NUIs) for drone flights are rising. Nevertheless, NUIs are highly diversified, and primarily evaluated by different physical environments leading to hard-to-compare performance between such solutions. We propose a virtual environment, namely VRFlightSim, enabling comparative evaluations with enriched drone flight details to address this issue. We first replicated a state-of-the-art (SOTA) interface and designed two tasks (crossing and pointing) in our virtual environment. Then, two user studies with 13 participants demonstrate the necessity of VRFlightSim and further highlight the potential of open-data interface designs.</t>
  </si>
  <si>
    <t>2153-0858</t>
  </si>
  <si>
    <t>978-1-6654-7927-1</t>
  </si>
  <si>
    <t>10.1109/IROS47612.2022.9981123</t>
  </si>
  <si>
    <t>WOS:000908368203090</t>
  </si>
  <si>
    <t>Liu, YC; Tsang, KF; Wu, CK; Wei, Y; Wang, H; Zhu, HX</t>
  </si>
  <si>
    <t>Liu, Yucheng; Tsang, Kim-Fung; Wu, Chung Kit; Wei, Yang; Wang, Hao; Zhu, Hongxu</t>
  </si>
  <si>
    <t>IEEE P2668-Compliant Multi-Layer IoT-DDoS Defense System Using Deep Reinforcement Learning</t>
  </si>
  <si>
    <t>IEEE TRANSACTIONS ON CONSUMER ELECTRONICS</t>
  </si>
  <si>
    <t>The Internet of Things (IoT) has been attracting people to its capability to deal with smart applications. However, with the development of IoT, there are more attacks to threaten IoT systems. Especially, the distributed denial of service (DDoS) attack can lead to mighty destruction to IoT servers, causing the whole IoT network to be out-of-service. Hitherto, given the lack of a common standard for defining the IoT-driven DDoS (IoT-DDoS) attack, the DDoS defense system for IoT is developed without accurate guidance. Additionally, defense against multi-layer IoT-DDoS attacks is rarely covered by previous works. To address these issues, a deep reinforcement learning-based multi-layer IoT-DDoS defense system (DRL-MLDS) is proposed with the reward metrics in compliance with IEEE P2668 - the first of its kind. In addition, to provide a resilient blocking time configuration for false-positive samples, a new power-law-based blocking time mechanism is developed to cooperate with the DRL-MLDS. The outcome reveals that the DRL-MLDS can reach the same accuracy level (i.e., more than 96%) as previous works under single protocol-based IoT DDoS attack, as well as providing around 97% defense accuracy on multi-layer IoT-DDoS attack, which was rarely discussed in previous works. Additionally, by applying the IEEE P2668-compliant reward metrics, the applicability index (ADex) of DRL-MLDS can be improved from 3.2 to 4.4, fulfilling the recommendation of ADex (e.g., &gt; 3.5) toward IoT best practices. The DRL-MLDS can be extended to Metaverse design and applications.</t>
  </si>
  <si>
    <t>Hongxu, ZHU/ABD-2629-2021</t>
  </si>
  <si>
    <t>Hongxu, ZHU/0000-0001-6257-7065; LIU, Yucheng/0000-0001-8135-4510; WANG, Hao/0000-0001-9499-8446; WEI, Yang/0000-0003-3393-6211</t>
  </si>
  <si>
    <t>0098-3063</t>
  </si>
  <si>
    <t>1558-4127</t>
  </si>
  <si>
    <t>10.1109/TCE.2022.3213872</t>
  </si>
  <si>
    <t>WOS:000923895500006</t>
  </si>
  <si>
    <t>Huang, YK; Zhu, YW; Qiao, XQ; Su, X; Dustdar, S; Zhang, P</t>
  </si>
  <si>
    <t>Huang, Yakun; Zhu, Yuanwei; Qiao, Xiuquan; Su, Xiang; Dustdar, Schahram; Zhang, Ping</t>
  </si>
  <si>
    <t>Toward Holographic Video Communications: A Promising AI-Driven Solution</t>
  </si>
  <si>
    <t>IEEE COMMUNICATIONS MAGAZINE</t>
  </si>
  <si>
    <t>Real-time holographic video communications enable immersive experiences for next-generation video services in the future metaverse era. However, high-fidelity holographic videos require high bandwidth and significant computation resources, which exceed the transferring and computing capacity of 5G networks. This article reviews state-of-the-art holographic point cloud video transmission techniques and highlights the critical challenges of delivering such immersive services. We further implement a preliminary prototype of an AI-driven holographic video communication system and present critical experimental results to evaluate its performance. Finally, we identify future research directions and discuss potential solutions for providing real-time and high-quality holographic experiences.</t>
  </si>
  <si>
    <t>0163-6804</t>
  </si>
  <si>
    <t>1558-1896</t>
  </si>
  <si>
    <t>10.1109/MCOM.001.220021</t>
  </si>
  <si>
    <t>WOS:000881980700014</t>
  </si>
  <si>
    <t>Kwok, CP; Tang, YM</t>
  </si>
  <si>
    <t>Kwok, Ching Ping; Tang, Yuk Ming</t>
  </si>
  <si>
    <t>A fuzzy MCDM approach to support customer-centric innovation in virtual reality (VR) metaverse headset design</t>
  </si>
  <si>
    <t>ADVANCED ENGINEERING INFORMATICS</t>
  </si>
  <si>
    <t>Nowadays, customer-centric innovation is important in affective design, leading to the design and development of a product that fits the needs of a group of target customers for sales and marketing. Though there is much research on customer-centric innovation and affective product design, designing a novel and innovative product that appeals to customers remains difficult. This is not only due to the difficulty of knowing a customer's preference, enabling the product functionality, etc., but it is also very complex to optimize both the technical and aesthetical design factors and parameters for a group of customers. The technical design specification is one of the critical aspects in designing innovative technological products. In fact, a similar group of target customers usually has hidden preferences that provide us with clues for identifying the design of a product. To this end, we propose a sophisticated optimization technique using the Hybrid Fuzzy-based Analytical Hierarchy Process and the Integral-based Taguchi Method called the Fuzzy multi-criteria decision-making (MCDM) approach to determine the essential factors and design parameters in order to understand the preferences of customers and the technical requirements of engineers for designing the enclosure of a product. We demonstrate our meth-odology using the virtual reality (VR) Headset, which can be used for visualizing the metaverse in the virtual environment. The fuzzy MCDM approach suggested combines technical and aesthetical features to enhance the robustness of product design.</t>
  </si>
  <si>
    <t>Tang, YM/AAF-2055-2020</t>
  </si>
  <si>
    <t>Tang, YM/0000-0001-8215-4190</t>
  </si>
  <si>
    <t>1474-0346</t>
  </si>
  <si>
    <t>1873-5320</t>
  </si>
  <si>
    <t>10.1016/j.aei.2023.101910</t>
  </si>
  <si>
    <t>WOS:000950755300001</t>
  </si>
  <si>
    <t>Zhang, MJ; Cao, JN; Sahni, Y; Chen, QY; Jiang, S; Wu, T</t>
  </si>
  <si>
    <t>Zhang, Mingjin; Cao, Jiannong; Sahni, Yuvraj; Chen, Qianyi; Jiang, Shan; Wu, Tao</t>
  </si>
  <si>
    <t>EaaS: A Service-Oriented Edge Computing Framework Towards Distributed Intelligence</t>
  </si>
  <si>
    <t>2022 16TH IEEE INTERNATIONAL CONFERENCE ON SERVICE-ORIENTED SYSTEM ENGINEERING (SOSE 2022)</t>
  </si>
  <si>
    <t>IEEE International Symposium on Service-Oriented System Engineering</t>
  </si>
  <si>
    <t>16th IEEE International Conference on Service-Oriented System Engineering (SOSE)</t>
  </si>
  <si>
    <t>AUG 15-18, 2022</t>
  </si>
  <si>
    <t>San Francisco, CA</t>
  </si>
  <si>
    <t>Edge computing has become a popular paradigm where services and applications are deployed at the network edge closer to the data sources. It provides applications with outstanding benefits, including reduced response latency and enhanced privacy protection. For emerging advanced applications, such as autonomous vehicles, industrial IoT, and metaverse, further research is needed. This is because such applications demand ultra-low latency, hyper-connectivity, and dynamic and reliable service provision, while existing approaches are inadequate to address the new challenges. Hence, we envision that the future edge computing is moving towards distributed intelligence, where heterogeneous edge nodes collaborate to provide services in large-scale and geo-distributed edge infrastructure. We thereby propose Edge-as-a-Service (EaaS) to enable distributed intelligence. EaaS jointly manages large-scale cross-node edge resources and facilitates edge autonomy, edge-to-edge collaboration, and resource elasticity. These features enable flexible deployment of services and ubiquitous computation and intelligence. We first give an overview of existing edge computing studies and discuss their limitations to articulate the motivation for proposing EaaS. Then, we describe the details of EaaS, including the physical architecture, proposed software framework, and benefits of EaaS. Various application scenarios, such as real-time video surveillance, smart building, and metaverse, are presented to illustrate the significance and potential of EaaS. Finally, we discuss several challenging issues of EaaS to inspire more research towards this new edge computing framework.</t>
  </si>
  <si>
    <t>2642-6587</t>
  </si>
  <si>
    <t>2640-8228</t>
  </si>
  <si>
    <t>978-1-6654-7534-1</t>
  </si>
  <si>
    <t>10.1109/SOSE55356.2022.00026</t>
  </si>
  <si>
    <t>WOS:000942754700020</t>
  </si>
  <si>
    <t>Ebadpour, M; Jamshidi, M; Talla, J; Hashemi-Dezaki, H; Peroutka, Z</t>
  </si>
  <si>
    <t>Ebadpour, Mohsen; Jamshidi, Mohammad (Behdad); Talla, Jakub; Hashemi-Dezaki, Hamed; Peroutka, Zdenek</t>
  </si>
  <si>
    <t>Digital Twin Model of Electric Drives Empowered by EKF</t>
  </si>
  <si>
    <t>Digital twins, a product of new-generation information technology development, allows the physical world to be transformed into a virtual digital space and provide technical support for creating a Metaverse. A key factor in the success of Industry 4.0, the fourth industrial revolution, is the integration of cyber-physical systems into machinery to enable connectivity. The digital twin is a promising solution for addressing the challenges of digitally implementing models and smart manufacturing, as it has been successfully applied for many different infrastructures. Using a digital twin for future electric drive applications can help analyze the interaction and effects between the fast-switching inverter and the electric machine, as well as the system's overall behavior. In this respect, this paper proposes using an Extended Kalman Filter (EKF) digital twin model to accurately estimate the states of a speed sensorless rotor field-oriented controlled induction motor (IM) drive. The accuracy of the state estimation using the EKF depends heavily on the input voltages, which are typically supplied by the inverter. In contrast to previous research that used a low-precision ideal inverter model, this study employs a high-performance EKF observer based on a practical model of the inverter that takes into account the dead-time effects and voltage drops of switching devices. To demonstrate the effectiveness of the EKF digital twinning on the IM drive system, simulations were run using the MATLAB/Simulink software (R2022a), and results are compared with a set of actual data coming from a 4 kW three-phase IM as a physical entity.</t>
  </si>
  <si>
    <t>Ebadpour, Mohsen/AAN-4842-2021; Talla, Jakub/ADN-8130-2022</t>
  </si>
  <si>
    <t>Ebadpour, Mohsen/0000-0001-9810-821X; Talla, Jakub/0000-0001-7828-8225; Jamshidi, Mohammad (Behdad)/0000-0002-5312-6497; Hashemi-Dezaki, Hamed/0000-0003-2056-2388</t>
  </si>
  <si>
    <t>10.3390/s23042006</t>
  </si>
  <si>
    <t>WOS:000940089100001</t>
  </si>
  <si>
    <t>Dasdemir, Y</t>
  </si>
  <si>
    <t>Dasdemir, Yasar</t>
  </si>
  <si>
    <t>Cognitive investigation on the effect of augmented reality-based reading on emotion classification performance: A new dataset</t>
  </si>
  <si>
    <t>BIOMEDICAL SIGNAL PROCESSING AND CONTROL</t>
  </si>
  <si>
    <t>As a result of stimulating the basic human senses, emotional states occur in humans. Of these senses, the visual sense is the most basic human sense. This sense perceives visual stimuli and elicits emotional states. Augmented Reality (AR) applications also work with these visual stimuli. This study investigates how AR systems, which are among immersive environments, are effective in distinguishing the emotional states of students in book reading activities, with the support of Electroencephalography (EEG). The BOOKAR dataset obtained within the scope of this study is among the first AR-supported datasets in emotion recognition using physiological signals with immersive methods. To reveal the emotional states of the readers, texts that stimulate emotional states such as disgusting, happy, neutral, and 2-dimensional pictures are presented within these texts. In the AR-based reading section, the 3-dimensional models of these 2-dimensional pictures and the rig-processed conditions of these models are presented as a stimulus to the reader. The results show that AR-based reading has a significant discriminatory effect, especially on the valence-arousal emotional states of readers, and achieves higher classification performance than real reading. The results also show that the proposed method is good at classifying emotional states from EEG signals with accuracy scores close to 100%. It has been observed that the designed AR application also meets the usability characteristics. The proposed emotion recognition method in AR applications has significant potential for integration into various Metaverse-based applications.</t>
  </si>
  <si>
    <t>DAŞDEMİR, Yaşar/GYJ-1028-2022</t>
  </si>
  <si>
    <t>DAŞDEMİR, Yaşar/0000-0002-9141-0229</t>
  </si>
  <si>
    <t>1746-8094</t>
  </si>
  <si>
    <t>1746-8108</t>
  </si>
  <si>
    <t>10.1016/j.bspc.2022.103942</t>
  </si>
  <si>
    <t>WOS:000827245800004</t>
  </si>
  <si>
    <t>de Lima, AR; Carvalho, DCM; da Rocha, TDV</t>
  </si>
  <si>
    <t>de Lima, Alessandro Rego; Carvalho, Diana Carneiro Machado; da Rocha, Tania de Jesus Vilela</t>
  </si>
  <si>
    <t>HyperCube4x: A viewport management system proposal</t>
  </si>
  <si>
    <t>INFORMATION VISUALIZATION</t>
  </si>
  <si>
    <t>This article presents a novel management and information visualization system proposal based on the tesseract, the 4D-hypercube. The concept comprises metaphors that mimic the tesseract geometrical properties using interaction and information visualization techniques, made possible by modern computer systems and human capabilities such as spatial cognition. The discussion compares the Hypercube and the traditional desktop metaphor systems. An operational prototype is also available for reader testing. Finally, a preliminary assessment with 31 participants revealed that 81.05% agree or totally agree that the proposed concepts offer real gains compared to the desktop metaphor.</t>
  </si>
  <si>
    <t>1473-8716</t>
  </si>
  <si>
    <t>1473-8724</t>
  </si>
  <si>
    <t>10.1177/14738716221137908</t>
  </si>
  <si>
    <t>WOS:000943739600001</t>
  </si>
  <si>
    <t>Wang, ZH</t>
  </si>
  <si>
    <t>Wang, Zhehui</t>
  </si>
  <si>
    <t>Radiographic imaging and tomography Introduction</t>
  </si>
  <si>
    <t>APPLIED OPTICS</t>
  </si>
  <si>
    <t>Radiographic imaging and tomography (RadIT) come in many types such as x-ray imaging and tomography (IT), proton IT, neutron IT, muon IT, and more. We identify five RadIT themes: physics, sources, detectors, methods, and data science, which are integral parts of image interpretation and 3D tomographic reconstruction. Traditionally, RadIT has been driven by medicine, non-destructive testing, material sciences, and security applications. The latest thrusts of growth come from automation, machine vision, additive manufacturing, and virtual reality (the metaverse). The fiveRadIT themes parallel their counterparts in optical IT. Synergies among different forms of RadIT and with optical IT motivate further advances towards multi-modal IT and quantum IT. (C) 2022 Optica Publishing Group</t>
  </si>
  <si>
    <t>1559-128X</t>
  </si>
  <si>
    <t>2155-3165</t>
  </si>
  <si>
    <t>FEB 20</t>
  </si>
  <si>
    <t>RES1</t>
  </si>
  <si>
    <t>RES4</t>
  </si>
  <si>
    <t>10.1364/AO.455628</t>
  </si>
  <si>
    <t>WOS:000758796400001</t>
  </si>
  <si>
    <t>Pregowska, A; Osial, M; Dolega-Dolegowski, D; Kolecki, R; Proniewska, K</t>
  </si>
  <si>
    <t>Pregowska, Agnieszka; Osial, Magdalena; Dolega-Dolegowski, Damian; Kolecki, Radek; Proniewska, Klaudia</t>
  </si>
  <si>
    <t>Information and Communication Technologies Combined with Mixed Reality as Supporting Tools in Medical Education</t>
  </si>
  <si>
    <t>The dynamic COVID-19 pandemic has destabilized education and forced academic centers to explore non-traditional teaching modalities. A key challenge this creates is in reconciling the fact that hands-on time in lab settings has been shown to increase student understanding and peak their interests. Traditional visualization methods are already limited and topics such as 3D molecular structures remain difficult to understand. This is where advances in Information and Communication Technologies (ICT), including remote meetings, Virtual Reality (VR), Augmented Reality (AR), Mixed Reality (MR), and Extended Reality (XR, so-called Metaverse) offer vast potential to revolutionize the education landscape. Specifically, how MR merges real and virtual life in a uniquely promising way and offers opportunities for entirely new educational applications. In this paper, we briefly overview and report our initial experience using MR to teach medical and pharmacy students. We also explore the future usefulness of MR in pharmacy education. MR mimics real-world experiences both in distance education and traditional laboratory classes. We also propose ICT-based systems designed to run on the Microsoft HoloLens2 MR goggles and can be successfully applied in medical and pharmacy coursework. The models were developed and implemented in Autodesk Maya and exported to Unity. Our findings demonstrate that MR-based solutions can be an excellent alternative to traditional classes, notably in medicine, anatomy, organic chemistry, and biochemistry (especially 3D molecular structures), in both remote and traditional in-person teaching modalities. MR therefore has the potential to become an integral part of medical education in both remote learning and in-person study.</t>
  </si>
  <si>
    <t>wang, wjd/GSD-2051-2022; Proniewska, Klaudia/AAV-5496-2021</t>
  </si>
  <si>
    <t>Osial, Magdalena/0000-0003-3076-3415; Pregowska, Agnieszka/0000-0001-9163-9931; Proniewska, Klaudia/0000-0002-8160-007X</t>
  </si>
  <si>
    <t>10.3390/electronics11223778</t>
  </si>
  <si>
    <t>WOS:000887154000001</t>
  </si>
  <si>
    <t>Li, T; Xu, K; Huang, HL; Du, XL; Zheng, K</t>
  </si>
  <si>
    <t>Chen, LL; Melodia, T; Tsiropoulou, EE; Chiasserini, CF; Bruno, R; Bhattacharjee, S; Frangoudis, P; Nadendla, VSS</t>
  </si>
  <si>
    <t>Li, Tong; Xu, Ke; Huang, Hanlin; Du, Xinle; Zheng, Kai</t>
  </si>
  <si>
    <t>WIP: When RDMA Meets Wireless</t>
  </si>
  <si>
    <t>2022 IEEE 23RD INTERNATIONAL SYMPOSIUM ON A WORLD OF WIRELESS, MOBILE AND MULTIMEDIA NETWORKS (WOWMOM 2022)</t>
  </si>
  <si>
    <t>IEEE International Symposium on a World of Wireless, Mobile and Multimedia Networks</t>
  </si>
  <si>
    <t>23rd IEEE International Symposium on a World of Wireless, Mobile and Multimedia Networks (IEEE WoWMoM)</t>
  </si>
  <si>
    <t>JUN 14-17, 2022</t>
  </si>
  <si>
    <t>Ulster Univ, Belfast, ENGLAND</t>
  </si>
  <si>
    <t>IEEE,IEEE Comp Soc,Missouri Univ Sci &amp; Technol,Liberty Informat Technol,Visit Belfast</t>
  </si>
  <si>
    <t>Ulster Univ</t>
  </si>
  <si>
    <t>The emerging applications including AR/VR interactive gaming, ultra-high-definition live streaming, 4K wireless projection, Metaverse, etc. imply the demand for ultra-low latency and ultra-high bandwidth wireless transmission. The legacy kernel TCP stack is not fully satisfactory because it induces the CPU bottleneck on hosts. In this paper, we propose Wireless-RDMA (W-RDMA) that enables RDMA in wireless networks to tackle the CPU bottleneck issue on wireless hosts. The feasibility of W-RDMA is demonstrated through testbed experiments. Technical challenges and future opportunities are further discussed. We believe it is a small but crucial step for enabling RDMA for wireless transmission.</t>
  </si>
  <si>
    <t>Li, Tong/AAE-6858-2021</t>
  </si>
  <si>
    <t>Li, Tong/0000-0002-6805-9565</t>
  </si>
  <si>
    <t>978-1-6654-0876-9</t>
  </si>
  <si>
    <t>10.1109/WoWMoM54355.2022.00052</t>
  </si>
  <si>
    <t>WOS:000855666300022</t>
  </si>
  <si>
    <t>Shen, TY; Huang, SS; Li, DQ; Lu, ZY; Wang, FY; Huang, H</t>
  </si>
  <si>
    <t>Shen, Tianyu; Huang, Shi-Sheng; Li, Deqi; Lu, Zhiyuan; Wang, Fei-Yue; Huang, Hua</t>
  </si>
  <si>
    <t>VirtualClassroom: A Lecturer-Centered Consumer-Grade Immersive Teaching System in Cyber-Physical-Social Space</t>
  </si>
  <si>
    <t>Lecturers, as the guidance of the classroom, play a significant role in the teaching process. However, the lecturers' sense of space immersion has been ignored in current virtual teaching systems. In this article, we explore the cyber-physical-social intelligence for Edu-Metaverse in cyber-physical-social space and specially design a lecturer-centered immersive teaching system, taking the social and lecturers' factors into consideration. We call this system VirtualClassroom (V-Classroom). Specifically, we first introduce the cyber-physical-social system (CPSS) paradigm of V-Classroom so that the workflow is standardized and significantly simplified, and the systems can be constructed with off-the-shelf hardware. The key component of V-Classroom is a cyber-world representation of a physical-world classroom instrumented with sparse consumer-grade RGBD cameras for capturing the 3-D geometry and texture of the classrooms. We provide each V-Classroom lecturer with a physical device for sending 6DoF view-change messages and showing view-dependent content of the remote classroom. Following the above paradigm, we develop the V-Classroom algorithms, including V-Classroom depth algorithm (V-DA) and V-Classroom view algorithm (V-VA), to achieve the real-time rendering of remote classrooms. V-DA is dedicated to recovering accurate depth information of the classrooms while V-VA is devoted to real-time novel view synthesis. Finally, we illustrate our implemented CPSS-driven V-Classroom prototype, based on real-world classroom scenarios we collected, and discuss the main challenges and future direction.</t>
  </si>
  <si>
    <t>Lu, Zhiyuan/0000-0002-2859-5857</t>
  </si>
  <si>
    <t>10.1109/TSMC.2022.3228270</t>
  </si>
  <si>
    <t>WOS:000903378100001</t>
  </si>
  <si>
    <t>Li, B; Cao, DP; Tang, SQ; Zhang, TT; Dong, HR; Wang, YA; Wang, FY</t>
  </si>
  <si>
    <t>Li, Bai; Cao, Dongpu; Tang, Shiqi; Zhang, Tantan; Dong, Hairong; Wang, Yaonan; Wang, Fei-Yue</t>
  </si>
  <si>
    <t>Sharing Traffic Priorities via Cyber-Physical-Social Intelligence: A Lane-Free Autonomous Intersection Management Method in Metaverse</t>
  </si>
  <si>
    <t>Replacing traffic signals with roadside vehicle-to-infrastructure systems in the era of connected and autonomous vehicles (CAVs) is promising. Managing CAVs in a signal-free intersection, known as autonomous intersection management (AIM), controls the driving behavior of each intersection-traverse CAV to maximize the throughput. Although AIM improves the gross throughput, the fairness of each individual vehicle in its right of way is not seriously considered. This study sets up an AIM system in the cyber-physical-social space to trade traverse priorities quantitatively and fairly. To that end, one needs an AIM method that is optimal and stable, otherwise no convincing trades of traverse priorities could be made. This study proposes a near-optimal lane-free AIM method based on numerical optimal control, wherein log-exp functions are deployed to convexify nondifferentiable collision-avoidance constraints. Besides that, a parameterized social force model (SFM) is proposed to provide a tunable initial guess for numerical optimal control. By tuning the urgency weights in SFM, one may get cooperative trajectories in different homotopy classes, which are further utilized to decide the amount of virtual currency to reward those CAVs who tend to share their traverse priorities. The overall method improves the traverse throughput with individual fairness respected. In experiencing this system, passengers learn how to behave with politeness when they drive manually. Experiments show the efficiency and robustness of the AIM method and also show the efficacy of the overall priority-sharing system.</t>
  </si>
  <si>
    <t>Li, Bai/P-1446-2014</t>
  </si>
  <si>
    <t>Li, Bai/0000-0002-8966-8992</t>
  </si>
  <si>
    <t>10.1109/TSMC.2022.3225250</t>
  </si>
  <si>
    <t>WOS:000899976200001</t>
  </si>
  <si>
    <t>Zhou, X; Fang, NY; Gu, ZW</t>
  </si>
  <si>
    <t>Salvendy, G; Wei, J</t>
  </si>
  <si>
    <t>Zhou, Xin; Fang, Nuoya; Gu, Zhongwei</t>
  </si>
  <si>
    <t>Scene Design of Virtual Singing Bar Oriented to Metauniverse</t>
  </si>
  <si>
    <t>DESIGN, OPERATION AND EVALUATION OF MOBILE COMMUNICATIONS, MOBILE 2022</t>
  </si>
  <si>
    <t>3rd International Conference on Design, Operation and Evaluation of Mobile Communications (MOBILE) Held as Part of 24th International Conference on Human-Computer Interaction (HCII)</t>
  </si>
  <si>
    <t>Karaoke is an important part of human music and entertainment nowadays. Facing the continuous development of Internet technology, the traditional offline KTV industry has been devastated by the impact of the global new crown epidemic, and the malpractice of online K-song platform development model is becoming more and more severe. In this paper, the advantages and disadvantages of online and offline karaoke service are studied, and the virtual reality technology is combined to develop the virtual karaoke bar system design based on the metauniverse. The scene design and function mapping of the system are given. In the following research, the system will be further studied, extended and applied.</t>
  </si>
  <si>
    <t>gu, zhongwei/HPC-3816-2023</t>
  </si>
  <si>
    <t>978-3-031-05014-5; 978-3-031-05013-8</t>
  </si>
  <si>
    <t>10.1007/978-3-031-05014-5_9</t>
  </si>
  <si>
    <t>WOS:000873574900009</t>
  </si>
  <si>
    <t>Chen, CP; Cui, YP; Chen, Y; Meng, S; Sun, Y; Mao, CJ; Chu, Q</t>
  </si>
  <si>
    <t>Chen, Chao Ping; Cui, Yuepeng; Chen, Ye; Meng, Shan; Sun, Yang; Mao, Chaojie; Chu, Qiang</t>
  </si>
  <si>
    <t>Near-eye display with a triple-channel waveguide for metaverse</t>
  </si>
  <si>
    <t>We present a near-eye display featuring a triple-channel waveguide with chiral liquid crystal gratings. Our triple-channel waveguide is capable of dividing one field of view into three through both the polarization orthogonality and angular separation. To illustrate its principle, a k-space diagram, which takes into account the aspect ratio of field of view, is depicted. Our results demonstrate that its diagonal field of view reaches 90 degrees, eye relief is 10 mm, exit pupil is 4.9 x 4.9 mm(2), transmittance is 4.9%, and uniformity is 89%. (C) 2022 Optica Publishing Group under the terms of the Optica Open Access Publishing Agreement</t>
  </si>
  <si>
    <t>AUG 15</t>
  </si>
  <si>
    <t>10.1364/OE.470299</t>
  </si>
  <si>
    <t>WOS:000842044600113</t>
  </si>
  <si>
    <t>Loveys, K; Sagar, M; Billinghurst, M; Saffaryazdi, N; Broadbent, E</t>
  </si>
  <si>
    <t>Loveys, Kate; Sagar, Mark; Billinghurst, Mark; Saffaryazdi, Nastaran; Broadbent, Elizabeth</t>
  </si>
  <si>
    <t>Exploring Empathy with Digital Humans</t>
  </si>
  <si>
    <t>Digital humans are autonomously-animated virtual people whose social interactions are driven by artificial intelligence. They are increasingly being deployed in applications such as healthcare, customer service, and education, and they may have a place in the metaverse. For digital humans to have effective social relationships with users, it is important that they are capable of empathetic interactions. This research aims to evaluate and build upon the autonomous empathy system of a digital human through five experimental studies. Psychological and physiological data will be collected, and the effects will be compared in an Augmented Reality environment and cross-culturally. This paper presents the research agenda, and discusses considerations and challenges for empathetic interactions with digital humans.</t>
  </si>
  <si>
    <t>Saffaryazdi, Nastaran/0000-0002-6082-9772</t>
  </si>
  <si>
    <t>10.1109/VRW55335.2022.00055</t>
  </si>
  <si>
    <t>WOS:000808111800046</t>
  </si>
  <si>
    <t>Udjaja, Y; Fajar, M; Saputra, KE; Arifin, S</t>
  </si>
  <si>
    <t>Udjaja, Yogi; Fajar, Muhamad; Saputra, Karen Etania; Arifin, Samsul</t>
  </si>
  <si>
    <t>XRShip: Augmented Reality for Ship Familiarizations</t>
  </si>
  <si>
    <t>PT Pertamina Trans Kontinental (PTK) is a state-owned maritime company in Indonesia. PTK's vision and mission are to combine innovation with a dedication to digitization. As a result, we created the ShipXR Augmented Reality (AR) application to carry out that commitment and support business activities. The applications have been tested on a variety of devices. Metafrate Tools are evaluative measurement tools that we have created ourselves. The evaluation found that the program functions normally on both devices or that any serious difficulties were discovered. Furthermore, the result reveals that the application is very stable as a result of Metafrate Tools' output.</t>
  </si>
  <si>
    <t>; Arifin, Samsul/ADD-4361-2022</t>
  </si>
  <si>
    <t>Saputra, Karen/0000-0003-3016-9002; Udjaja, Yogi/0000-0001-5002-317X; Arifin, Samsul/0000-0003-0805-0582</t>
  </si>
  <si>
    <t>10.1007/978-3-031-15546-8_20</t>
  </si>
  <si>
    <t>WOS:000886159100020</t>
  </si>
  <si>
    <t>Park, S; Min, K; Kim, S</t>
  </si>
  <si>
    <t>Park, Sungjin; Min, Kyoungsoon; Kim, Sangkyun</t>
  </si>
  <si>
    <t>Differences in Learning Motivation among Bartle's Player Types and Measures for the Delivery of Sustainable Gameful Experiences</t>
  </si>
  <si>
    <t>Gamification is one of the methods used for delivering gameful experiences to Generation Z learners. The player-type theory must be reflected to effectively design gamification. This study aims to analyze the differences in learning motivation among different player types and to propose methods that can deliver effective gameful experiences. The study was conducted on 91 university students who were instructed to attend a class that utilized gamification. Based on the results, there were no statistical differences in the motivation among the different player types. Accordingly, constructing environments that can establish gameful experiences, rules, and strategies preferred by each type of player is proposed as an important factor in gamification design.</t>
  </si>
  <si>
    <t>Park, Sungjin/GRN-9937-2022; Kim, Sangkyun/AAG-8722-2022; Kim, Sangkyun/AFL-8562-2022</t>
  </si>
  <si>
    <t xml:space="preserve">Park, Sungjin/0000-0002-0121-4022; </t>
  </si>
  <si>
    <t>10.3390/su13169121</t>
  </si>
  <si>
    <t>WOS:000689938200001</t>
  </si>
  <si>
    <t>Gupta, R; He, JJ; Ranjan, R; Gan, WS; Klein, F; Schneiderwind, C; Neidhardt, A; Brandenburg, K; Valimaki, V</t>
  </si>
  <si>
    <t>Gupta, Rishabh; He, Jianjun; Ranjan, Rishabh; Gan, Woon-Seng; Klein, Florian; Schneiderwind, Christian; Neidhardt, Annika; Brandenburg, Karlheinz; Valimaki, Vesa</t>
  </si>
  <si>
    <t>Augmented/Mixed Reality Audio for Hearables: Sensing, control, and rendering</t>
  </si>
  <si>
    <t>IEEE SIGNAL PROCESSING MAGAZINE</t>
  </si>
  <si>
    <t>Augmented or mixed reality (AR/MR) is emerging as one of the key technologies in the future of computing. Audio cues are critical for maintaining a high degree of realism, social connection, and spatial awareness for various AR/MR applications, such as education and training, gaming, remote work, and virtual social gatherings to transport the user to an alternate world called the metaverse. Motivated by a wide variety of AR/MR listening experiences delivered over hearables, this article systematically reviews the integration of fundamental and advanced signal processing techniques for AR/MR audio to equip researchers and engineers in the signal processing community for the next wave of AR/MR.</t>
  </si>
  <si>
    <t>Valimaki, Vesa/C-2876-2013; Gan, Woon-Seng/A-5151-2011</t>
  </si>
  <si>
    <t>Gan, Woon-Seng/0000-0002-7143-1823; Gupta, Rishabh/0000-0001-5079-0766</t>
  </si>
  <si>
    <t>1053-5888</t>
  </si>
  <si>
    <t>1558-0792</t>
  </si>
  <si>
    <t>10.1109/MSP.2021.3110108</t>
  </si>
  <si>
    <t>WOS:000803108800010</t>
  </si>
  <si>
    <t>Xia, WF; Liu, Z</t>
  </si>
  <si>
    <t>Soares, MM; Rosenzweig, E; Marcus, A</t>
  </si>
  <si>
    <t>Xia, Wenfeng; Liu, Zhen</t>
  </si>
  <si>
    <t>User Experience Research in China: A 15-Year Bibliometric Analysis</t>
  </si>
  <si>
    <t>DESIGN, USER EXPERIENCE, AND USABILITY: UX RESEARCH, DESIGN, AND ASSESSMENT, PT I</t>
  </si>
  <si>
    <t>11th International Conference on Design, User Experience, and Usability (DUXU) Held as Part of the 24th International Conference on Human-Computer Interaction (HCII)</t>
  </si>
  <si>
    <t>With the continuous development of China's economy, the proportion of added value of service industry in gross domestic product in China has exceeded 50%, and reached 54.5% in 2020. User experience is an important link in the economy of the service industry, analyzing the development trend of academic research in the area of user experience in China, focusing on the hot issues of user experience research in China, and understanding the current needs of user experience research in the Chinese market will serve as a guide for future research directions for research scholars in the area of user experience. However, at present time, little has been done in user experience of China from the very beginning to 2021 through knowledge mapping analysis. This paper uses a scientific bibliometric method to make a comprehensive analysis with literature visualization by using CiteSpace and SATI selecting the core journal articles indexed by Chinese National Knowledge Infrastructure (CNKI) from 2006 which is the beginning year of Chinese user experience research to November 2021. User experience as a research keyword is started in 2006 in China, which has involved in a wide distribution of subject areas, mainly focused on computer software, graphics, industrial technology, press media, and internet technology. There is a need of collaboration of schools in discipline research in the area of user experience research in China. The research hotspots in the field of user experience in China in recent years mainly focus on the perspective of user sensory experience, interactive experience, and internet application experience. In the future, the research trend of user experience in China may focus on the impact of user sensory factors and situational factors on user experience, the interdisciplinary research of China's aging population and intelligent devices, and the user experience research of virtual reality interaction in Experience Metaverse.</t>
  </si>
  <si>
    <t>978-3-031-05897-4; 978-3-031-05896-7</t>
  </si>
  <si>
    <t>10.1007/978-3-031-05897-4_21</t>
  </si>
  <si>
    <t>WOS:000870210500021</t>
  </si>
  <si>
    <t>Mangina, E; Psyrra, G; Phelan, T; Schwaiger, M</t>
  </si>
  <si>
    <t>Daimi, K; AlSadoon, A</t>
  </si>
  <si>
    <t>Mangina, Eleni; Psyrra, Georgia; Phelan, Thomas; Schwaiger, Michael</t>
  </si>
  <si>
    <t>Data Analytics on eXtended Reality (XR) for Pedagogy Education: Educators' Awareness for the Future of Education in Smart Cities</t>
  </si>
  <si>
    <t>PROCEEDINGS OF THE INTERNATIONAL CONFERENCE ON INNOVATIONS IN COMPUTING RESEARCH (ICR'22)</t>
  </si>
  <si>
    <t>Advances in Intelligent Systems and Computing</t>
  </si>
  <si>
    <t>1st International Conference on Innovations in Computing Research (ICR)</t>
  </si>
  <si>
    <t>AUG 29-31, 2022</t>
  </si>
  <si>
    <t>Athens, GREECE</t>
  </si>
  <si>
    <t>Spanish Natl Res Council,Australian Comp Soc,Polytechn Inst Porto,Univ Detroit Mercy,Features Analyt,Flexens Ltd</t>
  </si>
  <si>
    <t>The future of education in smart cities is connected with the metaverse and eXtended Reality (XR) applications. Educators knowso little or nothing about helpful digital learning opportunities because they never heard about them during their pedagogic studies. To rapidly change this, European educational institutions join forces in the Erasmus + XR4Ped project to provide answers to questions and help foster digitisation in higher education in general and promote XR-based Virtual Reality (VR), Augmented Reality (AR) and the combination and further extension of both to Extended Reality (XR) immersive learning in particular. This poster will present the results of the anonymous data provided through a qualitative online questionnaire, highlighting the differences of XR technologies' awareness in Europe.</t>
  </si>
  <si>
    <t>Mangina, Eleni/0000-0003-3374-0307</t>
  </si>
  <si>
    <t>2194-5357</t>
  </si>
  <si>
    <t>2194-5365</t>
  </si>
  <si>
    <t>978-3-031-14054-9; 978-3-031-14053-2</t>
  </si>
  <si>
    <t>10.1007/978-3-031-14054-9_45</t>
  </si>
  <si>
    <t>WOS:000870592700045</t>
  </si>
  <si>
    <t>Iqbal, JD; Krauthammer, M; Biller-Andorno, N</t>
  </si>
  <si>
    <t>Iqbal, Jeffrey David; Krauthammer, Michael; Biller-Andorno, Nikola</t>
  </si>
  <si>
    <t>The Use and Ethics of Digital Twins in Medicine</t>
  </si>
  <si>
    <t>JOURNAL OF LAW MEDICINE &amp; ETHICS</t>
  </si>
  <si>
    <t>Digital Health Technologies (DHTs) are currently the subject of much debate both in terms of their technological frontiers as well as their ethical, legal and societal implications (ELSI). Regulation of such technologies as medical devices currently lacks behind their level of adoption. Digital Twins are the next evolution step of such DHTs and provide an opportunity to anticipate and act on ELSI before adoption again leaps before the necessary review. This paper introduces the concept and use cases of digital twins in medicine, then frames the debate through the lens of related technologies, machine learning and personalized medicine, and maps ethical challenges stemming from those. Finally, we lay out how digital twins may change and challenge the future practice of medicine.</t>
  </si>
  <si>
    <t>Iqbal, Jeffrey David/0000-0002-8374-1458; Biller-Andorno, Nikola/0000-0001-7661-1324; Krauthammer, Michael/0000-0002-4808-1845</t>
  </si>
  <si>
    <t>1073-1105</t>
  </si>
  <si>
    <t>1748-720X</t>
  </si>
  <si>
    <t>PII S1073110522000973</t>
  </si>
  <si>
    <t>10.1017/jme.2022.97</t>
  </si>
  <si>
    <t>WOS:000889694100016</t>
  </si>
  <si>
    <t>Anaya, DV; Yuce, MR</t>
  </si>
  <si>
    <t>Anaya, David Vera; Yuce, Mehmet R.</t>
  </si>
  <si>
    <t>Forearm Dual-Triboelectric Sensor (FDTS) for assistive Human-Machine-Interfaces (HMIs) and robotic control with potential uses in prosthetic devices</t>
  </si>
  <si>
    <t>NANO ENERGY</t>
  </si>
  <si>
    <t>This work describes a new sensitive non-intrusive forearm device with two triboelectric sensors (TS) integrated into one flexible PCB (FPCB) that indirectly differentiates finger and hand movements based on the forearm muscles and tendons' combined responses. The new Forearm Dual Triboelectric Sensor (FDTS) intends to demonstrate triboelectric nanogenerators (TENGs) as an affordable and flexible alternative to expensive and bulky EMG devices used in prosthetic limbs by amputated patients. The proposed concept can successfully recognize up to 10 different input signals from the bending or tapping of the middle and little fingers and hand opening-closing action used as input commands for a Human-Computer-Interface (HCI) for computer navigation. In the experiments, we can successfully control horizontal, vertical and diagonal movements, left and right click of the cursor on the screen, and scroll up/down options. The FDTS was also implemented in robotic hand remote control, where different index and small finger bending amplitudes were translated to different mechanical finger rotation degrees and overall robot hand movement. Additionally, the robotic hand was able to perform right and left clicks controlled by fast finger bending. More experiments demonstrate the FDTS response to other wrist movements, such as pronation and supination. This proves the potential benefits of TS in cost-effective prosthetic devices, with limited but better functionality than standard body-powered prostheses. In the future, FDTS-like devices can be modularly integrated with artificial limbs to allow amputated patients to control computers and external devices. Additionally, this solution can positively impact the integration of online spaces like the Metaverse with healthcare technologies for rehabilitation and social inclusion.</t>
  </si>
  <si>
    <t>2211-2855</t>
  </si>
  <si>
    <t>2211-3282</t>
  </si>
  <si>
    <t>JUN 15</t>
  </si>
  <si>
    <t>10.1016/j.nanoen.2023.108366</t>
  </si>
  <si>
    <t>WOS:000978056100001</t>
  </si>
  <si>
    <t>Lee, J; Won, HI; Kim, MY; Kim, BH</t>
  </si>
  <si>
    <t>Bruzzone, L; Bovolo, F; Pierdicca, N</t>
  </si>
  <si>
    <t>Lee, Junha; Won, Hong-In; Kim, Min Young; Kim, Byeong Hak</t>
  </si>
  <si>
    <t>Multi-domain Vision based Sign Language Recognition based on Auto Labeled Hand Tracking Data Learning</t>
  </si>
  <si>
    <t>IMAGE AND SIGNAL PROCESSING FOR REMOTE SENSING XXVIII</t>
  </si>
  <si>
    <t>Proceedings of SPIE</t>
  </si>
  <si>
    <t>Conference on Image and Signal Processing for Remote Sensing XXVIII</t>
  </si>
  <si>
    <t>SEP 05-06, 2022</t>
  </si>
  <si>
    <t>Berlin, GERMANY</t>
  </si>
  <si>
    <t>SPIE</t>
  </si>
  <si>
    <t>Remote operating and autonomous systems are widely applied in various fields, and the development of technology for human machine interface and communication is strongly demanded. In order to overcome the limitations of the conventional keyboard and tablet devices, various vision sensors and state-of-the-art artificial intelligence image processing techniques are used to recognize hand gestures. In this study, we propose a method for recognizing a reference sign language using auto labeled AI model training datasets. This study can be applied to the remote control interfaces for drivers to vehicles, person to home appliances, and garners to entertainment contents and remote character input technology for the metaverse environment.</t>
  </si>
  <si>
    <t>0277-786X</t>
  </si>
  <si>
    <t>1996-756X</t>
  </si>
  <si>
    <t>978-1-5106-5538-6; 978-1-5106-5537-9</t>
  </si>
  <si>
    <t>10.1117/12.2638450</t>
  </si>
  <si>
    <t>WOS:000890057500031</t>
  </si>
  <si>
    <t>Yang, Y; Zhao, MR; Zheng, YL; Huang, YG</t>
  </si>
  <si>
    <t>Yang, Yong; Zhao, Meirong; Zheng, Yelong; Huang, Yinguo</t>
  </si>
  <si>
    <t>Method for parallelism measurement of geometrical waveguides based on the combination of an autocollimator and a testing telescope</t>
  </si>
  <si>
    <t>Augmented reality (AR) is desperately needed in the Metaverse. The geometrical waveguide receives increased attention in AR technology as achieving high resolution, full-color display, etc. However, the stray light and ghost image problems resulting from the parallelism errors severely deteriorate the imaging quality. According to the light propagation of the waveguide, a measuring system based on the combination of the autocollimator and the testing telescope (CAT) method was proposed to measure the parallelism errors of the partially reflective mirror array (PRMA). The results indicated that this method could measure the parallelism errors precisely with the maximum repeatability of 0.63 ''. The method could decouple the coupling of the parallelism errors of the PRMA and the substrate surfaces to imaging quality effectively. The precise parallelism measuring is expected to contribute to mass production and low cost by promoting the waveguide design and fabrication.</t>
  </si>
  <si>
    <t>Yang, Yong/0000-0002-1499-7978</t>
  </si>
  <si>
    <t>DEC 5</t>
  </si>
  <si>
    <t>10.1364/OE.475634</t>
  </si>
  <si>
    <t>WOS:000917358400002</t>
  </si>
  <si>
    <t>Yu, JC; Xu, FF; Tao, T; Liu, B; Wang, B; Sang, YM; Liang, SH; Chen, Y; Feng, MX; Zhuang, Z; Xie, ZL; Sun, XJ; Zheng, YD; Huang, K; Zhang, R</t>
  </si>
  <si>
    <t>Yu, Junchi; Xu, Feifan; Tao, Tao; Liu, Bin; Wang, Bin; Sang, Yimeng; Liang, Shihao; Chen, Yang; Feng, Meixin; Zhuang, Zhe; Xie, Zili; Sun, Xiaojuan; Zheng, Youdou; Huang, Kai; Zhang, Rong</t>
  </si>
  <si>
    <t>Gallium Nitride Blue/Green Micro-LEDs for High Brightness and Transparency Display</t>
  </si>
  <si>
    <t>IEEE ELECTRON DEVICE LETTERS</t>
  </si>
  <si>
    <t>GaN-basedMicro-LED has become a research hotspot as a novel display technology due to its numerous unique advantages. Especially in augmented reality and smart glasses applications, Micro-LED display chip with high transparency possesses unparalleled opportunities. In this work, GaN- based transparent single-colorMicro-LED display chip based on double-side polished sapphire substratewas designedwith a singlepixel size of 20 mu mx20 mu m, and a resolution of 254 pixel per inch (PPI). The transparency reaches 80% among the whole display area similar to 0.18 inch, and the luminance of display chip can reach up to 25000 nits. It demonstratesa broad applicationprospects in augmented reality, smart glasses, and etc., providingpromising vista for the development of Metaverse in the future.</t>
  </si>
  <si>
    <t>0741-3106</t>
  </si>
  <si>
    <t>1558-0563</t>
  </si>
  <si>
    <t>10.1109/LED.2022.3228529</t>
  </si>
  <si>
    <t>WOS:000966133700001</t>
  </si>
  <si>
    <t>Wang, X; Yang, J; Han, JP; Wang, W; Wang, FY</t>
  </si>
  <si>
    <t>Wang, Xiao; Yang, Jing; Han, Jinpeng; Wang, Wei; Wang, Fei-Yue</t>
  </si>
  <si>
    <t>Metaverses and DeMetaverses: From Digital Twins in CPS to Parallel Intelligence in CPSS</t>
  </si>
  <si>
    <t>A total of 12 years have been passed since this Department was created in 2010 as the first academic forum dedicated to cyber-physical-social systems (CPSS), with the first CPSS research article on the field: The Emergence of Intelligent Enterprises: From CPS to CPSS. What has happened and changed during the past decade? A brief reflection and review are presented here with a focus on digital twins in CPS versus parallel intelligence in CPSS, and their relationship to blockchain intelligence, smart contracts, metaverses, DAO, Web3, and decentralized science. The concept of DeMetaverses is thus introduced and interpreted as a DAO-based decentralized autonomous metaverse. The characteristics, mechanism, and impact of DeMetaverses are discussed with a vision for achieving an integrated human, artificial, natural, and organizational intelligence that would transform our world into 6S societies.</t>
  </si>
  <si>
    <t>Wang, Wei/HHM-3975-2022</t>
  </si>
  <si>
    <t>wang, xiao/0000-0002-0008-0659; Han, Jinpeng/0000-0002-2451-5880</t>
  </si>
  <si>
    <t>10.1109/MIS.2022.3196592</t>
  </si>
  <si>
    <t>WOS:000858007500012</t>
  </si>
  <si>
    <t>Gouveia, PFP; Luna, R; Fontes, F; Pinto, D; Mavioso, C; Anacleto, J; Timoteo, R; Santinha, J; Marques, T; Cardoso, F; Cardoso, MJ</t>
  </si>
  <si>
    <t>Gouveia, Pedro Filipe Pereira; Luna, Rogelio; Fontes, Francisco; Pinto, David; Mavioso, Carlos; Anacleto, Joao; Timoteo, Rafaela; Santinha, Joao; Marques, Tiago; Cardoso, Fatima; Cardoso, Maria Joao</t>
  </si>
  <si>
    <t>Augmented Reality in Breast Surgery Education</t>
  </si>
  <si>
    <t>BREAST CARE</t>
  </si>
  <si>
    <t>Introduction: Augmented Reality (AR) has demonstrated a potentially wide range of benefits and educational applications in the virtual health ecosystem. The concept of real-time data acquisition, machine learning aided processing, and visualization, is a foreseen ambition to leverage AR applications in the healthcare sector. This breakthrough with immersive technologies like AR, mixed reality (MR), virtual reality (VR), or extended reality (XR) will hopefully initiate a new surgical era: that of the use of the so-called surgical metaverse. Main text: This paper focuses on the future use of AR in breast surgery education describing two potential applications (surgical remote telementoring and impalpable breast cancer localization using AR), along with the technical needs to make it possible.Conclusion: Surgical telementoring and impalpable tumors non-invasive localization are two examples that can have success in the future provided the improvements in both data transformation and infrastructures are capable to overcome the current challenges and limitations.</t>
  </si>
  <si>
    <t>Correia Anacleto, Joao/HQY-1589-2023</t>
  </si>
  <si>
    <t>Correia Anacleto, Joao/0000-0002-5098-5771; Cardoso, Maria Joao/0000-0002-8137-3700; Santinha, Joao/0000-0001-8174-2943; Marques, Tiago/0000-0002-8973-0549; Pinto, David/0000-0002-7998-3366; Jorge Timoteo, Rafaela/0000-0003-4369-2775</t>
  </si>
  <si>
    <t>1661-3791</t>
  </si>
  <si>
    <t>1661-3805</t>
  </si>
  <si>
    <t>10.1159/000529587</t>
  </si>
  <si>
    <t>WOS:000931474400001</t>
  </si>
  <si>
    <t>GaN-based Micro-LED has become a research hotspot as a novel display technology due to its numerous unique advantages. Especially in augmented reality and smart glasses applications, Micro-LED display chip with high transparency possesses unparalleled opportunities. In this work, GaN-based transparent single-color Micro-LED display chip based on double-side polished sapphire substrate was designed with a singlepixel size of 20 mu m x 20 mu m, and a resolution of 254 pixel per inch (PPI). The transparency reaches 80% among the whole display area similar to 0.18 inch, and the luminance of display chip can reach up to 25000 nits. It demonstratesa broad application prospects in augmented reality, smart glasses, and etc., providing promising vista for the development of Metaverse in the future.</t>
  </si>
  <si>
    <t>WOS:000967587800023</t>
  </si>
  <si>
    <t>Puspitasari, FD; Lee, LH</t>
  </si>
  <si>
    <t>Puspitasari, Fachrina Dewi; Lee, Lik-Hang</t>
  </si>
  <si>
    <t>Review of Persuasive User Interface as Strategy for Technology Addiction in Virtual Environments</t>
  </si>
  <si>
    <t>In the era of virtuality, the increasingly ubiquitous technology bears the challenge of excessive user dependency, also known as user addiction. Augmented reality (AR) and virtual reality (VR) have become increasingly integrated into daily life. Although discussions about the drawbacks of these technologies are abundant, their exploration for solutions is still rare. Thus, using the PRISMA methodology, this paper reviewed the literature on technology addiction and persuasive technology. After describing the key research trends, the paper summed up nine persuasive elements of user interfaces (UIs) that AR and VR developers could add to their apps to make them less addictive. Furthermore, this review paper encourages more research into a persuasive strategy for controlling user dependency in virtual-physical blended cyberspace.</t>
  </si>
  <si>
    <t>10.1109/ISMAR-Adjunct57072.2022.00019</t>
  </si>
  <si>
    <t>WOS:000918030200010</t>
  </si>
  <si>
    <t>Lu, F; Hua, JY; Zhou, FB; Xia, ZW; Li, RB; Chen, LS; Qiao, W</t>
  </si>
  <si>
    <t>Lu, Fei; Hua, Jianyu; Zhou, Fengbin; Xia, Zhongwen; Li, Ruibin; Chen, Linsen; Qiao, Wen</t>
  </si>
  <si>
    <t>Pixelated volume holographic optical element for augmented reality 3D display</t>
  </si>
  <si>
    <t>Augmented reality (AR) three-dimensional (3D) display is the hardware entrance of metaverse and attracts great interest. The fusion of physical world with 3D virtual images is non-trivial. In this paper, we proposed an AR 3D display based on a pixelated volume holographic optical element (P-VHOE). The see-through combiner is prepared by spatial multiplexing. A prototype of AR 3D display with high diffraction efficiency (78.59%), high transmission (&gt;80%) and non-repeating views is realized. Virtual 3D objects with high fidelity in depth is reconstructed by P-VHOE, with a complex wavelet structural similarity (CW-SSIM) value of 0.9882. The proposed prototype provides an efficient solution for a compact glasses-free AR 3D display. Potential applications include window display, exhibition, education, teleconference. (C) 2022 Optica Publishing Group under the terms of the Optica Open Access Publishing Agreement</t>
  </si>
  <si>
    <t>乔, 文/IAR-3978-2023</t>
  </si>
  <si>
    <t>乔, 文/0000-0003-0357-845X</t>
  </si>
  <si>
    <t>10.1364/OE.456824</t>
  </si>
  <si>
    <t>WOS:000796530400052</t>
  </si>
  <si>
    <t>Weng, DX; Chen, QR; Xie, XJ; Smith, D</t>
  </si>
  <si>
    <t>Miyata, S; Yatagai, T; Koike, Y</t>
  </si>
  <si>
    <t>Weng, Dexi; Chen, Qiurong; Xie, Xiaojun; Smith, Donald</t>
  </si>
  <si>
    <t>Application of Gi-POF and specialty magnesium alloy combination in all-optical networks</t>
  </si>
  <si>
    <t>ULTRA-HIGH-DEFINITION IMAGING SYSTEMS V</t>
  </si>
  <si>
    <t>Conference on Ultra-High-Definition Imaging Systems V Part of SPIE Photonics West OPTO Conference</t>
  </si>
  <si>
    <t>JAN 22-FEB 24, 2022</t>
  </si>
  <si>
    <t>A first step toward all-optical network was successfully taken with graded-index perfluorinated polymer optical fibers (Gi-POF) spliced with glass optical fibers (GOF). The concept was demonstrated with optical fibers and with specially designed transceivers. In addition, the casings for transceiver devices involved were made of specialty magnesium alloy, which was demonstrated to be several times better than most other commonly used materials in shielding electrical contents from electromagnetic interference (EMI), a must-have feature for modern ultra-high-speed networks. We continue to work toward truly all optical networks by replacing O/E conversions even further with more optical/optical (O/O) connections.</t>
  </si>
  <si>
    <t>978-1-5106-4922-4; 978-1-5106-4921-7</t>
  </si>
  <si>
    <t>10.1117/12.2613577</t>
  </si>
  <si>
    <t>WOS:000831853000001</t>
  </si>
  <si>
    <t>Tricomi, PP; Nenna, F; Pajola, L; Conti, M; Gamberi, L</t>
  </si>
  <si>
    <t>Tricomi, Pier Paolo; Nenna, Federica; Pajola, Luca; Conti, Mauro; Gamberi, Luciano</t>
  </si>
  <si>
    <t>You Can't Hide Behind Your Headset: User Profiling in Augmented and Virtual Reality</t>
  </si>
  <si>
    <t>Augmented and Virtual Reality (AR and VR), collectively known as Extended Reality (XR), are increasingly gaining traction thanks to their technical advancement and the need for remote connections, recently accentuated by the pandemic. Remote surgery, telerobotics, and virtual offices are only some examples of their successes. As users interact with XR, they generate extensive behavioral data usually leveraged for measuring human activity, which could be used for profiling users' identities or personal information (e.g., gender). However, several factors affect the efficiency of profiling, such as the technology employed, the action taken, the mental workload, the presence of bias, and the sensors available. To date, no study has considered all of these factors together and in their entirety, limiting the current understanding of XR profiling. In this work, we provide a comprehensive study on user profiling in virtual technologies (i.e., AR, VR). Specifically, we employ machine learning on behavioral data (i.e., head, controllers, and eye data) to identify users and infer their individual attributes (i.e., age, gender). Toward this end, we propose a general framework that can potentially infer any personal information from any virtual scenarios. We test our framework on eleven generic actions (e.g., walking, searching, pointing) involving low and high mental loads, derived from two distinct use cases: an AR everyday application (34 participants) and VR robot teleoperation (35 participants). Our framework limits the burden of creating technology- and action-dependent algorithms, also reducing the experimental bias evidenced in previous work, providing a simple (yet effective) baseline for future works. We identified users up to 97% F1-score in VR and 80% in AR. Gender and Age inference was also facilitated in VR, reaching up to 82% and 90% F1-score, respectively. Through an in-depth analysis of sensors' impact, we found VR profiling resulting more effective than AR mainly because of the eye sensors' presence.</t>
  </si>
  <si>
    <t>Conti, Mauro/F-9145-2012</t>
  </si>
  <si>
    <t>Conti, Mauro/0000-0002-3612-1934; Nenna, Federica/0000-0003-0353-6014; Tricomi, Pier Paolo/0000-0003-1600-835X; pajola, luca/0000-0002-6749-6608</t>
  </si>
  <si>
    <t>10.1109/ACCESS.2023.3240071</t>
  </si>
  <si>
    <t>WOS:000927849200001</t>
  </si>
  <si>
    <t>Jung, S; Lee, YS; Lee, Y; Lee, K</t>
  </si>
  <si>
    <t>Jung, Sukwoo; Lee, Youn-Sung; Lee, Yunju; Lee, KyungTaek</t>
  </si>
  <si>
    <t>3D Reconstruction Using 3D Registration-Based ToF-Stereo Fusion</t>
  </si>
  <si>
    <t>Depth sensing is an important issue in many applications, such as Augmented Reality (AR), eXtended Reality (XR), and Metaverse. For 3D reconstruction, a depth map can be acquired by a stereo camera and a Time-of-Flight (ToF) sensor. We used both sensors complementarily to improve the accuracy of 3D information of the data. First, we applied a generalized multi-camera calibration method that uses both color and depth information. Next, depth maps of two sensors were fused by 3D registration and reprojection approach. Then, hole-filling was applied to refine the new depth map from the ToF-stereo fused data. Finally, the surface reconstruction technique was used to generate mesh data from the ToF-stereo fused pointcloud data. The proposed procedure was implemented and tested with real-world data and compared with various algorithms to validate its efficiency.</t>
  </si>
  <si>
    <t>10.3390/s22218369</t>
  </si>
  <si>
    <t>WOS:000881679900001</t>
  </si>
  <si>
    <t>Jeong, JB; Lee, S; Ryu, ES</t>
  </si>
  <si>
    <t>Jeong, Jong-Beom; Lee, Soonbin; Ryu, Eun-Seok</t>
  </si>
  <si>
    <t>Rethinking Fatigue-Aware 6DoF Video Streaming: Focusing on MPEG Immersive Video</t>
  </si>
  <si>
    <t>36TH INTERNATIONAL CONFERENCE ON INFORMATION NETWORKING (ICOIN 2022)</t>
  </si>
  <si>
    <t>36th International Conference on Information Networking (ICOIN)</t>
  </si>
  <si>
    <t>JAN 12-15, 2022</t>
  </si>
  <si>
    <t>IEEE,IEEE Comp Soc,IEICE Commun Soc,Korean Inst Informat Scientists &amp; Engineers,SNET Syst,Daishin Informat Commun</t>
  </si>
  <si>
    <t>The moving picture experts group (MPEG) immersive video (MIV) coding standard enables the implementation of a practical six degrees of freedom (6DoF) virtual reality (VR) video streaming system by two approaches: 1) removing the redundancy between multi-view videos or 2) selecting and transmitting representative views among multi-view videos using traditional 2-D video compression standards. This paper presents a strategy for providing immersive video considering two aspects: 1) minimizing the fatigue in the synthesized and rendered viewport, and 2) providing rate-distortion optimization (RDO) to yield high-quality videos at a low bitrate. The results of the two approaches in the MIV coding standard using high-efficiency video coding (HEVC) are discussed, and the advantages and drawbacks of each method for 2-D display and head-mounted display are detailed.</t>
  </si>
  <si>
    <t>Lee, Soonbin/0000-0002-8951-0335</t>
  </si>
  <si>
    <t>978-1-6654-1332-9</t>
  </si>
  <si>
    <t>10.1109/ICOIN53446.2022.9687247</t>
  </si>
  <si>
    <t>WOS:000781898100057</t>
  </si>
  <si>
    <t>Kliestik, T; Nagy, M; Valaskova, K</t>
  </si>
  <si>
    <t>Kliestik, Tomas; Nagy, Marek; Valaskova, Katarina</t>
  </si>
  <si>
    <t>Global Value Chains and Industry 4.0 in the Context of Lean Workplaces for Enhancing Company Performance and Its Comprehension via the Digital Readiness and Expertise of Workforce in the V4 Nations</t>
  </si>
  <si>
    <t>Industry 4.0 affects nearly every aspect of life by making it more technologically advanced, creative, environmentally friendly and ultimately, more interconnected. It also represents the beginning of the interconnectedness and metaverse associated with Industry 5.0. This issue is becoming decisive for advancement in all areas of life, including science. The primary goal of this study is to concisely explain how current Industry 4.0 trends might interact with existing work systems in global value chains to accelerate their operational activity in the context of firms from the Visegrad Four (V4) nations. Through an examination of the digital abilities in these nations, the purpose of the study is also to demonstrate how well citizens, employees, and end users are able to comprehend the problem at hand. The most recent resources for the topics are covered in the first section of the work. The next one uses graphic analysis and mutual comparison methods, generally comparing existing data over time; it is secondary research, and through these methods the Industry 4.0 applications can significantly speed up the work process itself when compared to the traditional lean process, primarily because of its digital structure. It is difficult to predict which of the V4 will be digitally prepared, as the precedent shifts are based on distinct indicators; therefore, it is crucial that all V4 nations expand their digital adaptability dramatically each year, primarily as a result of spending on scientific research, and education that is organised appropriately. The extra value of this effort may be attributed to how lean processes are intertwined with the Industry 4.0 trend's digital experience, which already includes the Industry 5.0 trend's artificial intelligence and metaverse, which represent the potential for further research in the future.</t>
  </si>
  <si>
    <t>Valaskova, Katarina/O-9250-2015; Nagy, Marek/DEM-8067-2022</t>
  </si>
  <si>
    <t>Valaskova, Katarina/0000-0003-4223-7519; Nagy, Marek/0000-0003-0740-6268</t>
  </si>
  <si>
    <t>10.3390/math11030601</t>
  </si>
  <si>
    <t>WOS:000929576200001</t>
  </si>
  <si>
    <t>Liu, Z; Ren, LF; Xiao, C; Zhang, K; Demian, P</t>
  </si>
  <si>
    <t>Liu, Zhen; Ren, Lingfeng; Xiao, Chang; Zhang, Ke; Demian, Peter</t>
  </si>
  <si>
    <t>Virtual Reality Aided Therapy towards Health 4.0: A Two-Decade Bibliometric Analysis</t>
  </si>
  <si>
    <t>Health 4.0 aligns with Industry 4.0 and encourages the application of the latest technologies to healthcare. Virtual reality (VR) is a potentially significant component of the Health 4.0 vision. Though VR in health care is a popular topic, there is little knowledge of VR-aided therapy from a macro perspective. Therefore, this paper was aimed to explore the research of VR in aiding therapy, thus providing a potential guideline for futures application of therapeutic VR in healthcare towards Health 4.0. A mixed research method was adopted for this research, which comprised the use of a bibliometric analysis (a quantitative method) to conduct a macro overview of VR-aided therapy, the identification of significant research structures and topics, and a qualitative review of the literature to reveal deeper insights. Four major research areas of VR-aided therapy were identified and investigated, i.e., post-traumatic stress disorder (PTSD), anxiety and fear related disorder (A&amp;F), diseases of the nervous system (DNS), and pain management, including related medical conditions, therapies, methods, and outcomes. This study is the first to use VOSviewer, a commonly used software tool for constructing and visualizing bibliometric networks and developed by Center for Science and Technology Studies, Leiden University, the Netherlands, to conduct bibliometric analyses on VR-aided therapy from the perspective of Web of Science core collection (WoSc), which objectively and visually shows research structures and topics, therefore offering instructive insights for health care stakeholders (particularly researchers and service providers) such as including integrating more innovative therapies, emphasizing psychological benefits, using game elements, and introducing design research. The results of this paper facilitate with achieving the vision of Health 4.0 and illustrating a two-decade (2000 to year 2020) map of pre-life of the Health Metaverse.</t>
  </si>
  <si>
    <t>10.3390/ijerph19031525</t>
  </si>
  <si>
    <t>WOS:000754830600001</t>
  </si>
  <si>
    <t>Ramesh, PV; Joshua, T; Ray, P; Devadas, AK; Raj, PM; Ramesh, SV; Ramesh, M; Rajasekaran, R</t>
  </si>
  <si>
    <t>Ramesh, Prasanna, V; Joshua, Tensingh; Ray, Prajnya; Devadas, Aji K.; Raj, Pragash M.; Ramesh, Shruthy, V; Ramesh, MeenaK; Rajasekaran, Ramesh</t>
  </si>
  <si>
    <t>Holographic elysium of a 4D ophthalmic anatomical and pathological metaverse with extended reality/mixed reality</t>
  </si>
  <si>
    <t>Extended reality is one of the leading cutting-edge technologies, which has not yet fully set foot into the field of ophthalmology. The use of extended reality technology especially in ophthalmic education and counseling will revolutionize the face of teaching and counseling on a whole new level. We have used this novel technology and have created a holographic museum of various anatomical structures such as the eyeball, cerebral venous system, cerebral arterial system, cranial nerves, and various parts of the brain in fine detail. These four-dimensional (4D) ophthalmic holograms created by us (patent pending) are cost-effectively constructed with TrueColor confocal images to serve as a new-age immersive 4D pedagogical and counseling tool for gameful learning and counseling, respectively. According to our knowledge, this concept has not been reported in the literature before.</t>
  </si>
  <si>
    <t>Devadas, Aji K/AAX-5734-2021; Ramesh, Prasanna Venkatesh/AAO-8071-2021</t>
  </si>
  <si>
    <t>Devadas, Aji K/0000-0002-5583-2926; Ramesh, Prasanna Venkatesh/0000-0002-6105-8666</t>
  </si>
  <si>
    <t>10.4103/ijo.IJO_120_22</t>
  </si>
  <si>
    <t>WOS:000847240800070</t>
  </si>
  <si>
    <t>DWS-BEAM: Decoder-Wise Subpicture Bitstream Extracting and Merging for MPEG Immersive Video</t>
  </si>
  <si>
    <t>2021 INTERNATIONAL CONFERENCE ON VISUAL COMMUNICATIONS AND IMAGE PROCESSING (VCIP)</t>
  </si>
  <si>
    <t>IEEE International Conference on Visual Communications and Image Processing</t>
  </si>
  <si>
    <t>IEEE International Conference on Visual Communications and Image Processing (VCIP) - Visual Communications in the Era of AI and Limited Resources</t>
  </si>
  <si>
    <t>DEC 05-08, 2021</t>
  </si>
  <si>
    <t>Munich, GERMANY</t>
  </si>
  <si>
    <t>IEEE,Meta,Huawei,Qualcomm,IEEE Circuits &amp; Syst Soc,Leibniz Univ Hannover,FAU,Natl Yang Ming Chiao Tung Univ</t>
  </si>
  <si>
    <t>With the new immersive video coding standard MPEG immersive video (MIV) and versatile video coding (VVC), six degrees of freedom (6DoF) virtual reality (VR) streaming technology is emerging for both computer-generated and natural content videos. This paper addresses the decoder-wise subpicture bitstream extracting and merging (DWS-BEAM) method for MIV and proposes two main ideas: (i) a selective streaming-aware subpicture allocation method using a motion-constrained tile set (MCTS), (ii) a decoder-wise subpicture extracting and merging method for single-pass decoding. In the experiments using the VVC test model (VTM), the proposed method shows 1.23% BD-rate saving for immersive video PSNR (IV-PSNR) and 15.78% decoding runtime saving compared to the VTM anchor. Moreover, while the MIV test model requires four decoders, the proposed method only requires one decoder.</t>
  </si>
  <si>
    <t>2642-9357</t>
  </si>
  <si>
    <t>978-1-7281-8551-4</t>
  </si>
  <si>
    <t>10.1109/VCIP53242.2021.9675419</t>
  </si>
  <si>
    <t>WOS:000768800300100</t>
  </si>
  <si>
    <t>Nah, K; Oh, S; Han, B; Kim, H; Lee, A</t>
  </si>
  <si>
    <t>Nah, Ken; Oh, Soojin; Han, Bomyi; Kim, Heyjin; Lee, Ahhyun</t>
  </si>
  <si>
    <t>A Study on the User Experience to Improve Immersion as a Digital Human in Lifestyle Content</t>
  </si>
  <si>
    <t>With the expansion of the digital environment and the metaverse, and the intervention of artificial intelligence, interaction in the virtual world is becoming more active. Humans are discussing the social reality of the user experience in this virtual space. Technology has created an object called a human-like digital human to enhance human immersion in the metaverse. This will become a factor that improves immersion so that the experience of the virtual world becomes more intimate for humans who feel unfamiliarity, alienation, and the rejection of new technologies. However, a clear definition, expression, and approach to the digital human are still being continuously improved. This article studied the direction of improvement in factors that can improve immersion in the user experience. In the process of communication between humans and digital humans, a qualitative survey was conducted based on the five human senses, where the user experience of the digital human was central. In-depth interviews were conducted with 20 men and women regarding their digital human experience, targeting Generation Z, who are familiar with the digital environment. Using NVIVO, global qualitative research software, 1000 main frequency words were derived, and the top 20 words with the highest frequency were classified into emotions and the five senses to analyze their correlation. As a result, we found that the mental models of developers and users are different in the digital human experience. Users felt more comfortable and a higher degree of intimacy when they saw the digital human as a technology, and the technology that the developer was showing was more focused on the external aspects that look similar to a human. It was found that, in order for users to immerse themselves in the digital human, various non-verbal expressions using the five senses should be further developed, rather than focusing on the human-like appearance. This study intends to serve as a cornerstone for research that can improve immersion in digital humans, with a high potential for future development.</t>
  </si>
  <si>
    <t>10.3390/app122312467</t>
  </si>
  <si>
    <t>WOS:000912269400001</t>
  </si>
  <si>
    <t>Minerva, R; Patrikakis, CZ; Margaria, T</t>
  </si>
  <si>
    <t>Minerva, Roberto; Patrikakis, Charalampos Z. Z.; Margaria, Tiziana</t>
  </si>
  <si>
    <t>Digitally Cloning the Physical</t>
  </si>
  <si>
    <t>The developments of Digital Twin-based solutions is receiving increasing attention from a large community of developers. The concept of the Digital Twin is not anymore confined into the realm of manufacturing. Lots of applications are adopting the approach in different application domains such as smart cities, e-health, logistics, education, and many more. The Digital Twin is a software representation of a corresponding complex physical object. The digital twin is based on two important features that are of the interest for the software and Information Technology community: data and modeling. Data are the central aspect for monitoring and representing the status of a physical object. Having access to well-formed data makes it possible to represent the salient features and characteristics of the physical object. The second major feature is how these data are to be organized and processed in order to reflect the actual status of the physical object.</t>
  </si>
  <si>
    <t>10.1109/MITP.2022.3224263</t>
  </si>
  <si>
    <t>WOS:000917257500005</t>
  </si>
  <si>
    <t>Lee, H; Jung, J</t>
  </si>
  <si>
    <t>Lee, Hongjae; Jung, Jiyoung</t>
  </si>
  <si>
    <t>Clustering-Based Plane Segmentation Neural Network for Urban Scene Modeling</t>
  </si>
  <si>
    <t>Urban scene modeling is a challenging but essential task for various applications, such as 3D map generation, city digitization, and AR/VR/metaverse applications. To model man-made structures, such as roads and buildings, which are the major components in general urban scenes, we present a clustering-based plane segmentation neural network using 3D point clouds, called hybrid K-means plane segmentation (HKPS). The proposed method segments unorganized 3D point clouds into planes by training the neural network to estimate the appropriate number of planes in the point cloud based on hybrid K-means clustering. We consider both the Euclidean distance and cosine distance to cluster nearby points in the same direction for better plane segmentation results. Our network does not require any labeled information for training. We evaluated the proposed method using the Virtual KITTI dataset and showed that our method outperforms conventional methods in plane segmentation. Our code is publicly available.</t>
  </si>
  <si>
    <t>Lee, Hongjae/0000-0001-5312-139X; Jung, Jiyoung/0000-0001-9316-9750</t>
  </si>
  <si>
    <t>10.3390/s21248382</t>
  </si>
  <si>
    <t>WOS:000737682800001</t>
  </si>
  <si>
    <t>Chu, CH; Yang, DN; Tsai, HL</t>
  </si>
  <si>
    <t>Chu, Chung-Hua; Yang, De-Nian; Tsai, Hsiang-Lin</t>
  </si>
  <si>
    <t>Study of Mixed Social World on the Social world of Virtual and Real World</t>
  </si>
  <si>
    <t>2022 23RD IEEE INTERNATIONAL CONFERENCE ON MOBILE DATA MANAGEMENT (MDM 2022)</t>
  </si>
  <si>
    <t>IEEE International Conference on Mobile Data Management</t>
  </si>
  <si>
    <t>23rd IEEE International Conference on Mobile Data Management (IEEE MDM)</t>
  </si>
  <si>
    <t>JUN 06-09, 2022</t>
  </si>
  <si>
    <t>In recent years, the social world of virtual reality has become more popular in education, metaverse, entertainment, design, and real-life applications with simultaneous localization and mapping. This is based on an augmented reality (AR) smartphone that supports simultaneous localization and mapping with its two cameras, RGB camera and depth camera, to sense 3D real world. In this study, the average depth data of point clouds on the real 3D objects captured by the depth camera are used to determine whether there are 3D dynamic objects for social world of virtual and real world. When the average depth data change exceeds the threshold of the average depth data, a 3D dynamic object can be detected. This threshold is also adopted to adjust 3D scanning speed and to update Virtual Reality (VR) representation. We conduct detailed experimental analysis as well as verification and completely analyze physical errors for integrating virtual and real worlds.</t>
  </si>
  <si>
    <t>Yang, De-Nian/AAQ-5465-2021</t>
  </si>
  <si>
    <t>Yang, De-Nian/0000-0002-3765-9293</t>
  </si>
  <si>
    <t>1551-6245</t>
  </si>
  <si>
    <t>978-1-6654-5176-5</t>
  </si>
  <si>
    <t>10.1109/MDM55031.2022.00100</t>
  </si>
  <si>
    <t>WOS:000861618300080</t>
  </si>
  <si>
    <t>Almasan, P; Ferriol-Galmes, M; Paillisse, J; Suarez-Varela, J; Perino, D; Lopez, D; Perales, AAP; Harvey, P; Ciavaglia, L; Wong, L; Ram, V; Xiao, SH; Shi, X; Cheng, XL; Cabellos-Aparicio, A; Barlet-Ros, P</t>
  </si>
  <si>
    <t>Almasan, Paul; Ferriol-Galmes, Miquel; Paillisse, Jordi; Suarez-Varela, Jose; Perino, Diego; Lopez, Diego; Perales, Antonio Agustin Pastor; Harvey, Paul; Ciavaglia, Laurent; Wong, Leon; Ram, Vishnu; Xiao, Shihan; Shi, Xiang; Cheng, Xiangle; Cabellos-Aparicio, Albert; Barlet-Ros, Pere</t>
  </si>
  <si>
    <t>Network Digital Twin: Context, Enabling Technologies, and Opportunities</t>
  </si>
  <si>
    <t>The proliferation of emergent network applications (e.g., telesurgery, metaverse) is increasing the difficulty of managing modern communication networks. These applications entail stringent network requirements (e.g., ultra-low deterministic latency), which hinders network operators in managing their resources efficiently. In this article, we introduce the network digital twin (NDT), a renovated concept of classical network modeling tools whose goal is to build accurate data-driven network models that can operate in real time. We describe the general architecture of the NDT and argue that modern machine learning (ML) technologies enable building some of its core components. Then we present a case study that leverages an ML-based NDT for network performance evaluation and apply it to routing optimization in a QoS-aware use case. Lastly, we describe some key open challenges and research opportunities yet to be explored to achieve effective deployment of NDTs in real-world networks.</t>
  </si>
  <si>
    <t>Suárez-Varela, José/AAA-5418-2019; Vilanova, Jordi Paillissé/AER-0231-2022; Almasan, Paul/AAU-4614-2020</t>
  </si>
  <si>
    <t>Suárez-Varela, José/0000-0002-7141-3414; Vilanova, Jordi Paillissé/0000-0001-7733-9713; Almasan, Paul/0000-0003-3903-6759</t>
  </si>
  <si>
    <t>WOS:000881980700005</t>
  </si>
  <si>
    <t>Lopes, LO; Goncalves, V</t>
  </si>
  <si>
    <t>Rocha, A; Goncalves, R; Penalvo, FG; Martins, J</t>
  </si>
  <si>
    <t>Lopes, Luciene Ortet; Goncalves, Vitor</t>
  </si>
  <si>
    <t>Evaluation of the Augmented Reality Educational Application for the 2nd cycle of primary school</t>
  </si>
  <si>
    <t>PROCEEDINGS OF 2021 16TH IBERIAN CONFERENCE ON INFORMATION SYSTEMS AND TECHNOLOGIES (CISTI'2021)</t>
  </si>
  <si>
    <t>16th Iberian Conference on Information Systems and Technologies (CISTI)</t>
  </si>
  <si>
    <t>JUN 23-26, 2021</t>
  </si>
  <si>
    <t>Iberian Assoc Informat Syst &amp; Technologies,AquaValor Res Ctr,IEEE SMC, Portuguese Chapter,IEEE Portugal Sect,IEEE SMC Spain Chapter,IEEE SMC France Chapter,IEEE SMC Italy Chapter</t>
  </si>
  <si>
    <t>The use of augmented reality (AR) technology has been shown to be useful in several areas of human activity. In this sense, this study aims to understand whether these AR technologies can contribute to inform and educate children of the 2nd cycle of primary school about the outbreak by COVID-19. For this purpose, in addition to the systematic review of the literature of the last 5 years on AR, a case study was carried out with a group of experts who evaluated an AR application using Metaverse Studio. The study showed a very favorable response in relation to the use of these applications in the teaching-learning context, namely in basic education, confirming that it can improve the cognitive capacity of children, allowing them to retain knowledge and develop creative and autonomous learning after the experience of using this technology.</t>
  </si>
  <si>
    <t>978-989-54659-1-0</t>
  </si>
  <si>
    <t>WOS:000824588500178</t>
  </si>
  <si>
    <t>Li, ZY; Ma, Y; Zhang, KJ; Wan, J; Zhao, DZ; Pi, YC; Chen, GJ; Zhang, JF; Tang, W; Lin, LW; Zhong, JW</t>
  </si>
  <si>
    <t>Li, Zhaoyang; Ma, Yuan; Zhang, Kaijun; Wan, Jun; Zhao, Dazhe; Pi, Yucong; Chen, Gangjin; Zhang, Jiangfeng; Tang, Wei; Lin, Liwei; Zhong, Junwen</t>
  </si>
  <si>
    <t>Air Permeable Vibrotactile Actuators for Wearable Wireless Haptics</t>
  </si>
  <si>
    <t>ADVANCED FUNCTIONAL MATERIALS</t>
  </si>
  <si>
    <t>Vibrotactile actuators can evoke mechanical stimulations on human skins to induce haptic feedbacks for various human machine interaction applications. However, efforts toward their practical usages encounter several engineering challenges, including wearable comfortability and output abilities. Here, air permeable actuators are developed and embedded in common fabrics for vibrotactile actuation, achieving excellent air permeability of 108 L m(-2) s(-1), low preload requirement of 10 mN, high output sensitivity of 0.2 mN/V, and good mechanical durability by surviving 11 million testing cycles. As demonstration examples, a wireless haptic feedback glove is shown to distinguish 32 different English characters and symbols with an overall accuracy of 97.8%, and large size actuators (10 x 10 cm(2)) are also proved for providing haptic feedback for parts of human body. As such, the proposed system opens a new class of wearable vibrotactile actuators for potential applications in wide fields of metaverse, teleoperation, smart textiles, and robotics.</t>
  </si>
  <si>
    <t>Li, Jiaxi/HTS-3430-2023; Li, Li/IAQ-0885-2023; Lin, L/HKO-8213-2023; l, j/HNC-5728-2023; Ma, Yuan/HNP-8074-2023; Li, Zhaoyang/AAP-6221-2020; Zhang, Jianfeng/HOA-6524-2023</t>
  </si>
  <si>
    <t>Li, Jiaxi/0000-0002-8197-8590; Ma, Yuan/0000-0002-4794-5496; Li, Zhaoyang/0000-0003-0637-5770; Zhang, Jianfeng/0000-0002-4382-8700; Zhang, Kaijun/0000-0002-9924-2928</t>
  </si>
  <si>
    <t>1616-301X</t>
  </si>
  <si>
    <t>1616-3028</t>
  </si>
  <si>
    <t>10.1002/adfm.202211146</t>
  </si>
  <si>
    <t>WOS:000893976100001</t>
  </si>
  <si>
    <t>Liu, Z; Yang, ZL; Liang, MJ; Liu, Y; Osmani, M; Demian, P</t>
  </si>
  <si>
    <t>Liu, Zhen; Yang, Zulan; Liang, Mingjie; Liu, Yi; Osmani, Mohamed; Demian, Peter</t>
  </si>
  <si>
    <t>A Conceptual Framework for Blockchain Enhanced Information Modeling for Healing and Therapeutic Design</t>
  </si>
  <si>
    <t>In the face of the health challenges caused by the COVID-19 pandemic, healing and therapeutic design (HTD) as interventions can help with improving people's health. It is considered to have great potential to promote health in the forms of art, architecture, landscape, space, and environment. However, there are insufficient design approaches to address the challenges during the HTD process. An increased number of studies have shown that emerging information modeling (IM) such as building information modeling (BIM), landscape information modeling (LIM), and city information modeling (CIM) coupled with blockchain (BC) functionalities have the potential to enhance designers' HTD by considering important design elements, namely design variables, design knowledge, and design decision. It can also address challenges during the design process, such as design changes, conflicts in design requirements, the lack of design evaluation tools and frameworks, and incomplete design information. Therefore, this paper aims to develop a conceptual BC enhanced IM for HTD (BC-HTD) framework that addresses the challenges in the HTD and promotes health and well-being. The structure of BC-HTD framework is twofold: (1) a conceptual high-level framework comprising three levels: user; system; and information, (2) a conceptual low-level framework of detailed content at the system level, which has been constructed using a mixed quantitative and qualitative method of literature analysis, and validated via a pre-interview questionnaire survey and follow-up interviews with industry experts and academics. This paper analyzes the process of BC enhanced HTD and the knowledge management of HTD to aid design decisions in managing design information. This paper is the first attempt to apply the advantages of BC enabled IM to enhance the HTD process. The results of this study can foster and propel new research pathways and knowledge on the value of design in the form of non-fungible token (NFT) based on the extended advantages of BC in the field of design, which can fully mobilize the healing and therapeutic behaviors of designers and the advantage potential of HTD to promote health, and realize the vision of Health Metaverse in the context of sustainable development.</t>
  </si>
  <si>
    <t>10.3390/ijerph19138218</t>
  </si>
  <si>
    <t>WOS:000824508000001</t>
  </si>
  <si>
    <t>Buchta, K; Wojcik, P; Nakonieczny, K; Janicka, J; Galuszka, D; Sterna, R; Igras-Cybulska, M</t>
  </si>
  <si>
    <t>Buchta, Karolina; Wojcik, Piotr; Nakonieczny, Konrad; Janicka, Justyna; Galuszka, Damian; Sterna, Radoslaw; Igras-Cybulska, Magdalena</t>
  </si>
  <si>
    <t>Microtransactions in VR. A qualitative comparison between voice user interface and graphical user interface</t>
  </si>
  <si>
    <t>2022 15TH INTERNATIONAL CONFERENCE ON HUMAN SYSTEM INTERACTION (HSI)</t>
  </si>
  <si>
    <t>Conference on Human System Interaction</t>
  </si>
  <si>
    <t>15th IEEE International Conference on Human System Interaction (HSI)</t>
  </si>
  <si>
    <t>JUL 28-31, 2022</t>
  </si>
  <si>
    <t>Trobe Univ, Melbourne, AUSTRALIA</t>
  </si>
  <si>
    <t>Trobe Univ, Ctr Data Analyt &amp; Cognit,IEEE,IEEE Ind Elect Soc</t>
  </si>
  <si>
    <t>Trobe Univ</t>
  </si>
  <si>
    <t>Monetization of some elements of the mechanics has been present for a while in the videogames industry, often as a part of the freemium model, where basic functionalities are free, and premium functionalities are paid. With the development of XR applications and Metaverse, VR has become the next medium where microtransactions can be applicable. At the same time, voice user interfaces are gaining an increasing number of users and some part of them frequently use them for shopping (e.g. using smart speakers like Alexa), while the others do not feel comfortable taking the purchasing decisions using voice. In the NUX project, we merge VR environment with a conversational voice user interface based on the natural language. In this study, we present the results of the comparison of the graphical and vocal forms of microtransactions, using a qualitative methodology (N=12).</t>
  </si>
  <si>
    <t>2158-2246</t>
  </si>
  <si>
    <t>978-1-6654-6822-0</t>
  </si>
  <si>
    <t>WOS:000861739100037</t>
  </si>
  <si>
    <t>Li, JJ; Qin, R; Wang, FY</t>
  </si>
  <si>
    <t>Li, Juanjuan; Qin, Rui; Wang, Fei-Yue</t>
  </si>
  <si>
    <t>The Future of Management: DAO to Smart Organizations and Intelligent Operations</t>
  </si>
  <si>
    <t>In the future, management in smart societies will revolve around knowledge workers and the works they produce. This article is committed to explore new management framework, model, paradigm, and solution for organizing, managing, and measuring knowledge works. First, the parallel management framework is presented that would allow for the virtual-real interactions of humans in social space, robots in physical space, and digital humans in cyberspace to realize descriptive, predictive, and prescriptive intelligence for management. Then, the management foundation models are proposed by fusing scenarios engineering with artificial intelligence foundation models and cyber-physical-social systems. Moreover, the new management paradigm driven by decentralized autonomous organizations and operations is formulated for the advancement of smart organizations and intelligent operations. On these basis, the management operating systems that highlight features of simple intelligence, provable security, flexible scalability, and ecological harmony are finally put forward as new management solution.</t>
  </si>
  <si>
    <t>10.1109/TSMC.2022.3226748</t>
  </si>
  <si>
    <t>WOS:000903340300001</t>
  </si>
  <si>
    <t>Zhang, SC; Xu, JT</t>
  </si>
  <si>
    <t>Zhang, Shichen; Xu, Jiangtao</t>
  </si>
  <si>
    <t>PDMS/Ag/Mxene/Polyurethane Conductive Yarn as a Highly Reliable and Stretchable Strain Sensor for Human Motion Monitoring</t>
  </si>
  <si>
    <t>POLYMERS</t>
  </si>
  <si>
    <t>The conductivity and sensing stability of yarn-based strain sensors are still challenges when it comes to practical applications. To address these challenges, surface engineering of polyurethane (PU) yarn was introduced to improve its surface hydrophilicity for better deposition of MXene nanosheets in its dispersion. The introduction of Ag nanoparticles via magnetron sputtering greatly improved the surface conductivity; meanwhile, the encapsulation of the PDMS protective layer effectively enhanced the sensing stability over 15,000 cycling process, as well as the working range with a gauge factor value over 700 under a strain range of 150-300%. Moreover, the exploration of its applications in human motion monitoring indicate that the prepared strain-sensing yarn shows great potential in detecting both tiny motions or large-scale movements of the human body, which will be suitable for further development into multifunctional smart wearable sensors or metaverse applications in the future.</t>
  </si>
  <si>
    <t>2073-4360</t>
  </si>
  <si>
    <t>10.3390/polym14245401</t>
  </si>
  <si>
    <t>WOS:000902730600001</t>
  </si>
  <si>
    <t>Jotz, M; Bachhuber, F; Steiner, S; Bilenberg, B; Bro, TH; ter Meulen, JM; Ercan, E; Simonen, J; Deveci, M</t>
  </si>
  <si>
    <t>Kress, BC; Peroz, C</t>
  </si>
  <si>
    <t>Jotz, Matthias; Bachhuber, Frederik; Steiner, Stefan; Bilenberg, Brian; Bro, Tobias Hedegaard; ter Meulen, Jan Matthijs; Ercan, Erhan; Simonen, Janne; Deveci, Murat</t>
  </si>
  <si>
    <t>The path towards mass manufacturing of optical waveguide combiners via large-area nanoimprinting</t>
  </si>
  <si>
    <t>OPTICAL ARCHITECTURES FOR DISPLAYS AND SENSING IN AUGMENTED, VIRTUAL, AND MIXED REALITY (AR, VR, MR) III</t>
  </si>
  <si>
    <t>Conference on Optical Architectures for Displays and Sensing in Augmented, Virtual, and Mixed Reality (AR, VR, MR) III</t>
  </si>
  <si>
    <t>JAN 23-25, 2022</t>
  </si>
  <si>
    <t>A promising path towards consumer electronics-ready manufacturing of optical waveguide combiners is via large-area nanoimprinting surface relief gratings on an array of high index glass substrates. Presently, this is realized through equipment and substrates based on wafer formats (up to 12-inch). In this work, we present a way to produce waveguides with surface relief gratings utilizing the entire value chain from design to mastering to replication on panel-level nanoimprint equipment using rectangular high refractive index (RI) glass substrates and high refractive index resins. This is demonstrated on a greater than Gen 3 panel size (550 mm x 650 mm). The fabricated waveguides are optically tested to validate the design and the value chain. We demonstrate that the quality of the large area imprints is similar to present wafer-level imprints. Thus, we introduce a new approach towards high volume and low-cost manufacturing of waveguides based on surface relief gratings.</t>
  </si>
  <si>
    <t>978-1-5106-4733-6; 978-1-5106-4732-9</t>
  </si>
  <si>
    <t>10.1117/12.2614310</t>
  </si>
  <si>
    <t>WOS:000812230600008</t>
  </si>
  <si>
    <t>Franco, AA; Loup-Escande, E; Loiseaux, G; Chotard, JN; Dominguez, DZ; Ciger, J; Leclere, A; Denisart, L; Lelong, R</t>
  </si>
  <si>
    <t>Franco, Alejandro A. A.; Loup-Escande, Emilie; Loiseaux, Goran; Chotard, Jean-Noel; Dominguez, Diana Zapata; Ciger, Jan; Leclere, Aubin; Denisart, Lucie; Lelong, Romain</t>
  </si>
  <si>
    <t>From Battery Manufacturing to Smart Grids: Towards a Metaverse for the Energy Sciences</t>
  </si>
  <si>
    <t>BATTERIES &amp; SUPERCAPS</t>
  </si>
  <si>
    <t>We present two digital-based educative games aiming to engage students and the general public with battery sciences. The first one is a multiscale simulator in Mixed Reality of a battery-powered Electric Vehicle (EV) interacting with an Electrical Grid. One of the players drives the EV in a Virtual Reality (VR) environment where the EV can be recharged, and the other players control the electricity produced, distributed, consumed and stored by interacting with 3D-printed devices. The second educative game is a digital twin of a lithium ion battery manufacturing pilot line, which can be played from an Internet Browser or by using VR hardware. The key steps of the manufacturing process of cylindrical cells are represented in an interactive way. In this concept, we reviewed the working principles of our games, their implications for motivation, engagement and learning, and why they pave the way towards new ways of collaborative R&amp;D in the battery field.</t>
  </si>
  <si>
    <t>Chotard, Jean-Noel/0000-0002-9867-7954; Zapata Dominguez, Diana/0000-0003-2210-5295; Franco, Alejandro A./0000-0001-7362-7849</t>
  </si>
  <si>
    <t>2566-6223</t>
  </si>
  <si>
    <t>e202200538</t>
  </si>
  <si>
    <t>10.1002/batt.202200538</t>
  </si>
  <si>
    <t>WOS:000900316800001</t>
  </si>
  <si>
    <t>Franco, AA; Loup-Escande, E; Loiseaux, G; Chotard, JN; Zapata-Dominguez, D; Ciger, J; Leclere, A; Denisart, L; Lelong, R</t>
  </si>
  <si>
    <t>Franco, Alejandro A.; Loup-Escande, Emilie; Loiseaux, Goran; Chotard, Jean-Noel; Zapata-Dominguez, Diana; Ciger, Jan; Leclere, Aubin; Denisart, Lucie; Lelong, Romain</t>
  </si>
  <si>
    <t>e202200369</t>
  </si>
  <si>
    <t>10.1002/batt.202200369</t>
  </si>
  <si>
    <t>WOS:000878321800001</t>
  </si>
  <si>
    <t>Kim, K; Park, S; Lee, J; Chung, S; Lee, J; Choo, J</t>
  </si>
  <si>
    <t>Avidan, S; Brostow, G; Cisse, M; Farinella, GM; Hassner, T</t>
  </si>
  <si>
    <t>Kim, Kangyeol; Park, Sunghyun; Lee, Jaeseong; Chung, Sunghyo; Lee, Junsoo; Choo, Jaegul</t>
  </si>
  <si>
    <t>AnimeCeleb: Large-Scale Animation CelebHeads Dataset for Head Reenactment</t>
  </si>
  <si>
    <t>COMPUTER VISION, ECCV 2022, PT VIII</t>
  </si>
  <si>
    <t>17th European Conference on Computer Vision (ECCV)</t>
  </si>
  <si>
    <t>Tel Aviv, ISRAEL</t>
  </si>
  <si>
    <t>We present a novel Animation CelebHeads dataset (AnimeCeleb) to address an animation head reenactment. Different from previous animation head datasets, we utilize a 3D animation models as the controllable image samplers, which can provide a large amount of head images with their corresponding detailed pose annotations. To facilitate a data creation process, we build a semi-automatic pipeline leveraging an open 3D computer graphics software with a developed annotation system. After training with the AnimeCeleb, recent head reenactment models produce high-quality animation head reenactment results, which are not achievable with existing datasets. Furthermore, motivated by metaverse application, we propose a novel pose mapping method and architecture to tackle a cross-domain head reenactment task. During inference, a user can easily transfer one's motion to an arbitrary animation head. Experiments demonstrate an usefulness of the AnimeCeleb to train animation head reenactment models, and the superiority of our crossdomain head reenactment model compared to state-of-the-art methods. Our dataset and code are available at this url.</t>
  </si>
  <si>
    <t>978-3-031-20073-1; 978-3-031-20074-8</t>
  </si>
  <si>
    <t>10.1007/978-3-031-20074-8_24</t>
  </si>
  <si>
    <t>WOS:000897111300024</t>
  </si>
  <si>
    <t>Scattolin, M; Panasiti, MS; Villa, R; Aglioti, SM</t>
  </si>
  <si>
    <t>Scattolin, Marina; Panasiti, Maria Serena; Villa, Riccardo; Aglioti, Salvatore Maria</t>
  </si>
  <si>
    <t>Reduced ownership over a virtual body modulates dishonesty</t>
  </si>
  <si>
    <t>ISCIENCE</t>
  </si>
  <si>
    <t>Although studies suggest that even higher-order functions can be embodied, whether body awareness may bias moral decisions toward (dis)honesty remains under investigated. Here, we tested if the Sense of body Ownership (SoO) and the magnitude of monetary rewards influence the tendency to act immorally. Through a virtual body, participants played a card game in which they could lie to others to steal high or low amounts of money. To manipulate SoO, the virtual body was seen and controlled from a first-person perspective, with hands attached or detached, or from a third-person perspective. In third-person perspective, SoO was significantly reduced and more egoistic lies were produced in high reward conditions. Thus, SoO reduction and high monetary reward facilitate dishonest behavior, likely by separating the self from the dishonest actions performed through the disowned body. Because most future interactions will likely occur in a digital metaverse, our results may have crucial societal impact.</t>
  </si>
  <si>
    <t>SCATTOLIN, Marina/0000-0002-3407-7001</t>
  </si>
  <si>
    <t>2589-0042</t>
  </si>
  <si>
    <t>MAY 20</t>
  </si>
  <si>
    <t>10.1016/j.isci.2022.104320</t>
  </si>
  <si>
    <t>WOS:000881481200002</t>
  </si>
  <si>
    <t>Xie, H; Li, T</t>
  </si>
  <si>
    <t>Xie, Hui; Li, Tong</t>
  </si>
  <si>
    <t>Revisiting Loss Recovery for High-Speed Transmission</t>
  </si>
  <si>
    <t>2022 IEEE WIRELESS COMMUNICATIONS AND NETWORKING CONFERENCE (WCNC)</t>
  </si>
  <si>
    <t>IEEE Wireless Communications and Networking Conference</t>
  </si>
  <si>
    <t>IEEE Wireless Communications and Networking Conference (IEEE WCNC)</t>
  </si>
  <si>
    <t>APR 10-13, 2022</t>
  </si>
  <si>
    <t>Austin, TX</t>
  </si>
  <si>
    <t>The emerging applications including cloud AR/VR gaming, ultra-high definition (UHD) streaming, Metaverse, etc. imply the demand for ultra-high bandwidth transmission in the wide area network (WAN). During the past four decades, a great number of high-speed TCP variants have been proposed to improved the throughput for WAN transmission. This paper conducts a measurement study on loss recovery for high-speed transmission, and exposes that receive buffer starvation is a result of capability mismatch between loss recovery and high-speed TCP advancements such as non-loss-based congestion control. To mitigate this mismatch problem, an opportunistic random redundant retransmission (OR3) algorithm, as well as its TCP implementation TCP-OR3, is proposed. OR3 accelerates loss recovery by minimizing the maximum retransmission times of each packet. Experiment results shows that TCP-OR3 alleviates receive buffer starvation and tackles the bottleneck of the legacy approaches such as parallel TCP in the case of high-speed transmission.</t>
  </si>
  <si>
    <t>1525-3511</t>
  </si>
  <si>
    <t>978-1-6654-4266-4</t>
  </si>
  <si>
    <t>10.1109/WCNC51071.2022.9771838</t>
  </si>
  <si>
    <t>WOS:000819473100335</t>
  </si>
  <si>
    <t>Bai, YR; Lei, H; Li, SZ; Gao, HY; Li, J; Li, LX</t>
  </si>
  <si>
    <t>Bai, Yirui; Lei, Hong; Li, Suozai; Gao, Haoyu; Li, Jun; Li, Leixiao</t>
  </si>
  <si>
    <t>Decentralized and Self-Sovereign Identity in the Era of Blockchain: A Survey</t>
  </si>
  <si>
    <t>With the emergence of concepts such as Metaverse and Web 3.0, digital identity plays a very important role as one of its infrastructures. The traditional digital identity model is no longer suitable for the requirements of the digital economy to some extent at this stage. The traditional centralized identity management system has many drawbacks. For example, the owner of the digital identity does not actually control his own identity, and there is a risk of easy disclosure and theft of identity information. Blockchain technology has the characteristics of decentralization, tamper-proof, traceability, etc., which can effectively solve the problems of centralized digital identity. After analyzing and summarizing the evolution trend of digital identity from centralization to decentralization, this paper focuses on the Self-Sovereign Identity (SSI) based on blockchain. Based on the analysis and comparison of various SSI implementation schemes, the development difficulties of blockchain digital identity are summarized and the future development direction is pointed out.</t>
  </si>
  <si>
    <t>10.1109/Blockchain55522.2022.00077</t>
  </si>
  <si>
    <t>WOS:000865770500066</t>
  </si>
  <si>
    <t>Wang, JK; Lin, LL; Gao, S; Zhang, ZW</t>
  </si>
  <si>
    <t>Wang, Junkai; Lin, Lianlei; Gao, Sheng; Zhang, Zongwei</t>
  </si>
  <si>
    <t>Deep generation network for multivariate spatio-temporal data based on separated attention</t>
  </si>
  <si>
    <t>INFORMATION SCIENCES</t>
  </si>
  <si>
    <t>The multivariate spatio-temporal data contains complex spatio-temporal background and channel coupling information. Effective extraction of these features is crucial for data generation. In this paper, a separated multiple attention network is proposed, which can capture the correlation of multiple types of variables in the same space-time, different spaces at the same time, and different times in the same space. Meanwhile, a new multiscale loss processing method based on homoscedasticity uncertainty and the assumption of gaussian loss distribution is proposed to balance the numerical scale of each channel loss in training. The experiment shows that our method has better performance and robustness than the classical machine learning model and higher computational efficiency than the physical model. It can generate multivariate intermittent spatial-temporal fields with a maximum lead time of 3 days and multivariate continuous spatial-temporal fields with a maximum lead time of 7 days.</t>
  </si>
  <si>
    <t>0020-0255</t>
  </si>
  <si>
    <t>1872-6291</t>
  </si>
  <si>
    <t>10.1016/j.ins.2023.03.062</t>
  </si>
  <si>
    <t>WOS:000974311800001</t>
  </si>
  <si>
    <t>Sun, DY; Wang, HD; Xiong, J</t>
  </si>
  <si>
    <t>Sun, Daoyin; Wang, Haodong; Xiong, Jie</t>
  </si>
  <si>
    <t>Would You Like to Listen to My Music, My Friend? An Experiment on AI Musicians</t>
  </si>
  <si>
    <t>The rapid development of AI-related technologies and the upsurge of Metaverse are driving AI musicians into people's lives. To clarify the link between anthropomorphism, users' perceptions, and attitudes, and to explore the impact of listening type (listening to AI-generated music or not) on the relationship between anthropomorphism and users' perceptions, we conducted a 2 x 2 experiment based on the two basic dimensions of social cognition. A total of 211 valid samples were collected and the partial least squares (PLS) method was used for data analysis to test the research model and hypotheses. The results show that more human-like AI musicians elicit higher users' competence perceptions, which are crucial facilitators of users' attitudes towards AI musicians; higher warmth perceptions help users form better attitudes towards AI musicians; listening to AI-generated music or not moderates the impact of anthropomorphism degree on users' competence perceptions. This study promotes the understanding of the impact of AI musicians' anthropomorphism and guides the design of AI musicians' images to some extent.</t>
  </si>
  <si>
    <t>Xiong, Jie/0000-0001-9020-2375</t>
  </si>
  <si>
    <t>10.1080/10447318.2023.2181872</t>
  </si>
  <si>
    <t>WOS:000939545000001</t>
  </si>
  <si>
    <t>Jiang, WC; Li, F; Mei, LY; Liu, RF; Wang, S</t>
  </si>
  <si>
    <t>Jiang, Wenchao; Li, Feng; Mei, Luoyu; Liu, Ruofeng; Wang, Shuai</t>
  </si>
  <si>
    <t>VisBLE: Vision-Enhanced BLE Device Tracking</t>
  </si>
  <si>
    <t>2022 19TH ANNUAL IEEE INTERNATIONAL CONFERENCE ON SENSING, COMMUNICATION, AND NETWORKING (SECON)</t>
  </si>
  <si>
    <t>IEEE International Conference on Sensing Communication and Networking</t>
  </si>
  <si>
    <t>19th Annual IEEE International Conference on Sensing, Communication, and Networking (IEEE SECON)</t>
  </si>
  <si>
    <t>SEP 20-23, 2022</t>
  </si>
  <si>
    <t>IoT devices have evolved from providing remote connection to being an essential component of the Metaverse. The integration of IoT and vision technologies has been incubating emerging applications such as vision-enhanced device tracking and remote education/medicine/maintenance. Despite the exciting vision, practical challenges include coordinate transformation, angle estimation, target mapping, and personal error. Instead of proposing yet-another localization approach, we propose a novel vision-enhanced device tracking system, called VisBLE. VisBLE takes advantage of the new localization capability introduced in BLE 5.1 and advances in vision technologies for high accuracy, robust, and intuitive BLE device tracking. There are two novel technical mechanisms: i) a rotation-based wireless localization mechanism that accurately and robustly locates the BLE transmitter in the camera coordinate and ii) a homography-based matching mechanism that identifies target BLE devices with high accuracy on the camera screen. We prototype VisBLE and deploy it on the smartphone (i.e., Nexus 5X) and development board (i.e., CC26X2 + BOOSTXL-AOA). Our results show that VisBLE outperforms the state of the art in both angular accuracy and position accuracy.</t>
  </si>
  <si>
    <t>liu, ruofeng/0000-0001-9804-3727</t>
  </si>
  <si>
    <t>2473-0440</t>
  </si>
  <si>
    <t>978-1-6654-8643-9</t>
  </si>
  <si>
    <t>10.1109/SECON55815.2022.9918581</t>
  </si>
  <si>
    <t>WOS:000886534600025</t>
  </si>
  <si>
    <t>Zhou, ZJ; Li, P; Man, ZM; Zhu, XL; Ye, SY; Lu, WY; Wu, G; Chen, WX</t>
  </si>
  <si>
    <t>Zhou, Zhenjie; Li, Peng; Man, Zengming; Zhu, Xiaolin; Ye, Siyuan; Lu, Wangyang; Wu, Guan; Chen, Wenxing</t>
  </si>
  <si>
    <t>Multiscale Dot-Wire-Sheet Heterostructured Nitrogen-Doped Carbon Dots-Ti3C2Tx/Silk Nanofibers for High-Performance Fiber-Shaped Supercapacitors</t>
  </si>
  <si>
    <t>ANGEWANDTE CHEMIE-INTERNATIONAL EDITION</t>
  </si>
  <si>
    <t>Fiber-shaped supercapacitors (FSCs) have become one of the significantly strategical flexible energy-storage materials towards future wearable textile electronics and metaverse technologies. Here, we develop the high-performance FSCs based on multiscale dot-wire-sheet heterostructure microfiber of nitrogen-doped carbon dots-Ti3C2Tx/silk nanofibers (NCDs-Ti3C2Tx/SNFs) hybrids via microfluidic fabrication. Due to the enlarged interlayer spacing, plentiful porous channels, accelerated H+ ion transport dynamics, large electrical conductivity and excellent mechanical strength/flexibility, the NCDs-Ti3C2Tx/SNFs possesses high volumetric capacitance (2218.7 F cm(-3)) and reversible charge-discharge stability in 1 M H2SO4 electrolyte. Furthermore, the solid-state FSCs present high energy density (57.9 mWh cm(-3)), good capacitance (1157 F cm(-3)), long-life cycles (82.3 % capacitance retention after 40000 cycles), which realize the actual energy-supply applications (powering lamp, watch and toy car).</t>
  </si>
  <si>
    <t>Wu, Guan/P-1874-2015</t>
  </si>
  <si>
    <t>Wu, Guan/0000-0002-0025-812X</t>
  </si>
  <si>
    <t>1433-7851</t>
  </si>
  <si>
    <t>1521-3773</t>
  </si>
  <si>
    <t>10.1002/anie.202301618</t>
  </si>
  <si>
    <t>WOS:000969519300001</t>
  </si>
  <si>
    <t>Eckhoff, D; Ng, R; Cassinelli, A</t>
  </si>
  <si>
    <t>Eckhoff, Daniel; Ng, Royce; Cassinelli, Alvaro</t>
  </si>
  <si>
    <t>Virtual Reality Therapy for the Psychological Well-being of Palliative Care Patients in Hong Kong</t>
  </si>
  <si>
    <t>In this paper we introduce novel Virtual Reality (VR) and Augmented Reality (AR) treatments to improve the psychological well being of patients in palliative care, based on interviews with a clinical psychologist who has successfully implemented VR assisted interventions on palliative care patients in the Hong Kong hospital system. Our VR and AR assisted interventions are adaptations of traditional palliative care therapies which simultaneously facilitate patients communication with family and friends while isolated in hospital due to physical weakness and COVID-19 related restrictions. The first system we propose is a networked, metaverse platform for palliative care patients to create customized virtual environments with therapists, family and friends which function as immersive and collaborative versions of 'life review' and 'reminiscence therapy'. The second proposed system will investigate the use of Mixed Reality telepresence and haptic touch in an AR environment, which will allow palliative care patients to physically feel friends and family in a virtual space, adding to the sense of presence and immersion in that environment.</t>
  </si>
  <si>
    <t>CASSINELLI, ALVARO/0000-0002-1671-1777</t>
  </si>
  <si>
    <t>10.1109/ISMAR-Adjunct57072.2022.00010</t>
  </si>
  <si>
    <t>WOS:000918030200001</t>
  </si>
  <si>
    <t>Chandramouli, D; Andres-Maldonado, P; Kolding, T</t>
  </si>
  <si>
    <t>Chandramouli, Devaki; Andres-Maldonado, Pilar; Kolding, Troels</t>
  </si>
  <si>
    <t>Evolution of Timing Services From 5G-A Toward 6G</t>
  </si>
  <si>
    <t>5G-Advanced and 6G networks will serve as critical infrastructure for society and will enable a new generation of immersive use cases, such as the metaverse, wherever people roam. Absolute time is an essential component to ensure critical use cases, synchronize media playout, and timestamp events to be used in machine learned contexts. Until now, timing on the go has mainly been acquired by satellite, e.g., Global Navigation Satellite System (GNSS), but a terrestrial timing solution using cellular networks is required to extend coverage to deep indoors and to offer resilient operation in GNSS-denied environments (e.g., due to GNSS signal interference, jamming and spoofing). In this paper, we detail the use cases for timing to be provisioned by 5G-Advanced and 6G networks. Then, we discuss the architectural enablers for timing as a service in current 5G and 5G-Advanced standard and timing resiliency enablers under discussion in the 3rd Generation Partnership Project (3GPP). Finally, we discuss the gaps and research challenges to be solved in 6G for future-proof timing solutions.</t>
  </si>
  <si>
    <t>Kolding, Troels/0000-0003-2339-7947</t>
  </si>
  <si>
    <t>10.1109/ACCESS.2023.3265213</t>
  </si>
  <si>
    <t>WOS:000973497600001</t>
  </si>
  <si>
    <t>Dai, WY</t>
  </si>
  <si>
    <t>Dai, Wanyang</t>
  </si>
  <si>
    <t>Optimal policy computing for blockchain based smart contracts via federated learning</t>
  </si>
  <si>
    <t>OPERATIONAL RESEARCH</t>
  </si>
  <si>
    <t>In this paper, we develop a blockchain based decision-making system via federated learning along with an evolving convolution neural net, which can be applied to assemble-to-order services and Metaverses. The design and analysis of an optimal policy computing algorithm for smart contracts within the blockchain will be the focus. Inside the system, each order associated with a demand may simultaneously require multiple service items from different suppliers and the corresponding arrival rate may depend on blockchain history data represented by a long-range dependent stochastic process. The optimality of the computed dynamic policy on maximizing the expected infinite-horizon discounted profit is proved concerning both demand and supply rate controls with dynamic pricing and sequential packaging scheduling in an integrated fashion. Our policy is a pathwise oriented one and can be easily implemented online. The effectiveness of our optimal policy is supported by simulation comparisons.</t>
  </si>
  <si>
    <t>1109-2858</t>
  </si>
  <si>
    <t>1866-1505</t>
  </si>
  <si>
    <t>10.1007/s12351-022-00723-z</t>
  </si>
  <si>
    <t>WOS:000821363800001</t>
  </si>
  <si>
    <t>Jing, Q; Chen, Y; Lin, H</t>
  </si>
  <si>
    <t>Jing, Qi; Chen, Yuting; Lin, Hui</t>
  </si>
  <si>
    <t>FRAMEWORK OF TWIN VIRTUAL GEOGRAPHIC ENVIRONMENT</t>
  </si>
  <si>
    <t>2022 IEEE INTERNATIONAL GEOSCIENCE AND REMOTE SENSING SYMPOSIUM (IGARSS 2022)</t>
  </si>
  <si>
    <t>IEEE International Symposium on Geoscience and Remote Sensing IGARSS</t>
  </si>
  <si>
    <t>IEEE International Geoscience and Remote Sensing Symposium (IGARSS)</t>
  </si>
  <si>
    <t>JUL 17-22, 2022</t>
  </si>
  <si>
    <t>Kuala Lumpur, MALAYSIA</t>
  </si>
  <si>
    <t>Virtual geographic environment (VGE) has experienced a more than 20-year development, which evolved from an idea to an independent geographic research field. The theoretical system of VGE has gone through a leap from theory to practice, from simple application to a large-scale engineering project. Now it has become an essential tool for studying geographic issues and is going towards geographic cognition. With the development of big data, VR technology, 5G technology, artificial intelligence technology, digital twin technology and metaverse, VGE as a platform for geographic scientific research is becoming more and more powerful. Still, the present VGE cannot reach the real-time and simulation requirements. To maintain the advancement of the theory of virtual geographic environment in the age of ever-changing technology, a new framework of twin virtual geographic environment (TVGE) has been proposed to support the sustainable development of the VGE theoretical system. In this context, we elaborate the TVGE framework, including definition, reasoning, characteristics, version management, and geographic cognition, which updates the VGE theory with the emerging technologies and lays the foundation for the VGE platform implementations.</t>
  </si>
  <si>
    <t>2153-6996</t>
  </si>
  <si>
    <t>978-1-6654-2792-0</t>
  </si>
  <si>
    <t>10.1109/IGARSS46834.2022.9883928</t>
  </si>
  <si>
    <t>WOS:000920916600072</t>
  </si>
  <si>
    <t>Hernandez, Q; Badias, A; Chinesta, F; Cueto, E</t>
  </si>
  <si>
    <t>Hernandez, Quercus; Badias, Alberto; Chinesta, Francisco; Cueto, Elias</t>
  </si>
  <si>
    <t>Thermodynamics-informed neural networks for physically realistic mixed reality</t>
  </si>
  <si>
    <t>COMPUTER METHODS IN APPLIED MECHANICS AND ENGINEERING</t>
  </si>
  <si>
    <t>The imminent impact of immersive technologies in society urges for active research in real-time and interactive physics simulation for virtual worlds to be realistic. In this context, realistic means to be compliant to the laws of physics. In this paper we present a method for computing the dynamic response of (possibly non-linear and dissipative) deformable objects induced by real-time user interactions in mixed reality using deep learning. The graph-based architecture of the method ensures the thermodynamic consistency of the predictions, whereas the visualization pipeline allows a natural and realistic user experience. Two examples of virtual solids interacting with virtual or physical solids in mixed reality scenarios are provided to prove the performance of the method. (c) 2023 The Author(s). Published by Elsevier B.V. This is an open access article under the CC BY-NC-ND license (http://creativecommons.org/licenses/by-nc-nd/4.0/).</t>
  </si>
  <si>
    <t>Cueto, Elias/A-2452-2010</t>
  </si>
  <si>
    <t>Cueto, Elias/0000-0003-1017-4381; Hernandez, Quercus/0000-0003-2571-4889</t>
  </si>
  <si>
    <t>0045-7825</t>
  </si>
  <si>
    <t>1879-2138</t>
  </si>
  <si>
    <t>MAR 15</t>
  </si>
  <si>
    <t>10.1016/j.cma.2023.115912</t>
  </si>
  <si>
    <t>WOS:000944697500001</t>
  </si>
  <si>
    <t>Oberhauser, R; Baehre, M; Sousa, P</t>
  </si>
  <si>
    <t>Shishkov, B</t>
  </si>
  <si>
    <t>Oberhauser, Roy; Baehre, Marie; Sousa, Pedro</t>
  </si>
  <si>
    <t>VR-EA plus TCK: Visualizing Enterprise Architecture, Content, and Knowledge in Virtual Reality</t>
  </si>
  <si>
    <t>BUSINESS MODELING AND SOFTWARE DESIGN, BMSD 2022</t>
  </si>
  <si>
    <t>Lecture Notes in Business Information Processing</t>
  </si>
  <si>
    <t>12th International Symposium on Business Modeling and Software Design (BMSD)</t>
  </si>
  <si>
    <t>JUN 27-29, 2022</t>
  </si>
  <si>
    <t>Fribourg, SWITZERLAND</t>
  </si>
  <si>
    <t>Interdisciplinary Inst Collaborat &amp; Res Enterprise Syst &amp; Technol,Univ Fribourg,BPM D</t>
  </si>
  <si>
    <t>A complex and dynamic IT landscape with evermore digital elements, relations, and content presents a challenge for Enterprise Architecture (EA). Disparate digital repositories, including Knowledge Management Systems (KMS), Enterprise Content Management Systems (ECMS), and Enterprise Architecture Tools (EAT), often remain disjointed. And even if integrated, insights remain hindered by current visualization limitations, making it increasingly difficult to analyze, manage, and gain insights into the digital enterprise reality. This paper contributes our nexus-based Virtual Reality (VR) solution concept VR-EA+TCK that enhances and amalgamates EAT with KMS and ECMS capabilities. By enabling visualization, navigation, and interaction in VR with dynamically-generated EA diagrams, knowledge/value chains, and KMS/ECMS digital entities, it sets the groundwork for stakeholder-accessible grassroots enterprise modeling/analysis and future collaboration in a metaverse. An implementation shows its feasibility, while a case study demonstrates its potential using enterprise analysis scenarios: ECMS/KMS coverage in the EA, business processes, knowledge chains, Wardley Maps, and risk analysis.</t>
  </si>
  <si>
    <t>1865-1348</t>
  </si>
  <si>
    <t>1865-1356</t>
  </si>
  <si>
    <t>978-3-031-11510-3; 978-3-031-11509-7</t>
  </si>
  <si>
    <t>10.1007/978-3-031-11510-3_8</t>
  </si>
  <si>
    <t>WOS:000874734500008</t>
  </si>
  <si>
    <t>Xia, X; Pan, YW</t>
  </si>
  <si>
    <t>Xia, Xun; Pan, Younghwan</t>
  </si>
  <si>
    <t>Interactive Relationships in the Future of Virtual Reality</t>
  </si>
  <si>
    <t>This paper focuses on revealing the virtual nature of digital space and exploring the design of virtual space in digital scene by explaining the interactive relations in the future virtual reality. Digital form comes from the reality of information transformation, this kind of combined with technology and equipment of the new media will no doubt create a virtual space. The subject (audience) at the same time can satisfy different geographic space by equipment, with the help of the network can share the virtual space. By means of this virtual space perception, by means of access to information. It is different from physical space or personal spiritual space. Virtual space is a metaphorical space that connects people in different geographical locations but at the same time with the help of the Internet. This future virtual space is called meta-universe. At present, the design of virtual space in digital scenes cannot be completely divorced from offline physical reality. More immersive experience comes from the actual experience of virtual images in AR augmented reality. In different interactive relationships, virtual space brings different experiences to subject (audience).</t>
  </si>
  <si>
    <t>10.1007/978-3-031-21707-4_17</t>
  </si>
  <si>
    <t>WOS:000906729200017</t>
  </si>
  <si>
    <t>Rusek, K; Almasan, P; Suarez-Varela, J; Cholda, P; Barlet-Ros, P; Cabellos-Aparicio, A</t>
  </si>
  <si>
    <t>Charalambides, M; Papadimitriou, P; Cerroni, W; Kanhere, S; Mamatas, L</t>
  </si>
  <si>
    <t>Rusek, Krzysztof; Almasan, Paul; Suarez-Varela, Jose; Cholda, Piotr; Barlet-Ros, Pere; Cabellos-Aparicio, Albert</t>
  </si>
  <si>
    <t>Fast Traffic Engineering by Gradient Descent with Learned Differentiable Routing</t>
  </si>
  <si>
    <t>2022 18TH INTERNATIONAL CONFERENCE ON NETWORK AND SERVICE MANAGEMENT (CNSM 2022): INTELLIGENT MANAGEMENT OF DISRUPTIVE NETWORK TECHNOLOGIES AND SERVICES</t>
  </si>
  <si>
    <t>International Conference on Network and Service Management</t>
  </si>
  <si>
    <t>18th International Conference on Network and Service Management (CNSM) - Intelligent Management of Disruptive Network Technologies and Services</t>
  </si>
  <si>
    <t>OCT 31-NOV 04, 2022</t>
  </si>
  <si>
    <t>Thessaloniki, GREECE</t>
  </si>
  <si>
    <t>IEEE,IFIP,ACM In Cooperat,IEEE Commun Soc,IFIP Working Grp 6 6,ACM SIGCOMM,Intracom Telecom,Futurewei Technologies,Wings ICT Solut,Independent Power Transmiss Operator</t>
  </si>
  <si>
    <t>Emerging applications such as the metaverse, telesurgery or cloud computing require increasingly complex operational demands on networks (e.g., ultra-reliable low latency). Likewise, the ever-faster traffic dynamics will demand network control mechanisms that can operate at short timescales (e.g., sub-minute). In this context, Traffic Engineering (TE) is a key component to efficiently control network traffic according to some performance goals (e.g., minimize network congestion). This paper presents Routing By Backprop (RBB), a novel TE method based on Graph Neural Networks (GNN) and differentiable programming. Thanks to its internal GNN model, RBB builds an end-to-end differentiable function of the target TE problem (MinMaxLoad). This enables fast TE optimization via gradient descent. In our evaluation, we show the potential of RBB to optimize OSPF-based routing (similar to 25% of improvement with respect to default OSPF configurations). Moreover, we test the potential of RBB as an initializer of computationally-intensive TE solvers. The experimental results show promising prospects for accelerating this type of solvers and achieving efficient online TE optimization.</t>
  </si>
  <si>
    <t>Suárez-Varela, José/AAA-5418-2019; Cholda, Piotr/C-3243-2011</t>
  </si>
  <si>
    <t>Suárez-Varela, José/0000-0002-7141-3414; Cholda, Piotr/0000-0003-2018-4057</t>
  </si>
  <si>
    <t>2165-9605</t>
  </si>
  <si>
    <t>978-3-903176-51-5</t>
  </si>
  <si>
    <t>WOS:000903721000056</t>
  </si>
  <si>
    <t>Chang, LS; Kuo, HC; Suen, JJB; Yang, PH; Hou, CP; Sun, HR; Lee, ZM; Huang, YH</t>
  </si>
  <si>
    <t>Chang, Ling-Sai; Kuo, Ho-Chang; Suen, Jason Jyh-Bin; Yang, Pei-Hsin; Hou, Chiu-Ping; Sun, Hui-Ru; Lee, Zon-Min; Huang, Ying-Hsien</t>
  </si>
  <si>
    <t>Multimedia Mixed Reality Interactive Shared Decision-Making Game in Children with Moderate to Severe Atopic Dermatitis, a Pilot Study</t>
  </si>
  <si>
    <t>CHILDREN-BASEL</t>
  </si>
  <si>
    <t>(1) Objective: Atopic dermatitis (AD) is a recurring skin disease that affects children's daily activities and sleep quality. Due to the limitations of children's understanding and ability to express themselves, shared decision making (SDM) is often made by guardians, which thus affects the acceptance and effectiveness of children's treatments. Previous studies have demonstrated that involving both children and parents in decision making may help improve treatment outcomes; thus, we designed a multimedia mixed reality (MR) interactive game of SDM for children with moderate to severe AD. (2) Methods: Research participants included 6-18-year-old patients with moderate to severe AD. This research consisted of the following steps: designing SDM; character setting and visual design; performing games; system modification and optimization; screen editing and dubbing; and user testing and questionnaires by the System Usability Scale (SUS). (3) Results: We completed the SDM design for children with moderate to severe AD. Four different treatments were biologics, oral immune-modulating drugs, phototherapy, and wet wrap. An animated PowerPoint slide showed the AD apple rolling around before treatments and the AD apple sleeping soundly after treatments. Instructions with video teaching for the four different treatments were played, and then, the MR was turned on so that the patients could help the AD apple in the metaverse to undergo these four treatments. A total of 12 moderate to severe AD patients and six control patients used the game, all aged between six and eighteen years old, with an average SUS score of 81.0 and a standard error of 2.1 points. Adjective ratings yielded a rating between good and excellent. The game showed acceptable usability. We found no statistically significant differences in SUS scores between patients with and without moderate to severe AD or between boys and girls nor significant associations between SUS and age or severity. The analysis identified that the two items with the lowest SUS scores were I think that I would need the support of a technical person to be able to use this product and I needed to learn a lot of things before I could get going with this product. Both of these comments show the limitations of this game. (4) Conclusions: Overall, this study provides the first MR SDM game that has passed the SUS and can be used as an aid in clinical SDM.</t>
  </si>
  <si>
    <t>2227-9067</t>
  </si>
  <si>
    <t>10.3390/children10030574</t>
  </si>
  <si>
    <t>WOS:000956729900001</t>
  </si>
  <si>
    <t>Xu, LQ; Zhang, ZB</t>
  </si>
  <si>
    <t>Duh, H; Williams, I; Grubert, J; Jones, JA; Zheng, J</t>
  </si>
  <si>
    <t>Xu, Leiqing; Zhang, Zhubai (Mutsing)</t>
  </si>
  <si>
    <t>Effects of User Construction Behavior on User Experience in a Virtual Indoor Environment</t>
  </si>
  <si>
    <t>2022 IEEE INTERNATIONAL SYMPOSIUM ON MIXED AND AUGMENTED REALITY (ISMAR 2022)</t>
  </si>
  <si>
    <t>International Symposium on Mixed and Augmented Reality</t>
  </si>
  <si>
    <t>The metaverse elicits an extensive range of user curiosity by attractive virtual indoor environments, in which users can solve different tasks and conduct enormous collaborations. However, limited interaction methods are slowing down this development process, and the understanding of how such methods impact user experience is limited. To address this problem, we conducted a lab experiment with 150 valid participants to analyze the effect of user construction behavior on user satisfaction, perceived performance, and recommendation intention. By using the PROCESS 3.3 model, the results show that a higher level of participation facilitates satisfaction, which is a complete mediator that has a significant positive effect on perceived performance. Additionally, recommendation intention is positively affected by both satisfaction and perceived performance. Demographic factors could also generate significant impacts on user experience. We discuss the theoretical explanations, as well as design implications. Taken together, this study represents the first inquiry into the relationship between user construction behavior and user experience, thereby laying the groundwork for future interaction methods.</t>
  </si>
  <si>
    <t>1554-7868</t>
  </si>
  <si>
    <t>978-1-6654-5325-7</t>
  </si>
  <si>
    <t>10.1109/ISMAR55827.2022.00073</t>
  </si>
  <si>
    <t>WOS:000923767800061</t>
  </si>
  <si>
    <t>Mathur, M; Brozovich, JM; Rausch, MK</t>
  </si>
  <si>
    <t>Mathur, Mrudang; Brozovich, Josef M.; Rausch, Manuel K.</t>
  </si>
  <si>
    <t>A brief note on building augmented reality models for scientific visualization</t>
  </si>
  <si>
    <t>FINITE ELEMENTS IN ANALYSIS AND DESIGN</t>
  </si>
  <si>
    <t>Augmented reality (AR) has revolutionized the video game industry by providing interactive, three-dimensional visualization. Interestingly, AR technology has only been sparsely used in scientific visualization. This is, at least in part, due to the significant technical challenges previously associated with creating and accessing such models. To ease access to AR for the scientific community, we introduce a novel visualization pipeline with which they can create and render AR models. We demonstrate our pipeline by means of finite element results, but note that our pipeline is generally applicable to data that may be represented through meshed surfaces. Specifically, we use two open-source software packages, ParaView and Blender. The models are then rendered through the platform, which we access through Android and iOS smartphones. To demonstrate our pipeline, we build AR models from static and time-series results of finite element simulations discretized with continuum, shell, and beam elements. Moreover, we openly provide python scripts to automate this process. Thus, others may use our framework to create and render AR models for their own research and teaching activities.</t>
  </si>
  <si>
    <t>0168-874X</t>
  </si>
  <si>
    <t>1872-6925</t>
  </si>
  <si>
    <t>10.1016/j.finel.2022.103851</t>
  </si>
  <si>
    <t>WOS:000878324600001</t>
  </si>
  <si>
    <t>Guo, ZX; Xie, Q; Liu, S; Xie, XY</t>
  </si>
  <si>
    <t>Guo, Zixuan; Xie, Qing; Liu, Song; Xie, Xiaoyao</t>
  </si>
  <si>
    <t>Rotation Estimation Based on Serial Network and Application in Cave Buddha Statues</t>
  </si>
  <si>
    <t>WIRELESS COMMUNICATIONS &amp; MOBILE COMPUTING</t>
  </si>
  <si>
    <t>Rotation estimation is one of the crucial elements of pose estimation. Accurate pose estimation facilitates the observation of objects in the metaverse and is also the most fundamental part of automated archaeological mapping. Many studies have been conducted on 6D pose estimation, but no systematic study has only been conducted on 3D rotation estimation. We systematically study the rotation estimation problem for 3D point cloud models. Firstly, we discuss the representation of rotation and how it affects the training of the neural network. After that, the dataset is created. A new method of generating labels is also proposed, in which two points are used as labels, with the two points being able to recover the initial orientation. Finally, a new serial network is proposed, which can be used to improve the performance of rotational estimation systems. The research described in this paper has been successfully applied to the restoration of the Huangze Temple Grotto Buddha statue in Guangyuan, Sichuan Province, providing a reliable scheme for solving the rotation estimation problem with faster convergence and higher accuracy.</t>
  </si>
  <si>
    <t>1530-8669</t>
  </si>
  <si>
    <t>1530-8677</t>
  </si>
  <si>
    <t>OCT 26</t>
  </si>
  <si>
    <t>10.1155/2022/9477008</t>
  </si>
  <si>
    <t>WOS:000880426600002</t>
  </si>
  <si>
    <t>Wu, CH; Liu, CY</t>
  </si>
  <si>
    <t>Wu, Chih-Hung; Liu, Chien-Yu</t>
  </si>
  <si>
    <t>Educational Applications of Non-Fungible Token (NFT)</t>
  </si>
  <si>
    <t>With the emergence of non-fungible tokens (NFTs) in blockchain technology, educational institutions have been able to use NFTs to reward students. This is done by automatically processing transaction information and the buying and selling process using smart contract technology. The technology enables the establishment of recognition levels and incentivizes students to receive NFT recognition rewards. According to the Taxonomy Learning Pyramid, learning through hands-on experiences plays a crucial role in attracting students' interest. In this study, we analyzed the potential for using NFTs in education and the current applications of NFTs in society. We conducted a case study and performed a preliminary investigation of the types of NFT applications in the education industry. We then analyzed different education industries using individual analysis combined with SWOT analysis to understand the impact, value, and challenges of NFT applications. The results revealed 10 educational applications of NFT: textbooks; micro-certificates; transcripts and records; scholarships and rights; master classes and content creation; learning experiences; registration and data collection; patents, innovation, and research; art; payment; and deposit. Finally, ways to reduce the negative impact of education NFTs on the sustainable environment are discussed.</t>
  </si>
  <si>
    <t>Wu, Chih-Hung/0000-0003-3804-0852</t>
  </si>
  <si>
    <t>10.3390/su15010007</t>
  </si>
  <si>
    <t>WOS:000908872100001</t>
  </si>
  <si>
    <t>Franco, PAC; de la Plata, ARM; Bernal, EG</t>
  </si>
  <si>
    <t>Cruz Franco, Pablo Alejandro; Marquez de la Plata, Adela Rueda; Gomez Bernal, Elena</t>
  </si>
  <si>
    <t>Protocols for the Graphic and Constructive Diffusion of Digital Twins of the Architectural Heritage That Guarantee Universal Accessibility through AR and VR</t>
  </si>
  <si>
    <t>The objective of this article is to generate and validate a workflow that allows us to use virtual twins obtained from unique buildings of our architectural heritage. These twins will guarantee the preservation and dissemination of cultural assets and will promote universal accessibility through new technologies, such as databases, metaverses, virtual reality, augmented reality or gamification. This universal accessibility is based on new metaverses to offer experiences that allow us to overcome physical barriers and reach any user regardless of their economic or physical condition or their location. To obtain this workflow, we worked with digital twins obtained by photogrammetry. Different databases and metaverses were studied, understanding them as new systems for the representation and dissemination of architecture. These metaverses were critically assessed and screened, looking for the most suitable one to be integrated into an effective workflow that satisfies a series of imposed premises, such as being suitable for use in virtual reality and augmented reality environments. The ultimate goal is the aforementioned universal accessibility.</t>
  </si>
  <si>
    <t>; Cruz Franco, Pablo Alejandro/B-5008-2017</t>
  </si>
  <si>
    <t>Gomez Bernal, Elena/0000-0001-7296-7526; Rueda Marquez de la Plata, Adela/0000-0002-9906-0227; Cruz Franco, Pablo Alejandro/0000-0003-2648-7024</t>
  </si>
  <si>
    <t>10.3390/app12178785</t>
  </si>
  <si>
    <t>WOS:000850976200001</t>
  </si>
  <si>
    <t>VVC Subpicture-Based Frame Packing for MPEG Immersive Video</t>
  </si>
  <si>
    <t>The moving picture experts group (MPEG) video coding group started an immersive video coding standard project to accomplish acceptable bandwidth and decoding resources for multiple immersive videos with texture (color) and geometry (depth) information. The MPEG immersive video (MIV) coding standard provides functionality to remove inter-view redundancy and merge the residuals into videos defined as atlases. Although MIV reduces the number of videos to decode, an efficient decoder instance reduction method has not been actively investigated. This paper proposes a frame packing implementation in MIV software. The proposed method conducts frame packing for geometry atlases to align with texture atlases, encodes them as subpicture bitstreams, and merges one texture / geometry atlas into a single bitstream with a bitstream merger. Furthermore, the proposed method provides control over the number of decoder instances without significantly increasing the computational complexity compared to existing frame packing methods. Therefore, the proposed method was accepted in MIV and will be implemented on the recent version of the reference software of MIV.</t>
  </si>
  <si>
    <t>Ryu, Eun-Seok/0000-0003-4894-6105; Jeong, Jong-Beom/0000-0002-7356-5753; Lee, Soonbin/0000-0002-8951-0335</t>
  </si>
  <si>
    <t>10.1109/ACCESS.2022.3207154</t>
  </si>
  <si>
    <t>WOS:000865082000001</t>
  </si>
  <si>
    <t>Pham, VC; Luu, QK; Nguyen, TT; Nguyen, NH; Tan, Y; Ho, VA</t>
  </si>
  <si>
    <t>DeWeerdt, J; Polyvyanyy, A</t>
  </si>
  <si>
    <t>Van Cu Pham; Quan Khanh Luu; Tuan Tai Nguyen; Nhan Huu Nguyen; Tan, Yasuo; Van Anh Ho</t>
  </si>
  <si>
    <t>Web of Tactile Things: Towards an Open and Standardized Platform for Tactile Things via the W3C Web of Things</t>
  </si>
  <si>
    <t>INTELLIGENT INFORMATION SYSTEMS (CAISE FORUM 2022)</t>
  </si>
  <si>
    <t>34th International Conference on Advanced Information Systems Engineering (CAiSE)</t>
  </si>
  <si>
    <t>JUN 06-10, 2022</t>
  </si>
  <si>
    <t>Leuven, BELGIUM</t>
  </si>
  <si>
    <t>KU Leuven, Fac Econ &amp; Business,Ghent Univ, Fac Econ &amp; Business Adm</t>
  </si>
  <si>
    <t>Toward the development of the Tactile Internet beyond the 5G era and the recently-introduced Metaverse, a need for standardized platforms to exchange haptics information for human and cyberphysical systems is emerging. This paper introduces our attempt for an open and standardized platform for tactile things, namely Web of Tactile Thing (WoTT). The WoTT extends the W3C Web of Things (WoT) to exchange haptic information from tactile sensing devices to cross-domain services via already proven Web technologies. This paper proposes (i) haptic vocabularies to generate the WoT Thing Description for vision-based tactile sensing devices, as well as (ii) mechanisms to connect, update, and exchange tactile information efficiently. To prove the feasibility of the platform, a proof of concept includes (i) a tactile sensing device to produce tactile information and (ii) a WoT client that consumes proposed vocabularies to create a digital twin of the physical device, have been implemented. The feasibility of the proposed platform has been verified by abilities to reproduce the digital twin and reflect touch events timely and correctly via the WoTT.</t>
  </si>
  <si>
    <t>Luu, Quan/0000-0002-8544-7260; nguyen, nhan/0000-0002-9309-7336</t>
  </si>
  <si>
    <t>978-3-031-07481-3; 978-3-031-07480-6</t>
  </si>
  <si>
    <t>10.1007/978-3-031-07481-3_11</t>
  </si>
  <si>
    <t>WOS:000871754800011</t>
  </si>
  <si>
    <t>Luo, SL; Li, HX; Cheng, HJ; Pan, S; Sun, SP</t>
  </si>
  <si>
    <t>Luo, Shunli; Li, Hanxing; Cheng, Haijing; Pan, Shi; Sun, Shuangpeng</t>
  </si>
  <si>
    <t>NeRFingXR: An Interactive XR Tool Based on NeRFs</t>
  </si>
  <si>
    <t>With the rise of the metaverse, XR technologies have gained wide attention. However, traditional XR technologies require a high precision explicit 3D scene appearance and geometric model representation to achieve a more realistic visual fusion effect, which will make XR technologies require high computational power and memory capacity. Recent studies have shown that it is feasible to implicitly encode 3D scene appearance and geometric models by position-based MLPs, of which NeRF is a prominent representative. In this demo, we propose an XR tool based on NeRF that enables convenient and interactive creation of the XR environments. Specifically, we first train the NeRF model of XR content using Instant-NGP to achieve an efficient implicit 3D representation of XR content. Second, we contribute a depth-awareness scene understanding approach that automatically adapts different plane surfaces for XR content placement and more realistic real-virtual occlusion effects. Finally, we propose a multi-nerf joint rendering method to achieve natural XR content occlusion from each other. This demo shows the final result of our interactive XR tool.</t>
  </si>
  <si>
    <t>10.1007/978-3-031-20503-3_46</t>
  </si>
  <si>
    <t>WOS:000916066400045</t>
  </si>
  <si>
    <t>Rajeev, S; Kamath, KMS; Stone, A; Panetta, K; Agaian, SS</t>
  </si>
  <si>
    <t>Agaian, SS; Asari, VK; DelMarco, SP; Jassim, SA</t>
  </si>
  <si>
    <t>Rajeev, Srijith; Kamath, Shreyas K. M.; Stone, Abigail; Panetta, Karen; Agaian, Sos S.</t>
  </si>
  <si>
    <t>Gaze-FTNet: A feature transverse architecture for predicting gaze attention</t>
  </si>
  <si>
    <t>MULTIMODAL IMAGE EXPLOITATION AND LEARNING 2022</t>
  </si>
  <si>
    <t>Conference on Multimodal Image Exploitation and Learning</t>
  </si>
  <si>
    <t>APR 03-JUN 12, 2022</t>
  </si>
  <si>
    <t>The dynamics of gaze coordination in natural contexts are affected by various properties of the task, the agent, the environment, and their interaction. Artificial Intelligence (AI) lays the foundation for detection, classification, segmentation, and scene analysis. Much of AI in everyday use is dedicated to predicting people's behavior. However, a purely data-driven approach cannot solve development problems alone. Therefore, it is imperative that decision-makers also consider another AI approach-causal AI, which can help identify the precise relationships of cause and effect. This article presents a novel Gaze Feature Transverse Network (Gaze-FTNet) that generates close-to-human gaze attention. The proposed end-to-end trainable approach leverages a feature transverse network (FTNet) to model long-term dependencies for optimal saliency map prediction. Moreover, several modern backbone architectures are explored, tested, and analyzed. Synthetically predicting human attention from monocular RGB images will benefit several domains, particularly human-vehicle interaction, autonomous driving, and augmented reality.</t>
  </si>
  <si>
    <t>Rajeev, Srijith/AAY-5809-2021</t>
  </si>
  <si>
    <t>Rajeev, Srijith/0000-0003-4537-8974</t>
  </si>
  <si>
    <t>978-1-5106-5077-0; 978-1-5106-5076-3</t>
  </si>
  <si>
    <t>121000N</t>
  </si>
  <si>
    <t>10.1117/12.2618989</t>
  </si>
  <si>
    <t>WOS:000839350100021</t>
  </si>
  <si>
    <t>Wang, J; Qian, K; Qiu, YL; Zhang, HQ; Xie, X</t>
  </si>
  <si>
    <t>Wang, Jing; Qian, Kai; Qiu, Yinliang; Zhang, Hanqi; Xie, Xiang</t>
  </si>
  <si>
    <t>A multi-attribute subjective evaluation method on binaural 3D audio without reference stimulus</t>
  </si>
  <si>
    <t>APPLIED ACOUSTICS</t>
  </si>
  <si>
    <t>With the rise of the concept of metaverse and the development of virtual reality (VR), the effect of 3D audio has become an important factor which influences the immersive experience. Considering the widely used binaural 3D audio, it's important to evaluate the quality as different representation methods exist. However, there's no reference stimulus when evaluating binaural 3D audio, making it difficult to compare different representation methods. This paper proposes a multi-attribute evaluation method on binaural 3D audio without reference stimulus. Through this method, a comparative experiment with channel-based, scene-based, and object-based binaural 3D audios was conducted. The results prove that binaural 3D audios of these three representation methods are similar in audio quality, but differ greatly in spatial sense, giving a solid data support to the feature comparison of channel-based, scene-based, and object-based methods. It is also proved that the evaluation method is valid through statistical analysis and can be used in other test requirements of binaural 3D audio. (C) 2022 Elsevier Ltd. All rights reserved.</t>
  </si>
  <si>
    <t>0003-682X</t>
  </si>
  <si>
    <t>1872-910X</t>
  </si>
  <si>
    <t>10.1016/j.apacoust.2022.109042</t>
  </si>
  <si>
    <t>WOS:000912717900002</t>
  </si>
  <si>
    <t>Song, J; Kook, J</t>
  </si>
  <si>
    <t>Song, Jooeun; Kook, Joongjin</t>
  </si>
  <si>
    <t>Mapping Server Collaboration Architecture Design with OpenVSLAM for Mobile Devices</t>
  </si>
  <si>
    <t>SLAM technology, which is used for spatial recognition in autonomous driving and robotics, has recently emerged as an important technology to provide high-quality AR contents on mobile devices due to the spread of XR and metaverse technologies. In this paper, we designed, implemented, and verified the SLAM system that can be used on mobile devices. Mobile SLAM is composed of a stand-alone type that directly performs SLAM operation on a mobile device and a mapping server type that additionally configures a mapping server based on FastAPI to perform SLAM operation on the server and transmits data for map visualization to a mobile device. The mobile SLAM system proposed in this paper mixes the two types in order to make SLAM operation and map generation more efficient. The stand-alone type of SLAM system was configured as an Android app by porting the OpenVSLAM library to the Unity engine, and the map generation and performance were evaluated on desktop PCs and mobile devices. The mobile SLAM system in this paper is an open-source project, so it is expected to help develop AR contents based on SLAM in a mobile environment.</t>
  </si>
  <si>
    <t>Kook, Joongjin/0000-0002-0033-388X; Song, Jueun/0000-0003-2793-1756</t>
  </si>
  <si>
    <t>10.3390/app12073653</t>
  </si>
  <si>
    <t>WOS:000781459100001</t>
  </si>
  <si>
    <t>Liu, YM; Yiu, CK; Zhao, Z; Liu, SY; Huang, XC; Park, W; Su, JY; Zhou, JK; Wong, TH; Yao, KM; Zhao, L; Huang, Y; Li, JY; Fan, P; Zhang, BB; Dai, Y; Yang, ZB; Li, YH; Yu, XE</t>
  </si>
  <si>
    <t>Liu, Yiming; Yiu, Chun Ki; Zhao, Zhao; Liu, Shiyuan; Huang, Xingcan; Park, Wooyoung; Su, Jingyou; Zhou, Jingkun; Wong, Tsz Hung; Yao, Kuanming; Zhao, Ling; Huang, Ya; Li, Jiyu; Fan, Pu; Zhang, Binbin; Dai, Yuan; Yang, Zhengbao; Li, Yuhang; Yu, Xinge</t>
  </si>
  <si>
    <t>Skin-Integrated Haptic Interfaces Enabled by Scalable Mechanical Actuators for Virtual Reality</t>
  </si>
  <si>
    <t>The very recent concept of metaverse highlights the importance of virtual reality (VR) and augmented reality (AR), which associates with a wide variety of applications in entertainment, medical treatment, and human-machine interfaces. The current VR/AR technologies mainly rely on visual interaction, while immersive experience in VR and AR highly demands sensational feedback, such as haptic and temperature with noticeable quality in wearable or even skin-integrated formarts. In this article, we report a wearable and flexible haptic interface based on electromagnetic vibrotactile actuators with high wearability and stability. By adopting double layers of copper (Cu) coils at the top and bottom of the magnetic disc, an enhanced electromagnetic field can be generated. Additionally, the intensity of the haptic feedback can be modulated according to sensed pressure in the virtual world by adjusting the value of power input and frequency. The actuator exhibits high stability and tolerance upon environmental, cyclic, and impact resistance tests. Finally, the actuators are developed into the soft VR interfaces for mounting on forearms, fingers, and hands to verify their superiority over conventional haptic actuators in the aspects of performance and applications.</t>
  </si>
  <si>
    <t>Huang, Xingcan/GLT-0814-2022; Yang, Zhengbao/G-5000-2017</t>
  </si>
  <si>
    <t>Huang, Xingcan/0000-0003-4210-2470; YAO, Kuanming/0000-0001-8744-8892; YIU, Chunki/0000-0003-3841-5327; Zhou, Jingkun/0000-0001-5394-4388; Yang, Zhengbao/0000-0001-5075-0457; Yu, Xinge/0000-0003-0522-1171; LIU, Shiyuan/0000-0003-0966-5589; Park, Wooyoung/0000-0003-2250-3613; Su, JingYou/0000-0002-0564-5380; ZHAO, Ling/0000-0002-7996-1706; LIU, Yiming/0000-0003-0134-1934</t>
  </si>
  <si>
    <t>10.1109/JIOT.2022.3203417</t>
  </si>
  <si>
    <t>WOS:000911309300049</t>
  </si>
  <si>
    <t>Wei, C; Lin, WS; Liang, SF; Chen, MJ; Zheng, YJ; Liao, XQ; Chen, Z</t>
  </si>
  <si>
    <t>Wei, Chao; Lin, Wansheng; Liang, Shaofeng; Chen, Mengjiao; Zheng, Yuanjin; Liao, Xinqin; Chen, Zhong</t>
  </si>
  <si>
    <t>An All-In-One Multifunctional Touch Sensor with Carbon-Based Gradient Resistance Elements</t>
  </si>
  <si>
    <t>NANO-MICRO LETTERS</t>
  </si>
  <si>
    <t>Human-machine interactions using deep-learning methods are important in the research of virtual reality, augmented reality, and metaverse. Such research remains challenging as current interactive sensing interfaces for single-point or multipoint touch input are trapped by massive crossover electrodes, signal crosstalk, propagation delay, and demanding configuration requirements. Here, an all-in-one multipoint touch sensor (AIOM touch sensor) with only two electrodes is reported. The AIOM touch sensor is efficiently constructed by gradient resistance elements, which can highly adapt to diverse application-dependent configurations. Combined with deep learning method, the AIOM touch sensor can be utilized to recognize, learn, and memorize human-machine interactions. A biometric verification system is built based on the AIOM touch sensor, which achieves a high identification accuracy of over 98% and offers a promising hybrid cyber security against password leaking. Diversiform human-machine interactions, including freely playing piano music and programmatically controlling a drone, demonstrate the high stability, rapid response time, and excellent spatiotemporally dynamic resolution of the AIOM touch sensor, which will promote significant development of interactive sensing interfaces between fingertips and virtual objects.</t>
  </si>
  <si>
    <t>wang, wjd/GSD-2051-2022; Zheng, Yuanjin/A-5133-2011; Liao, Xinqin/O-1957-2016</t>
  </si>
  <si>
    <t>Liao, Xinqin/0000-0001-7772-3280</t>
  </si>
  <si>
    <t>2311-6706</t>
  </si>
  <si>
    <t>2150-5551</t>
  </si>
  <si>
    <t>10.1007/s40820-022-00875-9</t>
  </si>
  <si>
    <t>WOS:000811219600008</t>
  </si>
  <si>
    <t>Jin, Q; Liu, Y; Yarosh, S; Han, B; Qian, F</t>
  </si>
  <si>
    <t>Jin, Qiao; Liu, Yu; Yarosh, Svetlana; Han, Bo; Qian, Feng</t>
  </si>
  <si>
    <t>How Will VR Enter University Classrooms? Multi-stakeholders Investigation of VR in Higher Education</t>
  </si>
  <si>
    <t>VR has received increased attention as an educational tool and many argue it is destined to influence educational practices, especially with the emergence of the Metaverse. Most prior research on educational VR reports on applications or systems designed for specified educational or training objectives. However, it is also crucial to understand current practices and attitudes across disciplines, having a holistic view to extend the body of knowledge in terms of VR adoption in an authentic setting. Taking a higher-level perception of people in different roles, we conducted a qualitative analysis based on 23 interviews with major stakeholders and a series of participatory design workshops with instructors and students. We identified the stakeholders who need to be considered for using VR in higher education, and highlighted the challenges and opportunities critical for VR current and potential practices in the university classroom. Finally, we discussed the design implications based on our findings. This study contributes a detailed description of current perceptions and considerations from a multi-stakeholder perspective, providing new empirical insights for designing novel VR and HCI technologies in higher education.</t>
  </si>
  <si>
    <t>10.1145/3491102.3517542</t>
  </si>
  <si>
    <t>WOS:000922929502009</t>
  </si>
  <si>
    <t>Freeman, G; Maloney, D; Acena, D; Barwulor, C</t>
  </si>
  <si>
    <t>Freeman, Guo; Maloney, Divine; Acena, Dane; Barwulor, Catherine</t>
  </si>
  <si>
    <t>(Re)discovering the Physical Body Online: Strategies and Challenges to Approach Non-Cisgender Identity in Social Virtual Reality</t>
  </si>
  <si>
    <t>The contemporary understanding of gender continues to highlight the complexity and variety of gender identities beyond a binary dichotomy regarding one's biological sex assigned at birth. The emergence and popularity of various online social spaces also makes the digital presentation of gender even more sophisticated. In this paper, we use non-cisgender as an umbrella term to describe diverse gender identities that do not match people's sex assigned at birth, including Transgender, Genderfluid, and Non-binary. We especially explore non-cisgender individuals' identity practices and their challenges in novel social Virtual Reality (VR) spaces where they can present, express, and experiment their identity in ways that traditional online social spaces cannot provide. We provide one of the first empirical evidence of how social VR platforms may introduce new and novel phenomena and practices of approaching diverse gender identities online. We also contribute to re-conceptualizing technology-supported identity practices by highlighting the role of (re)discovering the physical body online and informing the design of the emerging metaverse for supporting diverse gender identities in the future.</t>
  </si>
  <si>
    <t>10.1145/3491102.3502082</t>
  </si>
  <si>
    <t>WOS:000890212504026</t>
  </si>
  <si>
    <t>Zhang, S; Wei, S; Liu, Z; Li, T; Li, C; Huang, XL; Wang, C; Xie, Z; Al-Hartomy, OA; Al-Ghamdi, AA; Wageh, S; Gao, J; Tang, Y; Wang, H; Wang, Q; Zhang, H</t>
  </si>
  <si>
    <t>Zhang, S.; Wei, S.; Liu, Z.; Li, T.; Li, C.; Huang, X. L.; Wang, C.; Xie, Z.; Al-Hartomy, O. A.; Al-Ghamdi, A. A.; Wageh, S.; Gao, J.; Tang, Y.; Wang, H.; Wang, Q.; Zhang, H.</t>
  </si>
  <si>
    <t>The rise of AI optoelectronic sensors: From nanomaterial synthesis, device design to practical application</t>
  </si>
  <si>
    <t>MATERIALS TODAY PHYSICS</t>
  </si>
  <si>
    <t>We have seen the significant influence of the information revolution brought about by optoelectronic sensing technologies on human civilization over the last few decades, especially in all aspects of big data, cloud servers, closed-loop systems, smart internet of things (IoT) gateway, artificial intelligence (AI), blockchain, and the metaverse. Undeniably, recent developments have accelerated the advent of the AI and IoT era. Herein, this review presented an overview of the progress, applications, and prospects of AI optoelectronic sensing technology. Firstly, inorganic semiconductors, organic optoelectronic materials, 2D materials, and other nanomaterials employed in optoelectronic sensing technologies are generalized systematically. Then, the development status quo of optoelectronic sensing technology is discussed deeply. Next, several application scenarios related to optoelectronic sensing technology are reviewed, demonstrating the great development and prosperity of intelligent application systems. Last, the future development trends of AI optoelectronic sensing technology are portrayed, that is, toward all-weather, versatile, and intelligent systems in the age of AI/IoT.</t>
  </si>
  <si>
    <t>Liu, Zeng/W-6460-2019; Swelm, Wageh/I-8349-2012; Al-Hartomy, Omar/HCH-3988-2022; Al-Hartomy, Omar A./AAY-3346-2020; Al-Hartomy, Omar A./GZB-0056-2022</t>
  </si>
  <si>
    <t>Liu, Zeng/0000-0003-3215-7929; Al-Hartomy, Omar A./0000-0002-5148-627X; Al-Hartomy, Omar A./0000-0002-5148-627X; Wang, Hao/0000-0001-8896-5496</t>
  </si>
  <si>
    <t>2542-5293</t>
  </si>
  <si>
    <t>10.1016/j.mtphys.2022.100812</t>
  </si>
  <si>
    <t>WOS:000864672000001</t>
  </si>
  <si>
    <t>Rai, A; Harshit; Jain, K; Khoshelham, K</t>
  </si>
  <si>
    <t>Rai, Abhishek; Harshit; Jain, Kamal; Khoshelham, Kourosh</t>
  </si>
  <si>
    <t>AUGMENTED REALITY IN EDUCATION AND REMOTE SENSING</t>
  </si>
  <si>
    <t>Augmented Reality (AR) is a technology that has attracted a lot of attention in recent times, especially, after PokemonGo and quite recently with the gaining popularity of metaverse. AR is not a new technology but its development to maturity has always been dependent on many other technologies like computer vision, mobile processing, optics, etc. We are at that stage in the development cycle of AR where all other technologies not only support but can benefit from its use. This research presents one such innovation in the domain of education - for school children or enthusiasts about geospatial technologies such as remote sensing. In this paper, we have discussed the idea, methodology, and demonstration of one such application which establishes a future trend for use of AR in the education of Geospatial Technology. Different types of remote sensing data, their acquisition method, satellite technology, and applications area are explained using AR for a more interactive experience. Learning about geospatial technology will be helpful as the new frontier of Geo-information is enhancing everyone's day-to-day life and will help in boosting interest in this field.</t>
  </si>
  <si>
    <t>10.1109/IGARSS46834.2022.9884101</t>
  </si>
  <si>
    <t>WOS:000920916606204</t>
  </si>
  <si>
    <t>Yang, YQ; Shi, QF; Zhang, ZX; Shan, XCA; Salam, B; Lee, C</t>
  </si>
  <si>
    <t>Yang, Yanqin; Shi, Qiongfeng; Zhang, Zixuan; Shan, Xuechuan; Salam, Budiman; Lee, Chengkuo</t>
  </si>
  <si>
    <t>Robust triboelectric information-mat enhanced by multi-modality deep learning for smart home</t>
  </si>
  <si>
    <t>INFOMAT</t>
  </si>
  <si>
    <t>In metaverse, a digital-twin smart home is a vital platform for immersive communication between the physical and virtual world. Triboelectric nanogenerators (TENGs) sensors contribute substantially to providing smart-home monitoring. However, TENG deployment is hindered by its unstable output under environment changes. Herein, we develop a digital-twin smart home using a robust all-TENG based information mat (InfoMat), which consists of an in-home mat array and an entry mat. The interdigital electrodes design allows environment-insensitive ratiometric readout from the mat array to cancel the commonly experienced environmental variations. Arbitrary position sensing is also achieved because of the interval arrangement of the mat pixels. Concurrently, the two-channel entry mat generates multi-modality information to aid the 10-user identification accuracy to increase from 93% to 99% compared to the one-channel case. Furthermore, a digital-twin smart home is visualized by real-time projecting the information in smart home to virtual reality, including access authorization, position, walking trajectory, dynamic activities/sports, and so on.</t>
  </si>
  <si>
    <t>Shi, Qiongfeng/GQH-7457-2022; LEE, CHENGKUO/R-3999-2018</t>
  </si>
  <si>
    <t>LEE, CHENGKUO/0000-0002-8886-3649</t>
  </si>
  <si>
    <t>2567-3165</t>
  </si>
  <si>
    <t>e12360</t>
  </si>
  <si>
    <t>10.1002/inf2.12360</t>
  </si>
  <si>
    <t>WOS:000842945600001</t>
  </si>
  <si>
    <t>Wang, N; Wang, HL; Petrangeli, S; Swaminathan, V; Li, F; Chen, SQ</t>
  </si>
  <si>
    <t>Wang, Na; Wang, Haoliang; Petrangeli, Stefano; Swaminathan, Viswanathan; Li, Fei; Chen, Songqing</t>
  </si>
  <si>
    <t>Towards Accurate Positioning in Multiuser Augmented Reality on Mobile Devices</t>
  </si>
  <si>
    <t>2022 IEEE INTERNATIONAL SYMPOSIUM ON MULTIMEDIA (ISM)</t>
  </si>
  <si>
    <t>24th IEEE International Symposium on Multimedia (IEEE ISM)</t>
  </si>
  <si>
    <t>DEC 05-07, 2022</t>
  </si>
  <si>
    <t>Naples, ITALY</t>
  </si>
  <si>
    <t>Multiuser Augmented Reality (MuAR) is essential to implementing the vision of Metaverse for its capability to provide immersive and interactive experiences. In such experiences, peer positions are critical to understand each other's intentions and actions so as to guarantee the smooth cooperation among users. However, we find that the explicit peer positions provided by the current practice could be incomplete and/or inaccurate in some situations, which leads to the weakened spatial awareness. To achieve the accurate peer tracking in MuAR, we propose a novel multiple sensors information fusion method, CSA (Coordinate System Alignment), to detect and correct defective relative positions by the current practice. CSA firstly formulates problem of correcting erroneous positions into an overdetermined system, and then finds the solution by applying the simulated annealing algorithm to expedite the search process. The evaluation results show that CSA's ability to reduce errors significantly (58.3% on average) under long-term error duration, especially its advantage in reducing the relative direction errors. The result confirms the potential of CSA to provide reliable peer tracking in MuAR. Meanwhile, it does not impose extra restrictions on users' practice with current mobile devices in experiences.</t>
  </si>
  <si>
    <t>978-1-6654-7172-5</t>
  </si>
  <si>
    <t>10.1109/ISM55400.2022.00048</t>
  </si>
  <si>
    <t>WOS:000964457800041</t>
  </si>
  <si>
    <t>Chen, HY; Lu, YX; Cheng, YK</t>
  </si>
  <si>
    <t>Chen, Hongyin; Lu, Yuxuan; Cheng, Yukun</t>
  </si>
  <si>
    <t>FileInsurer: A Scalable and Reliable Protocol for Decentralized File Storage in Blockchain</t>
  </si>
  <si>
    <t>2022 IEEE 42ND INTERNATIONAL CONFERENCE ON DISTRIBUTED COMPUTING SYSTEMS (ICDCS 2022)</t>
  </si>
  <si>
    <t>IEEE International Conference on Distributed Computing Systems</t>
  </si>
  <si>
    <t>With the development of blockchain applications, the requirements for file storage in blockchain are increasing rapidly. Many protocols, including Filecoin, Arweave, and Sia, have been proposed to provide scalable decentralized file storage for blockchain applications. However, the reliability is not well promised by existing protocols. Inspired by the idea of insurance, we innovatively propose a decentralized file storage protocol in blockchain, named as FileInsurer, to achieve both scalability and reliability. While ensuring scalability by distributed storage, FileInsurer guarantees reliability by enhancing robustness and fully compensating for the file loss. Specifically, under mild conditions, we prove that no more than 0.1% value of all files should be compensated even if half of the storage collapses. Therefore, only a relatively small deposit needs to be pledged by storage providers to cover the potential file loss. Because of lower burdens of deposit, storage providers have more incentives to participate in the storage network. FileInsurer can run in the top layer of the InterPlanetary File System (IPFS), and thus it can be directly applied in Web 3.0, Non-Fungible Tokens, and Metaverse.</t>
  </si>
  <si>
    <t>1063-6927</t>
  </si>
  <si>
    <t>978-1-6654-7177-0</t>
  </si>
  <si>
    <t>10.1109/ICDCS54860.2022.00025</t>
  </si>
  <si>
    <t>WOS:000877026100016</t>
  </si>
  <si>
    <t>Decentralized Control of Distributed Cloud Networks With Generalized Network Flows</t>
  </si>
  <si>
    <t>IEEE TRANSACTIONS ON COMMUNICATIONS</t>
  </si>
  <si>
    <t>Emerging distributed cloud architectures, e.g., fog and mobile edge computing, are playing an increasingly important role in the efficient delivery of real-time stream-processing applications (also referred to as augmented information services), such as industrial automation and metaverse experiences (e.g., extended reality, immersive gaming). While such applications require processed streams to be shared and simultaneously consumed by multiple users/devices, existing technologies lack efficient mechanisms to deal with their inherent multicast nature, leading to unnecessary traffic redundancy and network congestion. In this paper, we establish a unified framework for distributed cloud network control with generalized (mixed-cast) traffic flows that allows optimizing the distributed execution of the required packet processing, forwarding, and replication operations. We first characterize the enlarged multicast network stability region under the new control framework (with respect to its unicast counterpart). We then design a novel queuing system that allows scheduling data packets according to their current destination sets, and leverage Lyapunov drift-plus-penalty control theory to develop the first fully decentralized, throughput- and cost-optimal algorithm for multicast flow control. Numerical experiments validate analytical results and demonstrate the performance gain of the proposed design over existing network control policies.</t>
  </si>
  <si>
    <t>0090-6778</t>
  </si>
  <si>
    <t>1558-0857</t>
  </si>
  <si>
    <t>10.1109/TCOMM.2022.3225186</t>
  </si>
  <si>
    <t>WOS:000965370100001</t>
  </si>
  <si>
    <t>Sun, XY</t>
  </si>
  <si>
    <t>Sun, Xinyi</t>
  </si>
  <si>
    <t>Design and Construction of University Book Layout Based on Text Image Preprocessing Algorithm in Education Metaverse Environment</t>
  </si>
  <si>
    <t>Books have a significant role in the diffusion of cultural information since they not only carry the weight of cultural inheritance but also serve to preserve historical culture. The major goals of contemporary book layout design are to establish harmony and coherence; maintain overall coordination between the internal and external; and have distinctive, inventive, and modern aesthetic impacts in the context of the educational metacosmos. It is important to emphasize the artistic value and beauty of contemporary books using proper creative language design strategies. The discussion of contemporary book layout design therefore helps to increase understanding of contemporary book layout design. This essay briefly addresses book layout design and examines how books are constructed in colleges and universities. Based on the educational metauniverse environment, it outlines a number of issues that should be taken into account when designing the book's layout. Layout analysis and text image preparation methods are used in modelling. The experimental findings indicate that this algorithm can recognise text regions with an accuracy of 94.8% and a recognition rate of 94.5%, respectively. It is concluded that the method suggested in this work has some reference value for the advancement of university book layout design and can be applied effectively in layout analysis and text typesetting.</t>
  </si>
  <si>
    <t>, Xinyi/0000-0003-1118-6827</t>
  </si>
  <si>
    <t>SEP 25</t>
  </si>
  <si>
    <t>10.1155/2022/6219401</t>
  </si>
  <si>
    <t>WOS:000863446300005</t>
  </si>
  <si>
    <t>Segal, Y</t>
  </si>
  <si>
    <t>Segal, Yoram</t>
  </si>
  <si>
    <t>Constructing a skeleton database and enriching it using a Generative Adversarial Network (GAN) simulator to assess human movement</t>
  </si>
  <si>
    <t>2022 IEEE 38TH INTERNATIONAL CONFERENCE ON DATA ENGINEERING (ICDE 2022)</t>
  </si>
  <si>
    <t>IEEE International Conference on Data Engineering</t>
  </si>
  <si>
    <t>38th IEEE International Conference on Data Engineering (ICDE)</t>
  </si>
  <si>
    <t>MAY 09-11, 2022</t>
  </si>
  <si>
    <t>This Ph.D. thesis develops a neural network simulator for quantifying, tagging, and inferring human gestures using an anonymized patient gesture database. Deep Learning (DL) applications require a sufficient data set for training. In this work, we propose enriching a database that contains a limited number of videos of human physiotherapy exercises by generating synthetic data. Our pose generator produces human movement in the form of skeletal vectors. We use OpenPose (OP) to convert videos and images containing multiple individuals into human skeletal. Within every video frame, OP represents each pose of the human skeleton as a vector in three-dimensional Euclidean space. We employ the Generative Adversarial Network (GAN) to generate new samples and control the motion parameters. We rearrange the joints in our skeletal model to emphasize the connections between them by using depth-first search (DFS), a tree structure search algorithm. Moreover, this research examines common challenges associated with capturing human gesture data, including synchronizing activities, temporal, and spatial relations, and how to address them. We intend to build an innovative simulator that will generate a set of human virtual choreography movements from a textual script.</t>
  </si>
  <si>
    <t>1084-4627</t>
  </si>
  <si>
    <t>978-1-6654-0883-7</t>
  </si>
  <si>
    <t>10.1109/ICDE53745.2022.00304</t>
  </si>
  <si>
    <t>WOS:000855078403039</t>
  </si>
  <si>
    <t>Fu, XM; Yuan, TT; Wang, WJ; Wolk, F; Strunz, G</t>
  </si>
  <si>
    <t>Fu, Xiaoming; Yuan, Tingting; Wang, Weijun; Wolk, Fabian; Strunz, Gunter</t>
  </si>
  <si>
    <t>Towards Exploiting Stakeholder Resources for Data-Driven Resilient Hazard Management</t>
  </si>
  <si>
    <t>Natural hazards (e.g., floods, landslides, earthquakes and hurricanes) can cause catastrophic damages and significant socioeconomic loss. In the event of a natural disaster, the time lag of satellite data availability, and the scarcity of hazard sensing and rescue resources become major obstacles. We believe motivating social and stakeholders engagement will help improve the resilience capacity against disasters, minimizing the impact of uncertainties of disasters, and allowing hazard management systems to make efficient allocation of rescue resources (e.g., first responders) and relocation plans. In this paper we propose a novel, efficient, effective, economical, and sustainable approach, which exploits resources and data from stakeholders (e.g., citizens, infrastructure managers, authorities, rescuers, NGOs, urban and land-use planners) to tackle the intrinsic uncertainty in the nature environment and the human society. This approach will help forming a new understanding and exploitation of stakeholder resources to reduce risks, provide quick responses, exploit scarce resources, save more lives, assist reliefs and beyond. We also outline some future directions including using metaverse-based emulations.</t>
  </si>
  <si>
    <t>Fu, Xiaoming/AAD-2828-2022</t>
  </si>
  <si>
    <t>Fu, Xiaoming/0000-0002-8012-4753</t>
  </si>
  <si>
    <t>10.1109/ICDCSW56584.2022.00055</t>
  </si>
  <si>
    <t>WOS:000895984800046</t>
  </si>
  <si>
    <t>Sun, JX; Deng, QY; Li, Q; Sun, MY; Ren, M; Sun, ZN</t>
  </si>
  <si>
    <t>IEEE COMP SOC</t>
  </si>
  <si>
    <t>Sun, Jianxin; Deng, Qiyao; Li, Qi; Sun, Muyi; Ren, Min; Sun, Zhenan</t>
  </si>
  <si>
    <t>AnyFace: Free-style Text-to-Face Synthesis and Manipulation</t>
  </si>
  <si>
    <t>2022 IEEE/CVF CONFERENCE ON COMPUTER VISION AND PATTERN RECOGNITION (CVPR 2022)</t>
  </si>
  <si>
    <t>IEEE Conference on Computer Vision and Pattern Recognition</t>
  </si>
  <si>
    <t>IEEE/CVF Conference on Computer Vision and Pattern Recognition (CVPR)</t>
  </si>
  <si>
    <t>JUN 18-24, 2022</t>
  </si>
  <si>
    <t>IEEE,CVF,IEEE Comp Soc</t>
  </si>
  <si>
    <t>Existing text-to-image synthesis methods generally are only applicable to words in the training dataset. However; human faces are so variable to be described with limited words. So this paper proposes the first free-style text-to face method namely AnyFace enabling much wider open world applications such as metaverse, social media, cosmetics, forensics, etc. AnyEace has a novel two-stream framework for face image synthesis and manipulation given arbitrary descriptions of the human face. Specifically, one stream performs text-to-face generation and the other conducts face image reconstruction. Facial text and image features are extracted using the CUP (Contrastive Language Image Pre-training) encoders. And a collaborative Cross Modal Distillation (CMD) module is designed to align the linguistic and visual features across these two streams. Furthermore, a Diverse Triplet Loss (I)T loss) is developed to model fine-grained features and improve facial diversity. Extensive experiments on Multi-modal CelebA-HQ and CelebAText-HQ demonstrate significant advantages of Any Face over state-of-the-art methods. AnyFace can achieve high-quality, high-resolution, and high-diversity face synthesis and manipulation results without any constraints on the number and content of input captions.</t>
  </si>
  <si>
    <t>1063-6919</t>
  </si>
  <si>
    <t>978-1-6654-6946-3</t>
  </si>
  <si>
    <t>10.1109/CVPR52688.2022.01813</t>
  </si>
  <si>
    <t>WOS:000870783004048</t>
  </si>
  <si>
    <t>Zhan, YZ; Xiong, Y; Xing, XJ</t>
  </si>
  <si>
    <t>Zhan, Yuanzhu; Xiong, Yu; Xing, Xinjie</t>
  </si>
  <si>
    <t>A conceptual model and case study of blockchain-enabled social media platform</t>
  </si>
  <si>
    <t>TECHNOVATION</t>
  </si>
  <si>
    <t>Nowadays, with the emergence of Web 3.0 and the metaverse, we collectively witnessed the explosive devel-opment of the decentralised autonomous organisation and the blockchain business model. Particularly, the advancement of technologies has further given birth to a novel form of social platform as blockchain-enabled social media (i.e., SocialFi), which is growing both in size and number of users. Accordingly, the rapid devel-opment of these blockchain-enabled social media firms illustrates the requirement to better understand the reasons behind this increase and the innovative practices and strategies of firms in this emerging field. Using the case of Pixie - the world's first fully functional decentralised photo and video sharing social network based on blockchain technology, this insight paper identifies a conceptual model of blockchain-enabled social media that is useful for illustrating the successful business strategy and operations of firms. Particularly, the identified model employs four pillars of innovation as fundamental technologies, governance and operations, incentive mecha-nism design, and organisational structure and performance. Based on this crypto economy social media model, the study further presents the main challenges, discusses the implications based on agency theory, as well as highlights several directions for future research associated with blockchain-enabled social media.</t>
  </si>
  <si>
    <t>zhan, yuanzhu/0000-0002-8585-8828</t>
  </si>
  <si>
    <t>0166-4972</t>
  </si>
  <si>
    <t>1879-2383</t>
  </si>
  <si>
    <t>10.1016/j.technovation.2022.102610</t>
  </si>
  <si>
    <t>WOS:000899357100002</t>
  </si>
  <si>
    <t>Chen, JX; Bao, YZ; Zhang, GL; Huang, XQ</t>
  </si>
  <si>
    <t>Chen, Jiaxing; Bao, Yuze; Zhang, Guangling; Huang, Xiaoqi</t>
  </si>
  <si>
    <t>A Study of the Impact of Social Responsibility Cues on the Long-Term Effectiveness of Gamification Strategies: Insights from the Adverse Effects of Game Strategies</t>
  </si>
  <si>
    <t>Mobile applications can integrate games or gamification elements to build a game metaverse, thus increasing use duration. Research on game metaverses is relatively scarce, mainly focusing on the positive effects of game elements. Few studies have considered the push-away power of game or gamification elements. In this paper, we explore the role of pro-environmental cues in mitigating the push-away power of game or gamification elements from the perspective of the adverse effects of game elements. A total of 250 participants were recruited to engage in two two-factor between-subject studies. Study 1 demonstrated that pro-environmental cues increased self-consciousness during the game and mitigated adverse outcomes after the game. The results of Study 2 further supported the findings of Study 1. The results showed that the perception of pleasure during the game reduced the effects of pro-environmental cues. The pro-environmental cues mitigated adverse outcomes after the game experience when perceiving lower or moderate enjoyment. In comparison, the effects of pro-environmental cues on mitigating negative consequences after the game experience were insignificant when experiencing higher enjoyment.</t>
  </si>
  <si>
    <t>10.3390/su142215408</t>
  </si>
  <si>
    <t>WOS:000887696100001</t>
  </si>
  <si>
    <t>Heo, MH; Kim, D</t>
  </si>
  <si>
    <t>Heo, Myeong-Hyeon; Kim, Dongho</t>
  </si>
  <si>
    <t>Effect of Augmented Reality Affordance on Motor Performance: In the Sport Climbing</t>
  </si>
  <si>
    <t>Conventional sport climbing instructions have been made by showing a demonstration of an instructor and pointing the positions of the hands and feet one by one. Therefore, it has been consistently requested to develop a way for a learner to observe the demonstration in real-time and climb as instructed even in the absence of an instructor. The objectives of this study were to propose an augmented reality affordance suitable for the indoor sport climbing environment and evaluate its effectiveness. This study developed a projection-based augmented reality affordance system that projected character animation onto the artificial climbing structure so a novice could climb the structure based on the movement of the character. An instructor can spontaneously create and provide climbing postures and motions to the learner through this. Moreover, a learner can train repeatedly without the help of the instructor after selecting the route the learner wants to train. This study compared the performance evaluation scores before and after a lesson between the conventional group and the augmented reality affordance group to examine the effects on exercise performance. The results showed that the application of augmented reality affordance to sport climbing was as effective as the conventional instruction method.</t>
  </si>
  <si>
    <t>OCT 30</t>
  </si>
  <si>
    <t>10.22967/HCIS.2021.11.40</t>
  </si>
  <si>
    <t>WOS:000715516300001</t>
  </si>
  <si>
    <t>Xu, RD; She, MH; Liu, JX; Zhao, SK; Zhao, JS; Zhang, XJ; Qu, LJ; Tian, MW</t>
  </si>
  <si>
    <t>Xu, Ruidong; She, Minghua; Liu, Jiaxu; Zhao, Shikang; Zhao, Jisheng; Zhang, Xueji; Qu, Lijun; Tian, Mingwei</t>
  </si>
  <si>
    <t>Skin-Friendly and Wearable Iontronic Touch Panel for Virtual-Real Handwriting Interaction</t>
  </si>
  <si>
    <t>ACS NANO</t>
  </si>
  <si>
    <t>Touch panels are deemed as a critical platform for the future of human-computer interaction and metaverse. Recently, stretchable iontronic touch panels have attracted attention due to their superior adhesivity to the human body. However, such adhesion can not be named real wearable, leading to discomfort for the wearer, such as rashes or itching with long-time wearing. Herein, a skin-friendly and wearable iontronic textile-based touch panel with highly touch-sensing resolution and deformation insensitivity is designed based on an in-suit growing strategy. This textile-based touch panel endows excellent interfacial hydrophilic and biocompatibility with human skin by overcoming the bottlenecks of the hydrogel-based uncomfortable sticky touch interface and low mechanical behavior. The developed touch panel enables handwriting interaction with good mechanical capacity (114 MPa), nearly 4145 times higher than pure hydrogel. More importantly, our touch panel possesses intrinsic insensitivity to wide external loading from the silver fiber (&lt;0.003 g) to even heavy metal block (&gt;10 kg). As proof of concept, the textile-based iontronic touch panel is applied to handwriting interaction, such as a flexible keyboard and wearable sketchpad. This iontronic touch panel with skin-friendly and wearable qualitities is helpful for next-generation wearable interaction electronics.</t>
  </si>
  <si>
    <t>1936-0851</t>
  </si>
  <si>
    <t>1936-086X</t>
  </si>
  <si>
    <t>10.1021/acsnano.2c12612</t>
  </si>
  <si>
    <t>WOS:000974587400001</t>
  </si>
  <si>
    <t>Rapuano, M; Iachini, T; Ruotolo, F; Troise, A; Anwar, MS; Ruggiero, G</t>
  </si>
  <si>
    <t>Rapuano, Mariachiara; Iachini, Tina; Ruotolo, Francesco; Troise, Alessandro; Anwar, Md Sheeraz; Ruggiero, Gennaro</t>
  </si>
  <si>
    <t>The Role of Empathic Traits in the Interaction With Virtual Humans</t>
  </si>
  <si>
    <t>Nowadays, individuals experience social interactions largely via virtual reality, such as, virtual chat rooms, virtual social and gaming communities (e.g., Second life, World of Warcraft or the more recent Metaverse) and so forth. The venue of new live digital worlds poses new challenges for experts in the field of virtual reality and cognitive and social sciences: how users interact with virtual humans, and whether individual characteristics (e.g., empathy traits) could influence the way people treat virtual humans. To address this issue, here, participants were asked to complete the Interpersonal Reactivity Index (assessing empathic traits) and determine the interpersonal distance (i.e., comfort distance) from virtual humans (who exhibited happy, neutral, or angry facial expressions) while being approached (passive approach) or approached them (active approach). Results showed that overall, the distance was larger with angry virtual agents than the others. More importantly, the higher empathic concern the shorter the distance with happy and neutral virtual humans in the active approach condition; the higher the personal distress the larger the distance with happy and neutral virtual humans in the passive approach condition. These results suggest that individual empathic traits may modulate virtual social interactions affecting the way people treat and respond to virtual humans.</t>
  </si>
  <si>
    <t>Iachini, Tina/E-1268-2014</t>
  </si>
  <si>
    <t>Iachini, Tina/0000-0001-8405-8768</t>
  </si>
  <si>
    <t>10.1109/MetroXRAINE54828.2022.9967636</t>
  </si>
  <si>
    <t>WOS:000947347200061</t>
  </si>
  <si>
    <t>Mutlu, R; Singh, D; Tawk, C; Sariyildiz, E</t>
  </si>
  <si>
    <t>Mutlu, Rahim; Singh, Dilpreet; Tawk, Charbel; Sariyildiz, Emre</t>
  </si>
  <si>
    <t>A 3D-Printed Soft Haptic Device with Built-in Force Sensing Delivering Bio-Mimicked Feedback</t>
  </si>
  <si>
    <t>BIOMIMETICS</t>
  </si>
  <si>
    <t>Haptics plays a significant role not only in the rehabilitation of neurological disorders, such as stroke, by substituting necessary cognitive information but also in human-computer interfaces (HCIs), which are now an integral part of the recently launched metaverse. This study proposes a unique, soft, monolithic haptic feedback device (SoHapS) that was directly manufactured using a low-cost and open-source fused deposition modeling (FDM) 3D printer by employing a combination of soft conductive and nonconductive thermoplastic polyurethane (TPU) materials (NinjaTek, USA). SoHapS consists of a soft bellow actuator and a soft resistive force sensor, which are optimized using finite element modeling (FEM). SoHapS was characterized both mechanically and electrically to assess its performance, and a dynamic model was developed to predict its force output with given pressure inputs. We demonstrated the efficacy of SoHapS in substituting biofeedback with tactile feedback, such as gripping force, and proprioceptive feedback, such as finger flexion-extension positions, in the context of teleoperation. With its intrinsic properties, SoHapS can be integrated into rehabilitation robots and robotic prostheses, as well as augmented, virtual, and mixed reality (AR/VR/MR) systems, to induce various types of bio-mimicked feedback.</t>
  </si>
  <si>
    <t>Mutlu, Rahim/0000-0001-5576-8744; Tawk, Charbel/0000-0002-2917-5985</t>
  </si>
  <si>
    <t>2313-7673</t>
  </si>
  <si>
    <t>10.3390/biomimetics8010127</t>
  </si>
  <si>
    <t>WOS:000957365200001</t>
  </si>
  <si>
    <t>Gao, S; Wu, R; Wang, XY; Wang, J; Li, Q; Wang, CP; Tang, XL</t>
  </si>
  <si>
    <t>Gao, Suo; Wu, Rui; Wang, Xingyuan; Wang, Jin; Li, Qi; Wang, Chunpeng; Tang, Xianglong</t>
  </si>
  <si>
    <t>A 3D model encryption scheme based on a cascaded chaotic system</t>
  </si>
  <si>
    <t>SIGNAL PROCESSING</t>
  </si>
  <si>
    <t>With the birth of the metaverse, 3D models have received extensive attention, and the security of in-formation transmission continues to be an important issue. In this paper, we propose a 3D model en-cryption method based on a 2D chaotic system constructed via the coupling of the logistic map and infinite collapse (2D-LAIC) and on semi-tensor product (STP) theory. In terms of Lyapunov exponents, NIST test results, bifurcation diagrams, etc., 2D-LAIC exhibits better dynamical behavior than classical chaotic systems. 2D-LAIC can generate an unpredictable keystream, which is highly suitable for cryptog-raphy. Therefore, we propose a new 3D model encryption algorithm based on 2D-LAIC, named 3DME-SC. For a 3D model of the floating-point data type, XOR and STP processing are applied to the integer part and fractional part, respectively, of the model to obtain a 3D ciphertext model. The keystream required for XOR and STP processing is generated by 2D-LAIC. The results of a detailed security analysis and a comparative experimental analysis show that 3DME-SC exhibits good performance and effectiveness. (Code: https://github.com/Gao5211996/3D-model-encryption)(c) 2022 Elsevier B.V. All rights reserved.</t>
  </si>
  <si>
    <t>suo, gao/AGX-8041-2022</t>
  </si>
  <si>
    <t>Rui, Wu/0000-0003-0941-2688</t>
  </si>
  <si>
    <t>0165-1684</t>
  </si>
  <si>
    <t>1872-7557</t>
  </si>
  <si>
    <t>10.1016/j.sigpro.2022.108745</t>
  </si>
  <si>
    <t>WOS:000866211500005</t>
  </si>
  <si>
    <t>Cheng, DW; Hou, QC; Li, Y; Zhang, T; Li, DY; Huang, YL; Liu, Y; Wang, QW; Hou, WH; Yang, T; Feng, ZX; Wang, YT</t>
  </si>
  <si>
    <t>Cheng, Dewen; Hou, Qichao; Li, Yang; Zhang, Tian; Li, Danyang; Huang, Yilun; Liu, Yue; Wang, Qiwei; Hou, Weihong; Yang, Tong; Feng, Zexin; Wang, Yongtian</t>
  </si>
  <si>
    <t>Optical design and pupil swim analysis of a compact, large EPD and immersive VR head mounted display</t>
  </si>
  <si>
    <t>Virtual reality head-mounted displays (VR-HMDs) are crucial to Metaverse which appears to be one of the most popular terms to have been adopted over the Internet recently. It provides basic infrastructure and entrance to cater for the next evolution of social interaction, and it has already been widely used in many fields. The VR-HMDs with traditional aspherical or Fresnel optics are not suitable for long-term usage because of the image quality, system size, and weight. In this study, we designed and developed a large exit pupil diameter (EPD), compact, and lightweight VR-FLMD with catadioptric optics. The mathematical formula for designing the catadioptric VR optics is derived. The reason why this kind of immersive VR optics could achieve a compact size and large EPD simultaneously is answered. Various catadioptric forms are systematically proposed and compared. The design can achieve a diagonal field of view (FOV) of 96 degrees at -1 diopter, with an EPD of 10 mm at 11 mm eye relief (ERF). The overall length (OAL) of the system was less than 20 mm. A prototype of a compact catadioptric VR-HMD system was successfully developed. (C) 2022 Optica Publishing Group under the terms of the Optica Open Access Publishing Agreement</t>
  </si>
  <si>
    <t>Li, Dan/HJA-0406-2022; wang, wjd/GSD-2051-2022; hou, wei/GWM-4800-2022; li, danyang/HHS-3319-2022</t>
  </si>
  <si>
    <t>FEB 28</t>
  </si>
  <si>
    <t>10.1364/OE.452747</t>
  </si>
  <si>
    <t>WOS:000763174800011</t>
  </si>
  <si>
    <t>Masood, F; Faridi, AR</t>
  </si>
  <si>
    <t>Masood, Faraz; Faridi, Arman Rasool</t>
  </si>
  <si>
    <t>A multi-criteria decision-making approach to analyse the viability of blockchain in software development projects</t>
  </si>
  <si>
    <t>Blockchain technology is getting famous, and use cases of blockchain range from financial services to the Metaverse. It is considered a platform for web 3.0. As a result, many industries are planning to adopt blockchain. A simple public blockchain is not suitable for most business scenarios, so hybrid and private blockchains came into existence, but it is important to decide which type of blockchain should be adopted during the project planning phase. Various models can be found in the literature to determine if blockchain should be adopted and, if so, which type of blockchain should be adopted. However, these models are already becoming obsolete as they determine the usage of blockchain using simple yes or no. In order to overcome these problems, all these models are converted from binary-based selection to fuzzy-based selection, and decision matrices are created. Various multi-criteria decision analysis methods are applied, and final results are obtained. In addition, a novel model is presented, and a MATLAB application is developed to let the user determine if blockchain can be integrated with any technology or not. This application can be used as a standard in the projects planning phase and helps avoid losses to the industry.</t>
  </si>
  <si>
    <t>10.3233/JIFS-220830</t>
  </si>
  <si>
    <t>WOS:000925796500008</t>
  </si>
  <si>
    <t>Zhao, C; Dai, XY; Lv, YS; Niu, JL; Lin, YL</t>
  </si>
  <si>
    <t>Zhao, Chen; Dai, Xingyuan; Lv, Yisheng; Niu, Jinglong; Lin, Yilun</t>
  </si>
  <si>
    <t>Decentralized Autonomous Operations and Organizations in TransVerse: Federated Intelligence for Smart Mobility</t>
  </si>
  <si>
    <t>Human and social factors are essential to transportation systems, yet top-down management fails to consider them sufficiently. Consequently, management strategies are not tailored to human needs and are inadequate in providing transportation intelligence. This article investigates a management architecture based on decentralized/distributed autonomous operations/organizations (DAOs) that considers both the technical and societal aspects in our transportation metaverse, TransVerse. This design maps people's transportation needs in physical space to their digital counterparts in cyberspace, utilizing blockchain technology to guarantee the secure exchange of information and ultimately bring about the Internet of Minds (IoM). With the federated intelligence that emerged in IoM, we can devise reliable and prompt traffic decisions by incorporating consensus, community voting, and smart contracts into the organizational, coordination, and execution structure. Details on operational procedures and key technologies are also covered. To demonstrate the efficacy of DAOs-based management, a case study of world model-driven cooperative signal control is provided, indicating its promising application in future transportation management.</t>
  </si>
  <si>
    <t>林, 懿伦/V-2063-2019</t>
  </si>
  <si>
    <t>林, 懿伦/0000-0001-6662-1916</t>
  </si>
  <si>
    <t>10.1109/TSMC.2022.3228914</t>
  </si>
  <si>
    <t>WOS:000903474200001</t>
  </si>
  <si>
    <t>Guo, HJ; Bakdash, JZ; Marusich, LR; Prabhakaran, B</t>
  </si>
  <si>
    <t>Guo, Hung-Jui; Bakdash, Jonathan Z.; Marusich, Laura R.; Prabhakaran, Balakrishnan</t>
  </si>
  <si>
    <t>Augmented Reality and Mixed Reality Measurement Under Different Environments: A Survey on Head-Mounted Devices</t>
  </si>
  <si>
    <t>IEEE TRANSACTIONS ON INSTRUMENTATION AND MEASUREMENT</t>
  </si>
  <si>
    <t>Augmented reality (AR) and mixed reality (MR) have been two of the most explosive research topics in the last few years. Head-mounted devices (HMDs) are essential intermediums for using AR and MR technology, playing an important role in the research progress in these two areas. Behavioral research with users is one way of evaluating the technical progress and effectiveness of HMDs. In addition, AR and MR technology is dependent upon virtual interactions with the real environment. Thus, conditions in real environments can be a significant factor for AR and MR measurements with users. In this article, we survey 87 environmental-related HMD papers with measurements from users, spanning over 32 years. We provide a thorough review of AR- and MR-related user experiments with HMDs under different environmental factors. Then, we summarize trends in this literature over time using a new classification method with four environmental factors, the presence or the absence of user feedback in behavioral experiments, and ten main categories to subdivide these papers (e.g., domain and method of user assessment). We also categorize characteristics of the behavioral experiments, showing similarities and differences among papers.</t>
  </si>
  <si>
    <t>Guo, Hung-Jui/0000-0003-2233-846X; Marusich, Laura/0000-0002-3524-6110</t>
  </si>
  <si>
    <t>0018-9456</t>
  </si>
  <si>
    <t>1557-9662</t>
  </si>
  <si>
    <t>10.1109/tim.2022.3218303</t>
  </si>
  <si>
    <t>WOS:000886627400025</t>
  </si>
  <si>
    <t>Mandolfo, M; Baisi, F; Lamberti, L</t>
  </si>
  <si>
    <t>Mandolfo, Marco; Baisi, Francesco; Lamberti, Lucio</t>
  </si>
  <si>
    <t>How did you feel during the navigation? Influence of emotions on browsing time and interaction frequency in immersive virtual environments</t>
  </si>
  <si>
    <t>BEHAVIOUR &amp; INFORMATION TECHNOLOGY</t>
  </si>
  <si>
    <t>Immersive virtual environments (IVEs) represent virtual settings that simulate the physical world. Users interacting in such virtual venues commonly display behaviours like the ones that would occur in the physical world. However, little is known about how the affective states experienced while browsing IVEs may in turn, influence user's interactive behaviour. The present research investigates how to affect in terms of arousal and valence generated by IVEs influences browsing time and interaction frequency. Three studies analyse various facets of affect in IVEs. Study 1 investigates the cognitive responses and shows that browsing time is positively affected by self-reported arousal. Study 2 analyses neurophysiological responses and demonstrates consistent results with Study 1. It further shows that physiological correlates of arousal and valence positively influence interaction frequency. Study 3 delves into personal interest, a recurring factor emerged in the two previous studies, and investigates its interaction with arousal. Findings show that in a high arousal IVE, highly interested users are more likely to browse longer than low-interested users. Overall, the results show that behavioural realism evoked in IVEs involves both users' actions and affective states. Implications in terms of design guidelines to foster positive affect in IVEs are drawn.</t>
  </si>
  <si>
    <t>Mandolfo, Marco/AAU-2751-2020; LAMBERTI, LUCIO/G-8246-2011</t>
  </si>
  <si>
    <t>Mandolfo, Marco/0000-0001-6971-2194; LAMBERTI, LUCIO/0000-0002-4576-1642</t>
  </si>
  <si>
    <t>0144-929X</t>
  </si>
  <si>
    <t>1362-3001</t>
  </si>
  <si>
    <t>10.1080/0144929X.2022.2066570</t>
  </si>
  <si>
    <t>APR 2022</t>
  </si>
  <si>
    <t>WOS:000784772200001</t>
  </si>
  <si>
    <t>Fang, H; Wang, L; Fu, ZZ; Xu, L; Guo, W; Huang, J; Wang, ZL; Wu, H</t>
  </si>
  <si>
    <t>Fang, Han; Wang, Lei; Fu, Zhongzheng; Xu, Liang; Guo, Wei; Huang, Jian; Wang, Zhong Lin; Wu, Hao</t>
  </si>
  <si>
    <t>Anatomically Designed Triboelectric Wristbands with Adaptive Accelerated Learning for Human-Machine Interfaces</t>
  </si>
  <si>
    <t>ADVANCED SCIENCE</t>
  </si>
  <si>
    <t>Recent advances in flexible wearable devices have boosted the remarkable development of devices for human-machine interfaces, which are of great value to emerging cybernetics, robotics, and Metaverse systems. However, the effectiveness of existing approaches is limited by the quality of sensor data and classification models with high computational costs. Here, a novel gesture recognition system with triboelectric smart wristbands and an adaptive accelerated learning (AAL) model is proposed. The sensor array is well deployed according to the wrist anatomy and retrieves hand motions from a distance, exhibiting highly sensitive and high-quality sensing capabilities beyond existing methods. Importantly, the anatomical design leads to the close correspondence between the actions of dominant muscle/tendon groups and gestures, and the resulting distinctive features in sensor signals are very valuable for differentiating gestures with data from 7 sensors. The AAL model realizes a 97.56% identification accuracy in training 21 classes with only one-third operands of the original neural network. The applications of the system are further exploited in real-time somatosensory teleoperations with a low latency of &lt;1 s, revealing a new possibility for endowing cyber-human interactions with disruptive innovation and immersive experience.</t>
  </si>
  <si>
    <t>Huang, Jian/I-8521-2014; Wu, Hao/I-3127-2017</t>
  </si>
  <si>
    <t>Huang, Jian/0000-0002-6267-8824; Wu, Hao/0000-0003-1494-0848</t>
  </si>
  <si>
    <t>2198-3844</t>
  </si>
  <si>
    <t>10.1002/advs.202205960</t>
  </si>
  <si>
    <t>WOS:000919377700001</t>
  </si>
  <si>
    <t>Penaherrera-Pulla, OS; Baena, C; Fortes, S; Baena, E; Barco, R</t>
  </si>
  <si>
    <t>Penaherrera-Pulla, O. S.; Baena, Carlos; Fortes, Sergio; Baena, Eduardo; Barco, Raquel</t>
  </si>
  <si>
    <t>KQI Assessment of VR Services: A Case Study on 360-Video Over 4G and 5G</t>
  </si>
  <si>
    <t>IEEE TRANSACTIONS ON NETWORK AND SERVICE MANAGEMENT</t>
  </si>
  <si>
    <t>Extended Reality (XR) arises as one of the current cutting-edge educational and entertainment emergent technologies. This service differs from traditional video streaming approaches due to its immersive experience, which allows the user to enjoy omnidirectional multimedia. However, the service experience must be guaranteed to avoid side effects such as cybersickness or disorientation. This work presents a framework to assess 360-video service streaming performance over mobile networks through Key Quality Indicators (KQIs) using VR (Virtual Reality) HMD (Head Mounted Device). The testbed is composed of a 360-video client for DASH (Dynamic Adaptive Streaming over HTTP), which playbacks multimedia content from a video server located in the cloud while KQI measuring tasks are performed in the user as on the network sides. Various metrics are collected such as resolution, frame rate, initial playback time, throughput, stall events, and round trip time (RTT), among various others. Finally, a performance comparison between LTE and 5G technologies is provided. Results from the KQI measurement highlight the potential of the new generation of mobile networks in the provision of service with high-quality levels of experience.</t>
  </si>
  <si>
    <t>Barco, Raquel/K-5736-2012; Baena, Eduardo/ACU-6072-2022</t>
  </si>
  <si>
    <t>Barco, Raquel/0000-0002-8993-5229; Baena, Eduardo/0000-0002-3639-3534</t>
  </si>
  <si>
    <t>1932-4537</t>
  </si>
  <si>
    <t>10.1109/TNSM.2022.3192762</t>
  </si>
  <si>
    <t>WOS:000966053300001</t>
  </si>
  <si>
    <t>Ehrlich, N</t>
  </si>
  <si>
    <t>Ehrlich, Nea</t>
  </si>
  <si>
    <t>Virtual Veracity: Animated Documentaries and Mixed Realities</t>
  </si>
  <si>
    <t>Do we currently exist in animated realities? And how does virtualized culture shape new forms of animated documentaries? This paper analyzes non-photorealistic animated documentaries in the 21st century in relation to the virtualization of culture. I discuss animation as a leading virtual aesthetic, map out three kinds of virtual documentaries and explain animation's importance as documentary imagery in an era of mixed realities, i.e. the merging of the physically and digitally real. I cover animated documentaries of online game realities; the use of games as a platform to create cinematic documentaries about non-game physical realities; and the rise of VR and documentary games. These three forms of animated hybrid documentaries each use animation differently and contribute to the discourse about animation's use and status as a believable non-fiction aesthetic in today's media sphere. My main claims are that a) animation is a central visual language for virtual environments due to its dynamic nature and ability to reflect interactive user input in real-time; b) since online animated platforms function as animated realities and often converge with physical reality, today's mixed realities require animation as a documentary aesthetic that exceeds the capacity of photography as more traditional documentary imagery.</t>
  </si>
  <si>
    <t>Ehrlich, Nea/0000-0002-6264-6988</t>
  </si>
  <si>
    <t>10.1109/VRW55335.2022.00009</t>
  </si>
  <si>
    <t>WOS:000808111800002</t>
  </si>
  <si>
    <t>Tumler, J; Toprak, A; Yan, BX</t>
  </si>
  <si>
    <t>Tuemler, Johannes; Toprak, Alp; Yan, Baixuan</t>
  </si>
  <si>
    <t>Multi-user Multi-platform xR Collaboration: System and Evaluation</t>
  </si>
  <si>
    <t>Virtual technologies (AR/VR/MR, subsumed as xR) are used in many commercial applications, such as automotive development, medical training, architectural planning, teaching and many more. Usually, existing software products offer either VR, AR or a 2D monitor experience. This limitation can be a hindrance. Let's draw a simple application example: Users at a university shall join an xR teaching session in a mechanical engineering lecture. They bring their own xR device, join the session and experience the lecture with xR support. But users may ask themselves: Does the choice of my own xR device limit my learning success? In order to investigate multi-platform xR experiences, a software framework was developed and is presented here. This allows one shared xR experience for users of AR smartphones, AR/MR glasses and VR-PCs. The aim is to use this framework to study differences between the platforms and to be able to research for better quality multi-user multi-platform xR experiences. We present results of a first study that made use of our framework. We compared user experience, perceived usefulness and perceived ease of use between three different xR device types in a multi-user experience. Results are presented and discussed.</t>
  </si>
  <si>
    <t>Tumler, Johannes/0000-0002-4788-2667</t>
  </si>
  <si>
    <t>10.1007/978-3-031-05939-1_6</t>
  </si>
  <si>
    <t>WOS:000870217300006</t>
  </si>
  <si>
    <t>Li, LL; Zhao, SF; Ran, WH; Li, ZX; Yan, YX; Zhong, BW; Lou, Z; Wang, LL; Shen, GZ</t>
  </si>
  <si>
    <t>Li, Linlin; Zhao, Shufang; Ran, Wenhao; Li, Zhexin; Yan, Yongxu; Zhong, Bowen; Lou, Zheng; Wang, Lili; Shen, Guozhen</t>
  </si>
  <si>
    <t>Dual sensing signal decoupling based on tellurium anisotropy for VR interaction and neuro-reflex system application</t>
  </si>
  <si>
    <t>Anisotropy control of the electronic structure in inorganic semiconductors is an important step in developing devices endowed with multi-function. Here, we demonstrate that the intrinsic anisotropy of tellurium nanowires can be used to modulate the electronic structure and piezoelectric polarization and decouple pressure and temperature difference signals, and realize VR interaction and neuro-reflex applications. The architecture design of the device combined with self-locking effect can eliminate dependence on displacement, enabling a single device to determine the hardness and thermal conductivity of materials through a simple touch. We used a bimodal Te-based sensor to develop a wearable glove for endowing real objects to the virtual world, which greatly improves VR somatosensory feedback. In addition, we successfully achieved stimulus recognition and neural-reflex in a rabbit sciatic nerve model by integrating the sensor signals using a deep learning technique. In view of in-/ex-vivo feasibility, the bimodal Te-based sensor would be considered a novel sensing platform for a wide range application of metaverse, AI robot, and electronic medicine. The accumulation of single-function sensors can increase the complexity of virtual reality systems. Here, Shen et al. exploit the intrinsic anisotropy of tellurium nanowires to design a multi-function pressure and temperature sensor, which can be used as tactile experience in the virtual world.</t>
  </si>
  <si>
    <t>wang, wjd/GSD-2051-2022; wang, lili/HDL-7210-2022; wang, lin/HZK-4145-2023; wang, lili/HZJ-5080-2023</t>
  </si>
  <si>
    <t>Zhong, Bowen/0000-0001-9365-895X</t>
  </si>
  <si>
    <t>OCT 10</t>
  </si>
  <si>
    <t>10.1038/s41467-022-33716-9</t>
  </si>
  <si>
    <t>WOS:000867457000037</t>
  </si>
  <si>
    <t>Park, SJ; Keum, C; Zhou, H; Lee, TW; Choe, W; Cho, H</t>
  </si>
  <si>
    <t>Park, Sun Jae; Keum, Changmin; Zhou, Huanyu; Lee, Tae-Woo; Choe, Wonhee; Cho, Himchan</t>
  </si>
  <si>
    <t>Progress and Prospects of Nanoscale Emitter Technology for AR/VR Displays</t>
  </si>
  <si>
    <t>ADVANCED MATERIALS TECHNOLOGIES</t>
  </si>
  <si>
    <t>Augmented reality (AR) and virtual reality (VR) are emerging interactive technologies that realize the metaverse, leading to a totally new digital interactive experience in daily life in various aspects. In order to provide users with a more immersive experience, displays for AR/VR have rapidly evolved to achieve high resolutions and a large color gamut on small panels. Recently, nanoscale light emitters such as quantum dots (QDs) and metal halide perovskites (MHPs) with high photoluminescence quantum efficiency and color purity levels have garnered much attention as color conversion materials in AR/VR displays. However, the low material stability and the absence of a high-resolution patterning process that does not impair the optical properties of nanoscale emitters act as obstacles preventing the realization of high-resolution AR/VR displays. Here, the state-of-the-art technologies constituting current AR/VR devices are reviewed from an industrial point of view and the recent progress in QD and MHP emitter technologies are discussed, including their basic structural properties, synthesis strategies to enhance the stability, advanced patterning technologies, down-conversion and light-emitting diode applications. Based on the review, the authors' perspective on future research directions of nanoscale emitters for next-generation AR/VR displays is presented.</t>
  </si>
  <si>
    <t>Lee, Tae-Woo/AAE-7298-2019; Zhou, Huanyu/GYE-0771-2022</t>
  </si>
  <si>
    <t>Lee, Tae-Woo/0000-0002-6449-6725; Cho, Himchan/0000-0001-6372-5787</t>
  </si>
  <si>
    <t>2365-709X</t>
  </si>
  <si>
    <t>10.1002/admt.202201070</t>
  </si>
  <si>
    <t>WOS:000895939200001</t>
  </si>
  <si>
    <t>Gong, YT; Zhang, YZ; Fang, SQ; Sun, YD; Niu, J; Lai, WY</t>
  </si>
  <si>
    <t>Gong, Yanting; Zhang, Yi-Zhou; Fang, Shiqiang; Sun, Yadong; Niu, Jian; Lai, Wen-Yong</t>
  </si>
  <si>
    <t>Wireless Human-Machine Interface Based on Artificial Bionic Skin with Damage Reconfiguration and Multisensing Capabilities</t>
  </si>
  <si>
    <t>ACS APPLIED MATERIALS &amp; INTERFACES</t>
  </si>
  <si>
    <t>Human-machine interfaces (HMIs) enable users to interact with machines, thus playing a significant role in artificial intelligence, virtual reality, and the metaverse. Conventional HMIs are based on bulky and rigid electronic devices, seriously limiting their ductility, damage reconfiguration, and multifunctionality. In terms of replacing conventional HMIs, artificial bionic skins with good ductility, self-reparation, and multisensory ability are promising candidates. Still, they in their present form require innovations in mechanical and sensory properties, especially damage recovery and environmental stability, which seriously affect the service life and result in tons of electric waste. Herein, we present a new type of artificial bionic skin with excellent mechanical performance (&gt;13,000% strain), high environmental stability (-80 to 80 degrees C), and multiple sensory properties toward strain, stress, temperature, solvent, and bioelectricity. Besides, this new type of artificial bionic skin also exhibits effective reconfiguration ability after damage and recyclability. The as-prepared artificial bionic skin was used as an interactive HMI to collect and distinguish the different sensory stimuli. The electronics assembled by HMI with artificial bionic skin can adhere compliantly on the human body for wireless motion capturing and sensing via Bluetooth, Wi-Fi, and the Internet. With simple programming, complex human motions can be mimicked in real-time robots.</t>
  </si>
  <si>
    <t>Lai, Wen-Yong/G-6094-2010</t>
  </si>
  <si>
    <t>Lai, Wen-Yong/0000-0003-2381-1570</t>
  </si>
  <si>
    <t>1944-8244</t>
  </si>
  <si>
    <t>1944-8252</t>
  </si>
  <si>
    <t>OCT 19</t>
  </si>
  <si>
    <t>10.1021/acsami.2c14907</t>
  </si>
  <si>
    <t>WOS:000875692700001</t>
  </si>
  <si>
    <t>Kim, DJ; Jo, G; Koo, JH; Yang, TH; Kim, YM</t>
  </si>
  <si>
    <t>Kim, Dong-Jun; Jo, Gwanghyun; Koo, Jeong-Hoi; Yang, Tae-Heon; Kim, Young-Min</t>
  </si>
  <si>
    <t>Development of a Simulator Capable of Generating Age-Specific Pulse Pressure Waveforms for Medical Palpation Training</t>
  </si>
  <si>
    <t>With the emergence of the metaverse and other human-computer interaction technologies, promising applications such as medical palpation training are growing for training and education purposes. Thus, the overarching goal of this study is to develop a portable and simple pulse pressure simulator that can reproduce age-specific pulse pressure waveforms for medical palpation training. For training applications, the simulator is required to produce accurate radial pulse waveforms consistently and repeatedly. To this end, exploiting the cam-based pneumatic pulse generation mechanism, this study intends to develop a cylindrical (or 3D) cam whose continually varying surface contains a wide range of age-related pulse pressure profiles. To evaluate the performance of the simulator, the reproduced pulse waveforms were compared with approximate radial pulse pressure waveforms based on in vivo data in terms of the augmentation index (AI) and L-2 error. The results show that the errors were less than 10% for all ages, indicating that the proposed pulse simulator can reproduce the age-specific pulse waveforms equivalent to human radial pulse waveforms. The findings in this study suggest that the pulse simulator would be an excellent system for RAPP palpation training as it can reproduce a desired pulse accurately and consistently.</t>
  </si>
  <si>
    <t>Yang, Tae-Heon/0000-0003-4316-4323; Jo, Gwanghyun/0000-0002-0635-2897</t>
  </si>
  <si>
    <t>10.3390/app122211555</t>
  </si>
  <si>
    <t>WOS:000887139100001</t>
  </si>
  <si>
    <t>Park, JS; Kim, J; Jung, S; Jeong, Y; Moon, Y</t>
  </si>
  <si>
    <t>Hahlweg, CF; Mulley, JR</t>
  </si>
  <si>
    <t>Park, Jae Sung; Kim, Jiman; Jung, Seongwoon; Jeong, Younghoon; Moon, YoungSu</t>
  </si>
  <si>
    <t>Photometrically Consistent Projection Experience for Metaverse Screens Everywhere</t>
  </si>
  <si>
    <t>NOVEL OPTICAL SYSTEMS, METHODS, AND APPLICATIONS XXV</t>
  </si>
  <si>
    <t>Conference on Novel Optical Systems, Methods, and Applications XXV</t>
  </si>
  <si>
    <t>AUG 22-23, 2022</t>
  </si>
  <si>
    <t>This paper presents a technical ensemble between a mobile projector and smartphone camera for providing colorimetrically calibrated realistic experience everywhere. Since portable projectors can be used in any places without a dedicated white screen, it is very essential to calibrate color of output videos no matter what a colored surface is used for a screen. That is, a calibration process is strongly required to realize the constant intended color experience while using mobile projectors. For that, we build an easy calibration process as follows. First, the (Android or iOS) mobile and projector are connected in a common local common network, and then a mobile application generates a specific electro-optical (RGB-XYZ) conversion function by capturing reflected light from a given specific white plate. The smartphone that plays the role of an optical measurement device transmits measured light information and calibration instruction to the display system. Then the projector adjusts its light outputs and notify the status to the mobile. This 'measurement-adjustment' process is recursively conducted within few seconds. The process is completed when the adjustment result meets a stop condition for a calibration target on given colored wall screen. Based on our experimental results of photometric calibration using many kinds of recently released Android and iOS smartphones, the effectiveness of the methods is proven.</t>
  </si>
  <si>
    <t>978-1-5106-5417-4; 978-1-5106-5416-7</t>
  </si>
  <si>
    <t>122160N</t>
  </si>
  <si>
    <t>10.1117/12.2631741</t>
  </si>
  <si>
    <t>WOS:000870266700018</t>
  </si>
  <si>
    <t>Le, XH; Shi, QF; Sun, ZD; Xie, J; Lee, C</t>
  </si>
  <si>
    <t>Le, Xianhao; Shi, Qiongfeng; Sun, Zhongda; Xie, Jin; Lee, Chengkuo</t>
  </si>
  <si>
    <t>Noncontact Human-Machine Interface Using Complementary Information Fusion Based on MEMS and Triboelectric Sensors</t>
  </si>
  <si>
    <t>Current noncontact human-machine interfaces (HMIs) either suffer from high power consumption, complex signal processing circuits, and algorithms, or cannot support multidimensional interaction. Here, a minimalist, low-power, and multimodal noncontact interaction interface is realized by fusing the complementary information obtained from a microelectromechanical system (MEMS) humidity sensor and a triboelectric sensor. The humidity sensor composed of a two-port aluminum nitride (AlN) bulk wave resonator operating in its length extensional mode and a layer of graphene oxide (GO) film with uniform and controllable thickness, possesses an ultra-tiny form factor (200 x 400 mu m(2)), high signal strength (Q = 1729.5), and low signal noise level (+/- 0.31%RH), and is able to continuously and steadily interact with an approaching finger. Meanwhile, the facile triboelectric sensor made of two annular aluminum electrodes enables the interaction interface to rapidly recognize the multidirectional finger movements. By leveraging the resonant frequency changes of the humidity sensor and output voltage waveforms of the triboelectric sensor, the proposed interaction interface is successfully demonstrated as a game control interface to manipulate a car in virtual reality (VR) space and a password input interface to enter high-security 3D passwords, indicating its great potential in diversified applications in the future Metaverse.</t>
  </si>
  <si>
    <t>LEE, CHENGKUO/R-3999-2018; Shi, Qiongfeng/GQH-7457-2022; wang, wjd/GSD-2051-2022; Shi, Qiongfeng/Z-5767-2019</t>
  </si>
  <si>
    <t>LEE, CHENGKUO/0000-0002-8886-3649; Shi, Qiongfeng/0000-0002-5979-1420</t>
  </si>
  <si>
    <t>10.1002/advs.202201056</t>
  </si>
  <si>
    <t>WOS:000797225200001</t>
  </si>
  <si>
    <t>Nevelsteen, K; Wehlou, M</t>
  </si>
  <si>
    <t>Nevelsteen, Kim; Wehlou, Martin</t>
  </si>
  <si>
    <t>IPSME- Idempotent Publish/Subscribe Messaging Environment</t>
  </si>
  <si>
    <t>PROCEEDINGS OF THE 2021 INTERNATIONAL WORKSHOP ON IMMERSIVE MIXED AND VIRTUAL ENVIRONMENT SYSTEMS (MMVE '21)</t>
  </si>
  <si>
    <t>13th ACM International Workshop on Immersive Mixed and Virtual Environment Systems (MMVE) Part of ACM Multimedia Systems Conference (MMSys)</t>
  </si>
  <si>
    <t>SEP 28-OCT 01, 2021</t>
  </si>
  <si>
    <t>Istanbul, TURKEY</t>
  </si>
  <si>
    <t>Assoc Comp Machinery,ACM SIGMM,ACM SIGMOBILE</t>
  </si>
  <si>
    <t>The integration (interoperability) of highly disparate systems is an open topic of research in many domains. A common approach for getting two highly disparate systems to be interoperable, is through an agreed-upon protocol (e.g., via standardization) or by employing a common framework. The problem of integrating systems arises when many of these protocols/frameworks come into existence. Both, agreeing on protocols/frameworks and creating mappings between protocols takes time and effort. An interoperability solution must be scalable and should not require stakeholders to adapt to major changes in their system i.e., systems should not need to be re-engineered as other systems are added, removed or replaced in the integration. IPSME is introduced as a solution for integrating highly disparate systems. IPSME decouples the dependencies between interacting participants. Interoperability is achieved through dynamic translations, with integrations external to the systems being integrated, avoiding the need for agreed-upon protocols or frameworks. Scalability is achieved by not having a limitation on the number of messaging environments or the topological organization thereof. IPSME is minimally invasive and through a network effect reduces the overall complexity of integrating many systems to linear. IPSME has been evaluated and thus far been tested in three use cases.</t>
  </si>
  <si>
    <t>978-1-4503-8436-0</t>
  </si>
  <si>
    <t>10.1145/3458307.3460966</t>
  </si>
  <si>
    <t>WOS:000769653000006</t>
  </si>
  <si>
    <t>Park, S; Kim, SP; Whang, M</t>
  </si>
  <si>
    <t>Park, Sung; Kim, Si Pyoung; Whang, Mincheol</t>
  </si>
  <si>
    <t>Individual's Social Perception of Virtual Avatars Embodied with Their Habitual Facial Expressions and Facial Appearance</t>
  </si>
  <si>
    <t>With the prevalence of virtual avatars and the recent emergence of metaverse technology, there has been an increase in users who express their identity through an avatar. The research community focused on improving the realistic expressions and non-verbal communication channels of virtual characters to create a more customized experience. However, there is a lack in the understanding of how avatars can embody a user's signature expressions (i.e., user's habitual facial expressions and facial appearance) that would provide an individualized experience. Our study focused on identifying elements that may affect the user's social perception (similarity, familiarity, attraction, liking, and involvement) of customized virtual avatars engineered considering the user's facial characteristics. We evaluated the participant's subjective appraisal of avatars that embodied the participant's habitual facial expressions or facial appearance. Results indicated that participants felt that the avatar that embodied their habitual expressions was more similar to them than the avatar that did not. Furthermore, participants felt that the avatar that embodied their appearance was more familiar than the avatar that did not. Designers should be mindful about how people perceive individuated virtual avatars in order to accurately represent the user's identity and help users relate to their avatar.</t>
  </si>
  <si>
    <t>Park, Sung/0000-0002-1242-9264</t>
  </si>
  <si>
    <t>10.3390/s21175986</t>
  </si>
  <si>
    <t>WOS:000694464300001</t>
  </si>
  <si>
    <t>Alsaleh, S; Tepljakov, A; Kose, A; Belikov, J; Petlenkov, E</t>
  </si>
  <si>
    <t>Alsaleh, Saleh; Tepljakov, Aleksei; Kose, Ahmet; Belikov, Juri; Petlenkov, Eduard</t>
  </si>
  <si>
    <t>ReImagine Lab: Bridging the Gap Between Hands-On, Virtual and Remote Control Engineering Laboratories Using Digital Twins and Extended Reality</t>
  </si>
  <si>
    <t>Practical work is one of the most important instructional tools in control engineering. To address concerns linked to the cost and space requirements of traditional hands-on laboratories, technology-enabled laboratory modes, such as virtual, remote, and take-home laboratory modes are proposed. Each of these alliterative laboratory modes has its own set of benefits and emphasizes a distinct learning goal. Furthermore, due to lockdown and physical proximity restrictions imposed by policies in response to the COVID-19 pandemic, the employment of these laboratory modes has been quickly increasing. The laboratories' development, operation, and maintenance become more fragmented as a result of these many possibilities. In this study, we propose  ReImagine Lab as a framework for leveraging digital twins and extended reality technologies to streamline the development and operation of hands-on, virtual, and remote laboratories. By increasing the level of interaction, immersion, and collaboration in technology-enabled laboratory forms, this framework intends to boost student engagement. The benefits of this framework are demonstrated by examining several use cases, and a 37-person system usability study is conducted to assess the usability of virtual laboratories employing desktop computers and immersive virtual reality.</t>
  </si>
  <si>
    <t>Belikov, Juri/I-5813-2015; wang, wjd/GSD-2051-2022; Petlenkov, Eduard/G-5537-2017</t>
  </si>
  <si>
    <t>Belikov, Juri/0000-0002-8243-7374; Petlenkov, Eduard/0000-0003-2167-6280; Alsaleh, Saleh/0000-0003-4948-0765; Tepljakov, Aleksei/0000-0002-7158-8484</t>
  </si>
  <si>
    <t>10.1109/ACCESS.2022.3199371</t>
  </si>
  <si>
    <t>WOS:000849262100001</t>
  </si>
  <si>
    <t>Pau, D; Denaro, D; Lattuada, M; Mseddi, M</t>
  </si>
  <si>
    <t>Pau, Danilo; Denaro, Davide; Lattuada, Marco; Mseddi, Mahdi</t>
  </si>
  <si>
    <t>Neural keypoint detection for visual gestures on micro-controllers</t>
  </si>
  <si>
    <t>The human pose estimation, particularly focused on the hands, is an important topic for the metaverse's researchers. Deep learning has increased the accuracy of keypoints detection applied to deformable objects, with respect to hand-crafted methods. Human hand pose recognition on color images has encouraged new application cases. This paper is focused on the visual hand keypoints estimation estimation in real time deployable on memory and computationally constrained embedded devices. In particular, implementing such technology on microcontrollers is one of the most challenging tasks since the model must be tiny enough to be deployable in less than one megabyte memory. while ensuring adequate accuracy. In this paper, the approach was based on image regression to achieve a proper key points approximation accuracy within the required memory and computation assets of the micro-controller. The quality of projection, complexity and reliability of the proposed solution were validated through comparative analysis of several hyper-parameters combinations, trained ad-hoc and quality measurements. As result, a modified memory optimized version of MobileNetV2 has been developed which required 0.73 MBytes of Flash memory and 0.385 MBytes of RAM memory. The percentage of detected joints achieved was equal to 77.7%. The inference time was, for example, 398 ms at 480MHz on STM32H7 featuring an ARM Cortex M7 instruction set.</t>
  </si>
  <si>
    <t>Lattuada, Marco/K-3425-2017</t>
  </si>
  <si>
    <t>Lattuada, Marco/0000-0003-0062-6049</t>
  </si>
  <si>
    <t>10.1109/MetroXRAINE54828.2022.9967631</t>
  </si>
  <si>
    <t>WOS:000947347200031</t>
  </si>
  <si>
    <t>Zhou, H; Huang, W; Xiao, Z; Zhang, SC; Li, WZ; Hu, JH; Feng, TX; Wu, J; Zhu, PC; Mao, YC</t>
  </si>
  <si>
    <t>Zhou, Hao; Huang, Wei; Xiao, Zhuo; Zhang, Shichuan; Li, Wangzhan; Hu, Jinhui; Feng, Tianxing; Wu, Jing; Zhu, Pengcheng; Mao, Yanchao</t>
  </si>
  <si>
    <t>Deep-Learning-Assisted Noncontact Gesture-Recognition System for Touchless Human-Machine Interfaces</t>
  </si>
  <si>
    <t>Human-machine interfaces (HMIs) play important role in the communication between humans and robots. Touchless HMIs with high hand dexterity and hygiene hold great promise in medical applications, especially during the pandemic of coronavirus disease 2019 (COVID-19) to reduce the spread of virus. However, current touchless HMIs are mainly restricted by limited types of gesture recognition, the requirement of wearing accessories, complex sensing platforms, light conditions, and low recognition accuracy, obstructing their practical applications. Here, an intelligent noncontact gesture-recognition system is presented through the integration of a triboelectric touchless sensor (TTS) and deep learning technology. Combined with a deep-learning-based multilayer perceptron neural network, the TTS can recognize 16 different types of gestures with a high average accuracy of 96.5%. The intelligent noncontact gesture-recognition system is further applied to control a robot for collecting throat swabs in a noncontact mode. Compared with present touchless HMIs, the proposed system can recognize diverse complex gestures by utilizing charges naturally carried on human fingers without the need of wearing accessories, complicated device structures, adequate light conditions, and achieves high recognition accuracy. This system could provide exciting opportunities to develop a new generation of touchless medical equipment, as well as touchless public facilities, smart robots, virtual reality, metaverse, etc.</t>
  </si>
  <si>
    <t>Mao, Yanchao/0000-0002-3436-633X</t>
  </si>
  <si>
    <t>10.1002/adfm.202208271</t>
  </si>
  <si>
    <t>WOS:000862066700001</t>
  </si>
  <si>
    <t>Yu, M; Cheng, X; Peng, SG; Cao, YZ; Lu, YM; Li, BY; Feng, XC; Zhang, Y; Wang, HY; Jiao, ZW; Wang, PF; Zhao, LY</t>
  </si>
  <si>
    <t>Yu, Meng; Cheng, Xiang; Peng, Shigang; Cao, Yingze; Lu, Yamei; Li, Bingyang; Feng, Xiangchao; Zhang, Yan; Wang, Haoyu; Jiao, Zhiwei; Wang, Pengfei; Zhao, Liangyu</t>
  </si>
  <si>
    <t>A self-sensing soft pneumatic actuator with closed-Loop control for haptic feedback wearable devices</t>
  </si>
  <si>
    <t>MATERIALS &amp; DESIGN</t>
  </si>
  <si>
    <t>The intuitive and effective haptic feedback interaction is essential for human-machine interfaces. However, most current commercial haptic feedback solutions are rigid, simplex, and insufficient to fully immerse users in virtual and teleoperated environments. Here, we report the design, fabrication and per-formance of a low-cost and lightweight self-sensing actuator (SenAct) that provides accurate force and vibration feedback to recreate the tactile perception. The SenAct shows good performance such as fast response (10 ms), high robustness (&gt;10,000 cycles), and large output force (up to 1.55 N) with high con-trollable resolution (up to 0.02 N) based on the real-time closed-loop control. It is capable of providing the corresponding haptic feedback to the wearer through external force or vibration signal input. With this prototype, we presented a haptic feedback glove that supports precise operation by enhancing immersion and comprehensive sensation. Furthermore, we demonstrated it could shape appropriate interaction in different scenarios, including touching or grasping objects in virtual reality and teleopera-tion, illustrating its potential applications in human-in-loop interaction system and metaverse. CO 2022 The Authors. Published by Elsevier Ltd. This is an open access article under the CC BY-NC-ND license (http://creativecommons.org/licenses/by-nc-nd/4.0/).</t>
  </si>
  <si>
    <t>Cheng, Xiang/HGC-6977-2022; wang, wjd/GSD-2051-2022</t>
  </si>
  <si>
    <t>Cheng, Xiang/0000-0002-7298-1800; Cao, Yingze/0000-0001-6593-3280</t>
  </si>
  <si>
    <t>0264-1275</t>
  </si>
  <si>
    <t>1873-4197</t>
  </si>
  <si>
    <t>10.1016/j.matdes.2022.111149</t>
  </si>
  <si>
    <t>WOS:000863422200007</t>
  </si>
  <si>
    <t>Rodriguez, FC; Dal Peraro, M; Abriata, LA</t>
  </si>
  <si>
    <t>Rodriguez, Fabio Cortes; Dal Peraro, Matteo; Abriata, Luciano A.</t>
  </si>
  <si>
    <t>Online tools to easily build virtual molecular models for display in augmented and virtual reality on the web</t>
  </si>
  <si>
    <t>JOURNAL OF MOLECULAR GRAPHICS &amp; MODELLING</t>
  </si>
  <si>
    <t>Several groups developed in the last years augmented and virtual reality (AR/VR) software to visualize 3D molecules, most rather static, limited in content, and requiring software installs, some even requiring expensive hardware. We launched in 2020 moleculARweb (https://molecularweb.epfl.ch), a website that offers interactive content for chemistry and structural biology education through commodity web-based AR that works on consumer devices like smartphones, tablets and laptops. Among thousands of users, teachers increasingly request more biological macromolecules to be available, a demand that we cannot address individually. Therefore, to allow users to build their own material, we built a web interface where they can create online AR experiences in few steps starting from Protein Data Bank, AlphaFold or custom uploaded structures, or from virtual objects/ scenes exported from the Visual Molecular Dynamics program, without any programming knowledge. The web tool also returns WebXR sessions for viewing and manipulating the models in WebXR-compatible devices including smartphones, tablets, and also immersive VR headsets with WebXR-capable browsers, where models can be manipulated even with bare hands when supported by the device. The tool is accessible for free at https:// molecularweb.epfl.ch/pages/pdb2ar.html.</t>
  </si>
  <si>
    <t>1093-3263</t>
  </si>
  <si>
    <t>1873-4243</t>
  </si>
  <si>
    <t>10.1016/j.jmgm.2022.108164</t>
  </si>
  <si>
    <t>WOS:000788146200002</t>
  </si>
  <si>
    <t>Cao, J; Lam, KY; Lee, LH; Liu, XL; Hui, P; Su, X</t>
  </si>
  <si>
    <t>Cao, Jacky; Lam, Kit-Yung; Lee, Lik-Hang; Liu, Xiaoli; Hui, Pan; Su, Xiang</t>
  </si>
  <si>
    <t>Mobile Augmented Reality: User Interfaces, Frameworks, and Intelligence</t>
  </si>
  <si>
    <t>ACM COMPUTING SURVEYS</t>
  </si>
  <si>
    <t>Mobile Augmented Reality (MAR) integrates computer-generated virtual objects with physical environments for mobile devices. MAR systems enable users to interact with MAR devices, such as smartphones and head-worn wearables, and perform seamless transitions from the physical world to a mixed world with digital entities. These MAR systems support user experiences using MAR devices to provide universal access to digital content. Over the past 20 years, several MAR systems have been developed, however, the studies and design of MAR frameworks have not yet been systematically reviewed from the perspective of user-centric design. This article presents the first effort of surveying existing MAR frameworks (count: 37) and further discusses the latest studies on MAR through a top-down approach: (1) MAR applications; (2) MAR visualisation techniques adaptive to user mobility and contexts; (3) systematic evaluation of MAR frameworks, including supported platforms and corresponding features such as tracking, feature extraction, and sensing capabilities; and (4) underlying machine learning approaches supporting intelligent operations within MAR systems. Finally, we summarise the development of emerging research fields and the current state-of-the-art and discuss the important open challenges and possible theoretical and technical directions. This survey aims to benefit both researchers and MAR system developers alike.</t>
  </si>
  <si>
    <t>Liu, Xiaoli/0000-0003-4792-2267; Lee, Lik Hang/0000-0003-1361-1612</t>
  </si>
  <si>
    <t>0360-0300</t>
  </si>
  <si>
    <t>1557-7341</t>
  </si>
  <si>
    <t>10.1145/3557999</t>
  </si>
  <si>
    <t>WOS:000924882300015</t>
  </si>
  <si>
    <t>Hsieh, YL; Lee, MF; Chen, GS; Wang, WJ</t>
  </si>
  <si>
    <t>Hsieh, Yu-Ling; Lee, Ming-Feng; Chen, Guey-Shya; Wang, Wei-Jie</t>
  </si>
  <si>
    <t>Application of Visitor Eye Movement Information to Museum Exhibit Analysis</t>
  </si>
  <si>
    <t>The motivation of this study is that after the COVID-19 epidemic, museum exhibition visits have also been significantly affected. The purpose of this research is to better understand the visual cognition of visitors, so as to improve the application of physical field or online exhibitions. Currently, no research is available on the differences in the visitor's viewing and cognitive process with eye movements sequence analysis that stem from the exhibition planning and design of different museums. This study tracks and analyzes the eye movement trajectories of visitors and studies its relation to learning and cognition and finds the key to influencing cognition through behavioral sequence analysis of displayed content. The results show that those interested in the displayed content have better cognitive performance, are immersed in reading text, and have a substantial shift in eye movement. Contrarily, those not interested in the displayed content are distracted and often turn their attention back to the title of the content. In this study, eye movement and fixation are indicators that can be used as a reference for the future design of displays to improve the effectiveness of presenting information to a visitor. Furthermore, this research can also provide future applications in integrating the virtual world and cognitive information, in the application of AR, VR, or metaverse environment, to provide people's cognition of rapid information in the virtual environment.</t>
  </si>
  <si>
    <t>10.3390/su14116932</t>
  </si>
  <si>
    <t>WOS:000809128300001</t>
  </si>
  <si>
    <t>Garai, M; Mahato, M; Nam, S; Kim, E; Seo, D; Lee, YH; Nguyen, V; Oh, S; Sambyal, P; Yoo, H; Taseer, AK; Syed, SA; Han, H; Ahn, CW; Kim, J; Oh, I</t>
  </si>
  <si>
    <t>Garai, Mousumi; Mahato, Manmatha; Nam, Sanghee; Kim, Eunji; Seo, Darae; Lee, Yonghee; Nguyen, Van Hiep; Oh, Saewoong; Sambyal, Pradeep; Yoo, Hyunjoon; Taseer, Ashhad Kamal; Syed, Sheraz Ali; Han, Hee; Ahn, Chi Won; Kim, Jaehwan; Oh, Il-Kwon</t>
  </si>
  <si>
    <t>Metal Organic Framework-MXene Nanoarchitecture for Fast Responsive and Ultra-Stable Electro-Ionic Artificial Muscles</t>
  </si>
  <si>
    <t>Electro-ionic soft actuators, capable of continuous deformations replacing non-compliant rigid mechanical components, attract increasing interest in the field of next-generation metaverse interfaces and soft robotics. Here, a novel MXene (Ti3C2Tx) electrode anchoring manganese-based 1,3,5-benzenetricarboxylate metal-organic framework (MnBTC) for ultrastable electro-ionic artificial muscles is reported. By a facile supramolecular self-assembly, the Ti3C2Tx-MnBTC hybrid nanoarchitecture forms coordinate bond, hydrogen bond, and hydrophilic interaction with the conducting polymer of poly(3,4-ethylenedioxythiophene) polystyrene sulfonate (PEDOT:PSS), resulting in a mechanically flexible and electro-ionically active electrode. The superior electrical and electrochemical performances of the electrode stem from the synergistic effects between intrinsically hierarchical nanoarchitecture of MnBTC and rapid electron transport behavior of Mxene, leading to fast diffusion and accommodation of ions in the ion-exchangeable membrane. The developed artificial muscle based on Ti3C2Tx-MnBTC is found to exhibit high bending displacement (12.5 mm) and ultrafast response time (0.77 s) under a low driving voltage (0.5 V), along with wide frequency response (0.1-10 Hz) and exceptional stability (98% retention at 43,200 s) without any distortion of actuation performance. Furthermore, the designed electro-active artificial muscle is successfully used to demonstrate mimicry of eye motions including eyelid blinking and eyeball movement in a doll.</t>
  </si>
  <si>
    <t>Mahato, Manmatha/HQZ-1615-2023</t>
  </si>
  <si>
    <t>Lee, Yonghee/0000-0002-6665-4651; Ali, Syed Sheraz/0000-0002-5222-9910</t>
  </si>
  <si>
    <t>10.1002/adfm.202212252</t>
  </si>
  <si>
    <t>WOS:000901926000001</t>
  </si>
  <si>
    <t>Chen, K; Liang, KW; Liu, H; Liu, RA; Liu, YY; Zeng, SJ; Tian, Y</t>
  </si>
  <si>
    <t>Chen, Kun; Liang, Kewei; Liu, He; Liu, Ruonan; Liu, Yiying; Zeng, Sijia; Tian, Ye</t>
  </si>
  <si>
    <t>Skin-Inspired Ultra-Tough Supramolecular Multifunctional Hydrogel Electronic Skin for Human-Machine Interaction</t>
  </si>
  <si>
    <t>Multifunctional supramolecular ultra-tough bionic e-skin with unique durability for human-machine interaction in complex scenarios still remains challenging. Herein, we develop a skin-inspired ultra-tough e-skin with tunable mechanical properties by a physical cross-linking salting-freezing-thawing method. The gelling agent (b-Glycerophosphate sodium: Gp) induces the aggregation and binding of PVA molecular chains and thereby toughens them (stress up to 5.79 MPa, toughness up to 13.96 MJ m(-3)). Notably, due to molecular self-assembly, hydrogels can be fully recycled and reprocessed by direct heating (100 degrees C for a few seconds), and the tensile strength can still be maintained at about 100% after six recoveries. The hydrogel integrates transparency (&gt; 60%), super toughness (up to 13.96 MJ m(-3), bearing 1500 times of its own tensile weight), good antibacterial properties (E. coli and S. aureus), UV protection (Filtration: 80%-90%), high electrical conductivity (4.72 S m(-1)), anti-swelling and recyclability. The hydrogel can not only monitor daily physiological activities, but also be used for complex activities underwater and message encryption/decryption. We also used it to create a complete finger joint rehabilitation system with an interactive interface that dynamically presents the user's health status. Our multifunctional electronic skin will have a profound impact on the future of new rehabilitation medical, human-machine interaction, VR/AR and the metaverse fields.</t>
  </si>
  <si>
    <t>10.1007/s40820-023-01084-8</t>
  </si>
  <si>
    <t>WOS:000971282800001</t>
  </si>
  <si>
    <t>Segal, Y; Hadar, O</t>
  </si>
  <si>
    <t>Dolev, S; Katz, J; Meisels, A</t>
  </si>
  <si>
    <t>Segal, Yoram; Hadar, Ofer</t>
  </si>
  <si>
    <t>Setting Up an Anonymous Gesture Database as Well as Enhancing It with a Verbal Script Simulator for Rehabilitation Applications</t>
  </si>
  <si>
    <t>CYBER SECURITY, CRYPTOLOGY, AND MACHINE LEARNING</t>
  </si>
  <si>
    <t>6th International Symposium on Cyber Security Cryptography and Machine Learning (CSCML)</t>
  </si>
  <si>
    <t>JUN 30-JUL 01, 2022</t>
  </si>
  <si>
    <t>Beer Sheva, ISRAEL</t>
  </si>
  <si>
    <t>Physical therapy patients are rehabilitated by performing exercises at home that do not consider proper movement and can be detrimental to the healing process. Maintaining patient anonymity is an important aspect of collecting patient data. Using our method, we are able to collect information about limb movements in a completely anonymous manner by taking a picture of the patient in the clinic and immediately converting the picture into an anatomical skeleton. A human gesture database accompanied by a verbal script simulator and anonymous tagging was created with the intention of tagging, measuring, and inferring human gestures using neural networks. We have developed a system that utilizes neural network autoencoder architecture to classify the quality and accuracy of patients' movements in videos. Since there is a lack of videos of tagged physiotherapy exercises, we simulate patients' movements to enhance the database. The purpose of this paper is to describe a simulator that mimics the output of OpenPose software so that synthetic human skeletal movements can be computed without utilizing OpenPose. As inputs, these vectors are fed to the autoencoder which, after compressing them into low dimension vectors, classifies them according to their movement using the Dynamic Time Warping (DTW) distance algorithm. Validation of the research was performed on a dataset of 7 different physiotherapy exercises, and 91.8% accuracy was achieved.</t>
  </si>
  <si>
    <t>978-3-031-07689-3; 978-3-031-07688-6</t>
  </si>
  <si>
    <t>10.1007/978-3-031-07689-3_13</t>
  </si>
  <si>
    <t>WOS:000876373600013</t>
  </si>
  <si>
    <t>Shah, SHH; Hameed, IA; Karlsen, AST; Solberg, M</t>
  </si>
  <si>
    <t>Shah, Syed Hammad Hussain; Hameed, Ibrahim A.; Karlsen, Anniken Susanne T.; Solberg, Mads</t>
  </si>
  <si>
    <t>Towards a Social VR-based Exergame for Elderly Users: An Exploratory Study of Acceptance, Experiences and Design Principles</t>
  </si>
  <si>
    <t>For many elderly individuals, the aging experience is associated with a lack of social interaction and physical exercise that may negatively affect their health. To address these issues, researchers have designed experiences based on immersive virtual reality (VR) and 2D screen-based exergames. However, very few have studied the use of social VR for elderly, in which users can interact remotely through avatars in a single, shared, immersive virtual environment, using a head-mounted display. Additionally, there is limited research on the experience of elderly in performing interactive activities, especially game-based activities, in social VR. We conducted an exploratory study with 10 elderly people who never experienced VR before, to evaluate an avatar-mediated interaction-based social VR game prototype. Based on a mixed-methods approach, our study presents new insights into the usability, acceptance, and game-play experience of elderly in a social VR game. Moreover, our study reflects upon design principles that should be considered when developing social VR games for elderly to ensure an engaging and safe user experience. Our results suggest that such games have a potential among the user group. Direct hand manipulation, based on hand tracking for interaction with 3D objects, presented an engaging and intuitive interaction paradigm, and the social game activity in VR was found to be enjoyable.</t>
  </si>
  <si>
    <t>Hameed, Ibrahim A./O-7761-2019</t>
  </si>
  <si>
    <t>Hameed, Ibrahim A./0000-0003-1252-260X; Karlsen, Anniken/0000-0002-6322-156X; Shah, Syed Hammad Hussain/0000-0003-2324-7623</t>
  </si>
  <si>
    <t>10.1007/978-3-031-05939-1_34</t>
  </si>
  <si>
    <t>WOS:000870217300032</t>
  </si>
  <si>
    <t>Shakeri, M; Sadeghi-Niaraki, A; Choi, SM; AbuHmed, T</t>
  </si>
  <si>
    <t>Shakeri, Maryam; Sadeghi-Niaraki, Abolghasem; Choi, Soo-Mi; AbuHmed, Tamer</t>
  </si>
  <si>
    <t>AR Search Engine: Semantic Information Retrieval for Augmented Reality Domain</t>
  </si>
  <si>
    <t>With the emergence of the metaverse, the popularity of augmented reality (AR) is increasing; accessing concise, accurate, and precise information in this field is becoming challenging on the world wide web. In regard to accessing the right information through search engines, semantic information retrieval via a semantic analysis delivers more relevant information pertaining to the user's query. However, there is insufficient research on developing semantic information retrieval methods in the AR domain that ranks and clusters AR-based search results in a fair fashion. This paper develops an AR search engine that automatically organizes, understands, searches, and summarizes web documents to enhance the relevancy scores in AR domains. The engine enables users to organize and manage relevant AR documents in various AR concepts and efficiently discover more accurate results in terms of relevancy in the AR field. First, we propose an AR ontology for clustering AR documents into AR topics and concepts. Second, we developed an ontology-based clustering method using the k-means clustering algorithm, vector space model, and term frequency-inverse document frequency (TF-IDF) weighting model with ontology to explore and cluster the AR documents. Third, an experiment was designed to evaluate the proposed AR search engine and compare it with the custom search engine in the AR domains. The results showed that the AR search engine accessed the right information about 42.33% faster and with a 34% better ranking.</t>
  </si>
  <si>
    <t>; ABUHMED, Tamer/AAQ-9890-2020</t>
  </si>
  <si>
    <t>Choi, Soo-Mi/0000-0002-6710-1434; ABUHMED, Tamer/0000-0001-9232-4843</t>
  </si>
  <si>
    <t>10.3390/su142315681</t>
  </si>
  <si>
    <t>WOS:000897284400001</t>
  </si>
  <si>
    <t>Tao, L; Jia, MS; Li, L; Wang, J; Xiang, Y</t>
  </si>
  <si>
    <t>Tao, Liang; Jia, Maoshen; Li, Lu; Wang, Jing; Xiang, Yang</t>
  </si>
  <si>
    <t>Multisource localization based on angle distribution of time-frequency points using an FOA microphone</t>
  </si>
  <si>
    <t>CAAI TRANSACTIONS ON INTELLIGENCE TECHNOLOGY</t>
  </si>
  <si>
    <t>Multisource localization occupies an important position in the field of acoustic signal processing and is widely applied in scenarios, such as human-machine interaction and spatial acoustic parameter acquisition. The direction-of-arrival (DOA) of a sound source is convenient to render spatial sound in the audio metaverse. A multisource localization method in a reverberation environment is proposed based on the angle distribution of time-frequency (TF) points using a first-order ambisonics (FOA) microphone. The method is implemented in three steps. 1) By exploring the angle distribution of TF points, a single-source zone (SSZ) detection method is proposed by using a standard deviation-based measure, which reveals the degree of convergence of TF point angles in a zone. 2) To reduce the effect of outliers on localization, an outlier removal method is designed to remove the TF points whose angles are far from the real DOAs, where the median angle of each detected zone is adopted to construct the outlier set. 3) DOA estimates of multiple sources are obtained by postprocessing of the angle histogram. Experimental results in both the simulated and real scenarios verify the effectiveness of the proposed method in a reverberation environment, which also show that the proposed method outperforms reference methods.</t>
  </si>
  <si>
    <t>Jia, Maoshen/0000-0002-3452-3913; Wang, Jing/0000-0002-3653-9951</t>
  </si>
  <si>
    <t>2468-6557</t>
  </si>
  <si>
    <t>2468-2322</t>
  </si>
  <si>
    <t>10.1049/cit2.12162</t>
  </si>
  <si>
    <t>WOS:000917754200001</t>
  </si>
  <si>
    <t>Wei, HT; Tang, L; Wang, WS; Zhang, JM</t>
  </si>
  <si>
    <t>Wei, Hongtao; Tang, Lei; Wang, Wenshuo; Zhang, Jiaming</t>
  </si>
  <si>
    <t>Home Environment Augmented Reality System Based on 3D Reconstruction of a Single Furniture Picture</t>
  </si>
  <si>
    <t>With the popularization of the concept of metaverse, Augmented Reality (AR) technology is slowly being applied to people's daily life as its underlying technology support. In recent years, rapid 3D reconstruction of interior furniture to meet AR shopping needs has become a new method. In this paper, a virtual home environment system is designed and the related core technologies in the system are studied. Background removal and instance segmentation are performed for furniture images containing complex backgrounds, and a Bayesian Classifier and GrabCut (BCGC) algorithm is proposed to improve on the traditional foreground background separation technique. The reconstruction part takes the classical occupancy network reconstruction algorithm as the network basis and proposes a precise occupancy network (PONet) algorithm, which can reconstruct the structural details of furniture images, and the model accuracy is improved. Because the traditional 3D registration model is prone to the problems of model position shift and inaccurate matching with the scene, the AKAZE-based tracking registration algorithm is improved, and a Multiple Filtering-AKAZE (MF-AKAZE) based on AKAZE is proposed to remove the matching points. The matching accuracy is increased by improving the RANSAC filtering mis-matching algorithm based on further screening of the matching results. Finally, the system is verified to realize the function of the AR visualization furniture model, which can better complete the reconstruction as well as registration effect.</t>
  </si>
  <si>
    <t>Zhang, Jiaming/GSD-8224-2022</t>
  </si>
  <si>
    <t>10.3390/s22114020</t>
  </si>
  <si>
    <t>WOS:000809890700001</t>
  </si>
  <si>
    <t>Laviola, E; Gattullo, M; Manghisi, VM; Fiorentino, M; Uva, AE</t>
  </si>
  <si>
    <t>Laviola, Enricoandrea; Gattullo, Michele; Manghisi, Vito Modesto; Fiorentino, Michele; Uva, Antonio Emmanuele</t>
  </si>
  <si>
    <t>Minimal AR: visual asset optimization for the authoring of augmented reality work instructions in manufacturing</t>
  </si>
  <si>
    <t>INTERNATIONAL JOURNAL OF ADVANCED MANUFACTURING TECHNOLOGY</t>
  </si>
  <si>
    <t>This work investigates the possibility of using a novel minimal AR authoring approach to optimize the visual assets used in augmented reality (AR) interfaces to convey work instructions in manufacturing. In the literature, there are no widely supported guidelines for the optimal choice of visual assets (e.g., CAD models, drawings, and videos). Therefore, to avoid the risk of having AR technical documentation based only on the author's preference, our work proposes a novel authoring approach that enforces the minimal amount of information to accomplish a task. Minimal AR was tested through a simulated AR LEGO-based assembly task. The performance (completion time, mental workload, errors) of 40 users was evaluated with 4 combinations of visual assets in 4 tasks with an increasing amount of information needed. The main result is that visual assets with an excess of information do not significantly increase performance. Therefore, the location of a specified object should be minimally authored by an auxiliary model (e.g., a circle and an arrow). For identifying an object within a couple, color coding is preferred to using additional visual assets. If more than two objects must be identified, a drawing visual asset is also needed. Only when the orientation of a selected object must be conveyed, animated product models are required. These insights could be helpful for an optimal design of AR work instructions in a wide range of industrial fields.</t>
  </si>
  <si>
    <t>Fiorentino, Michele/M-6976-2015</t>
  </si>
  <si>
    <t>Fiorentino, Michele/0000-0003-2197-6574; Laviola, Enricoandrea/0000-0002-7625-511X</t>
  </si>
  <si>
    <t>0268-3768</t>
  </si>
  <si>
    <t>1433-3015</t>
  </si>
  <si>
    <t>3-4</t>
  </si>
  <si>
    <t>10.1007/s00170-021-08449-6</t>
  </si>
  <si>
    <t>NOV 2021</t>
  </si>
  <si>
    <t>WOS:000723527000001</t>
  </si>
  <si>
    <t>Steinmetz, C; Schroeder, GN; Sulak, A; Tuna, K; Binotto, A; Rettberg, A; Pereira, CE</t>
  </si>
  <si>
    <t>Steinmetz, Charles; Schroeder, Greyce N.; Sulak, Adam; Tuna, Kaan; Binotto, Alecio; Rettberg, Achim; Pereira, Carlos Eduardo</t>
  </si>
  <si>
    <t>A methodology for creating semantic digital twin models supported by knowledge graphs</t>
  </si>
  <si>
    <t>2022 IEEE 27TH INTERNATIONAL CONFERENCE ON EMERGING TECHNOLOGIES AND FACTORY AUTOMATION (ETFA)</t>
  </si>
  <si>
    <t>IEEE International Conference on Emerging Technologies and Factory Automation-ETFA</t>
  </si>
  <si>
    <t>IEEE 27th International Conference on Emerging Technologies and Factory Automation (ETFA)</t>
  </si>
  <si>
    <t>SEP 06-09, 2022</t>
  </si>
  <si>
    <t>Stuttgart, GERMANY</t>
  </si>
  <si>
    <t>Digital Twin (DT) is a core concept in the digitalization process in the Industry 4.0 and upcoming innovations such as Industry 5.0 and Metaverse. This digitalization can result in a huge amount of data that has not been collected before and now can help to understand and optimize processes and products. However, an important challenge is to really understand what the data can mean and then find out new information and knowledge that can be used for further optimizations. Therefore, it is important to have the virtual representations that the DT proposes as close as possible to the real-world application in a way that it can be understood in the same way by different people and systems. In this context, semantics annotations can be used to organize data by inserting knowledge into the model and providing a common understanding of a specific concept. This paper proposes a methodology for creating semantic digital twin models using the well-known tool called Node-RED. A sequence of steps is described that covers data acquisition, semantics annotations to this incoming data, assets modeling with their relationships which generates a graph of nodes and connections that is saved into a graph database. To be able to realize such a model, 7 so-called nodes have been developed for Node-RED. Finally, a use case has been implemented to demonstrate the application of the proposed methodology.</t>
  </si>
  <si>
    <t>Pereira, Carlos Eduardo/0000-0003-4315-4256</t>
  </si>
  <si>
    <t>1946-0740</t>
  </si>
  <si>
    <t>1946-0759</t>
  </si>
  <si>
    <t>978-1-6654-9996-5</t>
  </si>
  <si>
    <t>10.1109/ETFA52439.2022.9921499</t>
  </si>
  <si>
    <t>WOS:000934103900067</t>
  </si>
  <si>
    <t>Tan, RC; Gao, RY; Li, WB; Cao, K; Li, Y; Lv, C; Wang, FY; Cao, D</t>
  </si>
  <si>
    <t>Tan, Ruichen; Gao, Ruiyang; Li, Wenbo; Cao, Kai; Li, Ying; Lv, Chen; Wang, Fei-Yue; Cao, Dongpu</t>
  </si>
  <si>
    <t>Xsickness in Intelligent Mobile Spaces and Metaverses</t>
  </si>
  <si>
    <t>Motion sickness is known to be a common problem that influences the comfort and work efficiency of human beings during their daily lives. With the proliferation of increasingly intelligent systems, the detection and mitigation of motion sickness will face more opportunities along with bigger challenges. On the one hand, the technology for integrated sensors in the intelligent system will provide more accurate and efficient methods for motion sickness detection. However, on the other hand, since cyber-physical systems have been gaining increasing concerns in the past two decades, the cyber-physical-social systems introduce and augment the social characteristics of such systems. The interactions between physical space and cyber space increase the chance of sensory conflicts when people use intelligent systems, such as traveling in intelligent cockpits or using metaverse-related virtual reality devices. The multimodal interaction methods and larger screens will cause more sensory conflicts. The symptoms will be more severe compared to traditional motion sickness. In this article, the classifications are first introduced based on the causes of motion sickness. A new type of multifactorial motion sickness (Xsickness) is discussed, which is foreseeable to be common with intelligent development. Then, the current state-of-the-art detection methods for motion sickness and cybersickness are summarized and theoretical methods for Xsickness detection are discussed. Finally, the mitigation methods based on motion reduction and four means of human perception are discussed and the innovative mitigation methods based on the intelligent system are also introduced.</t>
  </si>
  <si>
    <t>Lv, Chen/N-7055-2018</t>
  </si>
  <si>
    <t>Lv, Chen/0000-0001-6897-4512</t>
  </si>
  <si>
    <t>10.1109/MIS.2022.3208485</t>
  </si>
  <si>
    <t>WOS:000871033800011</t>
  </si>
  <si>
    <t>Quan, MX; Yao, QF; Liu, QY; Bu, ZQ; Ding, XZ; Xia, LQ; Lu, JY; Huang, WT</t>
  </si>
  <si>
    <t>Quan, Min Xia; Yao, Qing Feng; Liu, Qing Yu; Bu, Zhen Qi; Ding, Xue Zhi; Xia, Li Qiu; Lu, Jiao Yang; Huang, Wei Tao</t>
  </si>
  <si>
    <t>Microwave-Assisted Synthesis of Silver Nanoparticles for Multimode Colorimetric Sensing of Multiplex Metal Ions and Molecular Informatization Applications</t>
  </si>
  <si>
    <t>Plasmonic materials have been widely used in chemo/biosensing and biomedicine. However, little attention has been paid to the application of plasmonic materials in terms of the transition from molecular sensing to molecular informatization. Herein, we demonstrated that silver nanoparticles (AgNPs) prepared through facile and rapid microwave heating have multimode colorimetric sensing capabilities to different metal ions (Cr3+, Hg2+, and Ni2+), which can be further transformed into interesting and powerful molecular information technology (massively parallel molecular logic computing and molecular information protection). The prepared AgNPs can quantitatively and sensitively detect Cr3+ and Hg2+ in actual water samples. The AgNPs' multimode-guided multianalyte sensing processing was further investigated to construct a series of basic logic gates and advanced cascaded logic circuits by considering the analytes as the inputs and the colorimetric signals (like color, absorbance, wavelength shift) as the outputs. Moreover, the selective responses and molecular logic computing ability of AgNPs were also utilized to develop molecular cryptosteganography for encrypting and hiding some specific information, which proves that the molecular world and the information world are interconnected and use each other. This research not only opens the door for the transition from molecular sensing to molecular informatization but also provides an excellent opportunity for the construction of the metaverse of the molecular world.</t>
  </si>
  <si>
    <t>Huang, Wei Tao/J-1157-2019</t>
  </si>
  <si>
    <t>Huang, Wei Tao/0000-0003-2779-5547</t>
  </si>
  <si>
    <t>FEB 23</t>
  </si>
  <si>
    <t>10.1021/acsami.1c23559</t>
  </si>
  <si>
    <t>WOS:000757884100001</t>
  </si>
  <si>
    <t>Hong, W; Lee, J; Lee, WG</t>
  </si>
  <si>
    <t>Hong, Wonki; Lee, Jungmin; Lee, Won Gu</t>
  </si>
  <si>
    <t>A Size-Cuttable, Skin-Interactive Wearable Sensor for Digital Deciphering of Epidermis Wavy Deformation</t>
  </si>
  <si>
    <t>BIOSENSORS-BASEL</t>
  </si>
  <si>
    <t>Body shape and curvature are vital criteria for judging health. However, few studies exist on the curvature of the body. We present a skin-interactive electronic sticker that digitally decodes the epidermis deformation in a hybrid cartridge format (disposable bandages and non-disposable kits). The device consists of two functional modes: (1) as a thin electronic sticker of 76 mu m thickness and a node pitch of 7.45 mm for the measurement of body curvature in static mode, and (2) as a wrist bandage for the deciphering of skin wave fluctuations into a colored core-line map in dynamic mode. This method has high detection sensitivity in the static mode and high accuracy of 0.986 in the dynamic mode, resulting in an F-1 score of 0.966 in testing by feedforward deep learning. The results show that the device can decipher 32 delicate finger folding gestures by measuring skin depths and positions via image segmentation, leading to an optimal core line in a color map. This approach can help provide a better understanding of skin wave deflection and fluctuations for potential wearable applications, such as in delicate skin-related gesture control in the metaverse, rehabilitation programs for the brain-degenerate, and as a detector of biophysical state relating to body shape and curvature in the field of digital medicine.</t>
  </si>
  <si>
    <t>Hong, Wonki/AAC-6283-2021; Hong, Wonki/HTI-4523-2023</t>
  </si>
  <si>
    <t>Hong, Wonki/0000-0002-5667-8182; , Jungmin/0000-0002-5570-9979; Lee, Won Gu/0000-0003-1473-0672</t>
  </si>
  <si>
    <t>2079-6374</t>
  </si>
  <si>
    <t>10.3390/bios12080580</t>
  </si>
  <si>
    <t>WOS:000846088200001</t>
  </si>
  <si>
    <t>Jiang, JX; Streli, P; Qiu, HJ; Fender, A; Laich, L; Snape, P; Holz, C</t>
  </si>
  <si>
    <t>Jiang, Jiaxi; Streli, Paul; Qiu, Huajian; Fender, Andreas; Laich, Larissa; Snape, Patrick; Holz, Christian</t>
  </si>
  <si>
    <t>AvatarPoser: Articulated Full-Body Pose Tracking from Sparse Motion Sensing</t>
  </si>
  <si>
    <t>COMPUTER VISION - ECCV 2022, PT V</t>
  </si>
  <si>
    <t>Today's Mixed Reality head-mounted displays track the user's head pose in world space as well as the user's hands for interaction in both Augmented Reality and Virtual Reality scenarios. While this is adequate to support user input, it unfortunately limits users' virtual representations to just their upper bodies. Current systems thus resort to floating avatars, whose limitation is particularly evident in collaborative settings. To estimate full-body poses from the sparse input sources, prior work has incorporated additional trackers and sensors at the pelvis or lower body, which increases setup complexity and limits practical application in mobile settings. In this paper, we present AvatarPoser, the first learning-based method that predicts full-body poses in world coordinates using only motion input from the user's head and hands. Our method builds on a Transformer encoder to extract deep features from the input signals and decouples global motion from the learned local joint orientations to guide pose estimation. To obtain accurate full-body motions that resemble motion capture animations, we refine the arm joints' positions using an optimization routine with inverse kinematics to match the original tracking input. In our evaluation, AvatarPoser achieved new state-of-the-art results in evaluations on large motion capture datasets (AMASS). At the same time, our method's inference speed supports real-time operation, providing a practical interface to support holistic avatar control and representation for Metaverse applications.</t>
  </si>
  <si>
    <t>Streli, Paul/0000-0002-3334-7727; Holz, Christian/0000-0001-9655-9519; Qiu, Huajian/0000-0001-7792-0241; Fender, Andreas/0000-0002-5903-0736</t>
  </si>
  <si>
    <t>978-3-031-20064-9; 978-3-031-20065-6</t>
  </si>
  <si>
    <t>10.1007/978-3-031-20065-6_26</t>
  </si>
  <si>
    <t>WOS:000898287300026</t>
  </si>
  <si>
    <t>Choi, J; Lee, SJ</t>
  </si>
  <si>
    <t>Choi, Jungsik; Lee, Sejin</t>
  </si>
  <si>
    <t>A Suggestion of the Alternatives Evaluation Method through IFC-Based Building Energy Performance Analysis</t>
  </si>
  <si>
    <t>In a rapidly changing modern society, the construction industry is facing various issues, including the Fourth Industrial Revolution and climate change. Research on convergence between technologies such as artificial intelligence, AR/VR, IoT, and metaverse, and sustainable technologies such as green buildings and eco-friendly energy is being attempted in each field. The most important thing in the development of these technologies will be the interoperability of data. BIM is a technology that can effectively store data regardless of the size of a building or the amount of information and can be shared and stored without loss of data through an open format called IFC (industry foundation classes). This study aims to present a plan to generate alternatives and evaluate energy performance by analyzing the shape of the envelope for amorphous buildings through IFC. Design elements were derived through analysis of previous studies, and alternatives were automated by developing interfaces that can generate shapes according to the derived design elements. The generated alternatives can be compared and analyzed through the analysis of building energy by developing an evaluation system based on IFC. Based on the quantitative results in the initial design stage, the reliability of the design proposal considering the performance of the building is improved, and the process and cost can be predicted in advance; thus, it is expected to be an efficient decision support tool.</t>
  </si>
  <si>
    <t>10.3390/su15031797</t>
  </si>
  <si>
    <t>WOS:000931354600001</t>
  </si>
  <si>
    <t>Li, YW; Zhang, LW; Qiu, ZS; Jiang, YWQ; Li, NY; Ma, YX; Zhang, YY; Xu, L; Yu, JY</t>
  </si>
  <si>
    <t>Li, Yuwei; Zhang, Longwen; Qiu, Zesong; Jiang, Yingwenqi; Li, Nianyi; Ma, Yuexin; Zhang, Yuyao; Xu, Lan; Yu, Jingyi</t>
  </si>
  <si>
    <t>NIMBLE: A Non-rigid Hand Model with Bones and Muscles</t>
  </si>
  <si>
    <t>ACM TRANSACTIONS ON GRAPHICS</t>
  </si>
  <si>
    <t>Emerging Metaverse applications demand reliable, accurate, and photorealistic reproductions of human hands to perform sophisticated operations as if in the physical world. While real human hand represents one of the most intricate coordination between bones, muscle, tendon, and skin, state-of-the-art techniques unanimously focus on modeling only the skeleton of the hand. In this paper, we present NIMBLE, a novel parametric hand model that includes the missing key components, bringing 3D hand model to a new level of realism. We first annotate muscles, bones and skins on the recent Magnetic Resonance Imaging hand (MRI-Hand) dataset [Li et al. 2021] and then register a volumetric template hand onto individual poses and subjects within the dataset. NIMBLE consists of 20 bones as triangular meshes, 7 muscle groups as tetrahedral meshes, and a skin mesh. Via iterative shape registration and parameter learning, it further produces shape blend shapes, pose blend shapes, and a joint regressor. We demonstrate applying NIMBLE to modeling, rendering, and visual inference tasks. By enforcing the inner bones and muscles to match anatomic and kinematic rules, NIMBLE can animate 3D hands to new poses at unprecedented realism. To model the appearance of skin, we further construct a photometric HandStage to acquire high-quality textures and normal maps to model wrinkles and palm print. Finally, NIMBLE also benefits learning-based hand pose and shape estimation by either synthesizing rich data or acting directly as a differentiable layer in the inference network.</t>
  </si>
  <si>
    <t>zhang, long wen/0000-0001-8508-3359</t>
  </si>
  <si>
    <t>0730-0301</t>
  </si>
  <si>
    <t>1557-7368</t>
  </si>
  <si>
    <t>10.1145/3528223.3530079</t>
  </si>
  <si>
    <t>WOS:000830989200026</t>
  </si>
  <si>
    <t>Tran, NH; Tran, P; Lee, JH</t>
  </si>
  <si>
    <t>Tran, Nguyen-Hung; Tran, Phuong; Lee, Ji-Hoon</t>
  </si>
  <si>
    <t>Copper Nanowire-Sealed Titanium Dioxide/Poly(dimethylsiloxane) Electrode with an In-Plane Wavy Structure for a Stretchable Capacitive Strain Sensor</t>
  </si>
  <si>
    <t>ACS APPLIED NANO MATERIALS</t>
  </si>
  <si>
    <t>Although copper nanowire (Cu NW) has been considered to be one of the most promising conductive materials with low price and high conductivity, there have been a modest number of studies on Cu NW for stretchable applications. One of the fundamental problems that has limited the application of Cu NW is degradation of the conductivity due to fast oxidation. In addition, a complicated fabrication process, poor structure design, and low durability have also prevented the practical application of Cu NW. We propose an all-solution processing method to fabricate a Cu NW-based stretchable electrode with improved reliability. When Cu NWs were sealed with titanium dioxide and poly(dimethylsiloxane), the electrode exhibited long-term electrical stability. The stretchable electrode showed a low resistance change (Delta R/R-0), 0.2 under an applied tensile stress (epsilon) of up to 50%, and Delta R/R-0 increased only 10% after 1000 stretching cycles at epsilon of 30%. The sealed Cu NWs were applied to an interdigitated capacitive strain sensor (ICSS). The fabricated ICSS showed a linear response of the gauge factor (GF) with epsilon = -1.47 from theoretical calculations and -1.23 from the experimental results. Furthermore, the device displayed a stable sensing performance during a repeated stretching test at epsilon of 30% for 400 cycles.</t>
  </si>
  <si>
    <t>Tran, Nguyen-Hung/GLU-5091-2022</t>
  </si>
  <si>
    <t>Tran, Nguyen-Hung/0000-0002-2137-6205</t>
  </si>
  <si>
    <t>2574-0970</t>
  </si>
  <si>
    <t>MAY 27</t>
  </si>
  <si>
    <t>10.1021/acsanm.2c00963</t>
  </si>
  <si>
    <t>WOS:000823424000001</t>
  </si>
  <si>
    <t>Suk, H; Laine, TH</t>
  </si>
  <si>
    <t>Suk, Haejung; Laine, Teemu H.</t>
  </si>
  <si>
    <t>Influence of Avatar Facial Appearance on Users' Perceived Embodiment and Presence in Immersive Virtual Reality</t>
  </si>
  <si>
    <t>Immersive virtual reality (VR) based on head-mounted displays has been identified as one of the key interaction technologies of the future metaverse, which comprises diverse interconnected virtual worlds and users who traverse between those worlds and interact with each other. Interaction in immersive VR entails the use of avatars that represent users. Previous research has shown that avatar appearance (e.g., body type, body visibility, and realism) affects the senses of embodiment and presence, which are among the key indicators of successful immersive VR. However, research on how the similarity between an avatar's face and the user's face affects embodiment and presence is lacking. We conducted a mixed-method experiment with 23 young adults (10 males, 13 females, mean age: 25.22) involving a VR scene with rich embodiment, a virtual mirror, and interaction with a virtual character. The participants were assigned to two groups: Group 1 had avatars based on their own faces, and Group 2 had avatars based on a stranger's face. The results indicated that Group 1 experienced higher embodiment with no significant differences in presence scores. Additionally, we identified moderate and significant correlations between presence and embodiment, including their subscales. We conclude that the realism and similarity in an avatar's appearance is important for embodiment, and that both embodiment and presence are intertwined factors contributing to immersive VR user experience.</t>
  </si>
  <si>
    <t>10.3390/electronics12030583</t>
  </si>
  <si>
    <t>WOS:000929319500001</t>
  </si>
  <si>
    <t>Sun, GY; Liu, WL; Zhang, Y; Fraser, D</t>
  </si>
  <si>
    <t>Sun, Ganyun; Liu, Weilong; Zhang, Yun; Fraser, David</t>
  </si>
  <si>
    <t>Visual discomfort factor analysis and modeling for worldwide stereoscopic 3D maps</t>
  </si>
  <si>
    <t>EarthView3D is the first worldwide orthographic stereoscopic 3D (S3D) map. It presents an accurate presentation of the Earth's surface and can provide an immersive geospatial infrastructure for the upcoming metaverse ecosystems. This study conducted the first comprehensive assessment of the worldwide S3D maps, investigated the factors of visual discomfort, predicted discomfort level, and provided design recommendations for improving visual experience. Participants rated the S3D map images and reported the reasons for their visual discomfort. General Eye Symptom Questionnaires (GESQs) and Simplified Simulator Sickness Questionnaires (SSSQs) were used to record the development of visual fatigue with time. Six categories of measurable variables presumably related to visual discomfort were proposed based on participants' reports, IEEE standards, and literature on visual experience. Factor analysis extracted four principal factors, disparity, terrain texture, luminance, and amplitude spectrum, whose contributions to variance were 38%, 23%, 16%, and 11%, respectively. The selected variables and subjective mean rating scores were used to construct a regression model for the prediction of visual discomfort. Performance evaluation Root Mean Square Error (RMSE) was lower than that reported in previous studies on different S3D databases. The results indicated that besides vergence-accommodation conflict and depth cue conflict, perception of Earth terrain's textures and luminance played an important role in visual discomfort of viewing orthographic S3D maps.</t>
  </si>
  <si>
    <t>Sun, Ganyun/0000-0001-5200-6867</t>
  </si>
  <si>
    <t>10.1016/j.displa.2022.102281</t>
  </si>
  <si>
    <t>WOS:000883828200004</t>
  </si>
  <si>
    <t>Wu, YL</t>
  </si>
  <si>
    <t>Wu, Yulei</t>
  </si>
  <si>
    <t>Ethically Responsible and Trustworthy Autonomous Systems for 6G</t>
  </si>
  <si>
    <t>Following commercial deployment of 5G, 6G research has attracted attention from both academia and industry. 6G will continue to support what has been promised in 5G, and in addition to that, it will bring new opportunities for economic growth by offering high precision services such as immersive services and metaverse. 6G will be much more complex than 5G, and autonomous systems will be indispensable in reaching the aims of 6G networks. Autonomous systems for 6G let Al models themselves make decisions autonomously to operate the network and meet service requiremerits. Little or zero human intervention will be expected in the process of decision making. As many 6G services are mission-critical applications or have direct impacts on human lives, ethical responsibility and trustworthiness is a necessity of 6G autonomous systems and is also one of the key factors to ensure the success of 6G. In this article, we propose a new framework for ethically responsible and trustworthy autonomous systems for 6G by embedding an ethical platform for the responsible delivery of an Al project into the system design. In addition to the proposed framework, we also develop a closed control loop to reduce human intervention in the process of decision making. A case study on edge offloading is provided to show the practicality of the proposed framework. At the end of the article, we provide a list of research challenges and open issues that would be useful in guiding further research in this area.</t>
  </si>
  <si>
    <t>10.1109/MNET.005.2100711</t>
  </si>
  <si>
    <t>WOS:000870302200029</t>
  </si>
  <si>
    <t>Huang, QH; Ouyang, WM</t>
  </si>
  <si>
    <t>Huang, Qinhua; Ouyang, Weimin</t>
  </si>
  <si>
    <t>Generate Judge-View of Online Dispute Resolution Based on Pretrained-Model Method</t>
  </si>
  <si>
    <t>Online dispute resolution (ODR) is a mechanism to help people solving disputes with less price. Especially, ODR has the potential to be an solution to solve dispute in the virtual social environments, such as metaverse, blockchain, virtual reality, etc. Considering the scenarios where the future disputes might happen, it might between people and people, also could be between intelligent agents within those scenarios. Sometimes to protect privacy of the involved parts, one might prefer to solve the dispute without leaking the unrelated private information. The traditional judge process usually need to solve problems by limited steps within an appropriate time span. The NLP encoder-decoder model give a possible solution to such kinds of problems. Currently the courts mainly make decision by professional human judges. With the convenience of informational law procedures, vary kinds of cases, including cases from legal, e-commerce, social network increased rapidly in amount. To help generate judge view automatically can help human judge relieve workloads, thus promote the efficiency of cases-processing task. In some scenarios with simple procedure adopted, the generated judge view might finish some lawsuits directly. We propose a method using pre-trained model to accelerate the judge-view generation. Thus, it can give the ODR a fast reference to resolution produce. In this paper, we present a method to build judge view generation model for ODR. The main benefit is that this model-construction mechanism using pre-trained language model can transfer to variant scenarios easily by only a few works of low code fine-tuning. Our experiment showed our method is effective and can have a promising scalability within a certain extent.</t>
  </si>
  <si>
    <t>10.1007/978-3-031-13832-4_14</t>
  </si>
  <si>
    <t>WOS:000870337200014</t>
  </si>
  <si>
    <t>Lian, GH</t>
  </si>
  <si>
    <t>Lian, Guohua</t>
  </si>
  <si>
    <t>Blockchain-Based Secure and Trusted Distributed International Trade Big Data Management System</t>
  </si>
  <si>
    <t>As an object of rapid development of Internet technology in recent years, network security has attracted more and more attention from people from all walks of life and has gradually become a topic in international trade activities. The application of blockchain is also extremely extensive, involving many aspects, such as the development of the metaverse game engine and bank financing. With the launch of the Belt and Road strategy, trade exchanges have become more and more frequent, and at the same time, cross-border e-commerce, a new type of industry that applies Internet information technology, has emerged. The application of blockchain technology to international trade big data processing can not only improve the utilization rate of massive transaction information resources shared by enterprises, governments, financial institutions, and other institutions, but also reduce enterprise costs. The use of blockchain improves the efficiency of data storage, reduces the degree of encryption, and reduces the amount of database access and server resource occupation. This paper mainly studied the application of blockchain in international trade big data system, introduced its secure and trusted distributed network architecture, and analyzed its performance. The experimental results showed that the performance of the decentralized manager was better than that of the centralized manager when processing a large amount of data. The peak throughput of the decentralized manager was about 450 pcs/sec and the peak throughput of the centralized manager was about 150 pcs/sec. And the performance of the storage system in the local area network was better than that in the public network.</t>
  </si>
  <si>
    <t>SEP 12</t>
  </si>
  <si>
    <t>10.1155/2022/7585288</t>
  </si>
  <si>
    <t>WOS:000861306900006</t>
  </si>
  <si>
    <t>Manuri, F; Gravina, N; Sanna, A; Brizzi, P</t>
  </si>
  <si>
    <t>Manuri, Federico; Gravina, Nicola; Sanna, Andrea; Brizzi, Paolo</t>
  </si>
  <si>
    <t>Prototyping industrial workstation in the Metaverse: a Low Cost Automation assembly use case</t>
  </si>
  <si>
    <t>Low-cost Automation (LCA) represents a relevant use case that can benefit from a design and prototyping step experienced in Immersive Virtual Reality (IVR). LCA is a technology that automates some activities using mostly standard automation components available off-the-shelf. However, since LCA systems should adapt to existing standard production lines and workstations, workers need to customize standard LCA templates. This adaptation and customization step is usually performed on the real, physical LCA system, thus, it can be very time-consuming, and in case of errors it may be necessary to rebuild many parts from scratch. This paper investigates the usage of an Immersive Virtual Environment (IVE) as a tool for rapid and easy prototyping of LCA solutions. The proposed system loads from a digital library the 3D models of the components and provides users a set of tools to speed up the LCA system creation in a virtual room experienced through an IVR Headset. When the user completes the creation of the LCA system, it is possible to simulate its physical properties using the Unity 3D Physical Engine. Moreover, it is possible to obtain a list of all the pieces needed to build the prototype and their dimensions, to easily reproduce them in the real world. To assess the usability of the proposed system, a LCA building task has been defined, whereas users had to build a LCA solution using a template model for reference. Results show that the system usability has been highly appreciated by both skilled users and inexperienced ones.</t>
  </si>
  <si>
    <t>MANURI, FEDERICO/0000-0002-6599-9949; SANNA, Andrea/0000-0001-7916-1699</t>
  </si>
  <si>
    <t>10.1109/MetroXRAINE54828.2022.9967626</t>
  </si>
  <si>
    <t>WOS:000947347200024</t>
  </si>
  <si>
    <t>Xu, J; Tat, T; Zhao, X; Zhou, YH; Ngo, D; Xiao, X; Chen, J</t>
  </si>
  <si>
    <t>Xu, Jing; Tat, Trinny; Zhao, Xun; Zhou, Yihao; Ngo, Diantha; Xiao, Xiao; Chen, Jun</t>
  </si>
  <si>
    <t>A programmable magnetoelastic sensor array for self-powered human-machine interface</t>
  </si>
  <si>
    <t>APPLIED PHYSICS REVIEWS</t>
  </si>
  <si>
    <t>Skin-integrated electronics that directly interact with machines are transforming our ways of life toward the emerging trend of the metaverse. Consequently, developing a wearable and skin-conformal interface that simultaneously features waterproofness, low cost, and low power consumption for human-machine interaction remains highly desired. Herein, a stretchable, inexpensive, and waterproof magnetoelastic sensor array has been developed as a secondary skin for self-powered human-machine interaction. The magnetoelastic sensor array utilizes the giant magnetoelastic effect in a soft system, which converts mechanical pressure to magnetic field variation and, when coupled with the magnetic induction, can generate electricity. In such a way, our magnetoelastic sensor array comprises the giant magnetomechanical coupling layer made up of nanomagnets and a porous silicone rubber matrix, and the magnetic induction layer, which are coils patterned by liquid metal. With programmable functionalities, the soft magnetoelastic sensor array can supply different commands by producing bespoke electric signals from human finger touch with an optimal signal-to-noise ratio of 34 dB and a rapid response time of 0.2s. To pursue a practical application, the soft magnetoelastic sensor array can wirelessly turn on and off a household lamp and control a music speaker via Bluetooth continuously in real time, even with contact with high-humidity environments such as heavy perspiration. With a collection of compelling features, the soft magnetoelastic sensor array puts forth a unique and savvy avenue of self-powered bioelectronic technology that practically enables a wider variety of applications for wearable human-machine interaction. Published under an exclusive license by AIP Publishing.</t>
  </si>
  <si>
    <t>Chen, Jun/K-3415-2012; Xiao, Xiao/IAN-3011-2023</t>
  </si>
  <si>
    <t>Chen, Jun/0000-0002-3439-0495; Tat, Trinny/0000-0002-9068-8325; Xu, Jing/0000-0003-3157-6902; Xiao, Xiao/0000-0002-7861-5596</t>
  </si>
  <si>
    <t>1931-9401</t>
  </si>
  <si>
    <t>10.1063/5.0094289</t>
  </si>
  <si>
    <t>WOS:000838416700001</t>
  </si>
  <si>
    <t>Lu, R; Shi, SP; Wang, D; Hu, C; Zhang, BH</t>
  </si>
  <si>
    <t>Lu, Rui; Shi, Siping; Wang, Dan; Hu, Chuang; Zhang, Bihai</t>
  </si>
  <si>
    <t>Preva: Protecting Inference Privacy through Policy-based Video-frame Transformation</t>
  </si>
  <si>
    <t>2022 IEEE/ACM 7TH SYMPOSIUM ON EDGE COMPUTING (SEC 2022)</t>
  </si>
  <si>
    <t>IEEE/ACM 7th Symposium on Edge Computing (SEC)</t>
  </si>
  <si>
    <t>DEC 05-08, 2022</t>
  </si>
  <si>
    <t>Seattle, WA</t>
  </si>
  <si>
    <t>IEEE,Assoc Comp Machinery,IEEE Comp Soc</t>
  </si>
  <si>
    <t>Real-time edge-cloud video analytics systems have been widely used to support such applications as traffic counting, surveillance, autonomous driving, Metaverse, etc. In such a system, the edge and the cloud cooperatively conduct model inference of the video frames captured by the camera of the edge, using a trained DNN model of the video analytics application. The edge conducts initial analytics on the video frames to a split layer of the DNN model; and then sends intermediate results to the cloud for follow-up analytics. In this paper, we show that an attacker can perform reconstruction attacks to the intermediate results; and private information of the raw video frames, e.g., a plate number of a car, can be leaked. In this paper, we present Preva, a new Privacy preserving Real-time Edge-cloud Video Analytics system. The core idea of Preva is to conduct image transformation on the video frames, as preprocessing, prior to the video frames starting the edge-cloud video analytics process, so that during edge-cloud video analytics, the intermediate results will not leak private information under attack. We design a policy-based video-frame transformation scheme. Given the resource constraints of the edge, Preva ensures high accuracy in the final video analytics results and minimizes privacy leakage in any split layer. We present a formal privacy analysis and we show that Preva can guarantee privacy leakage under the reconstruction attacks of both outsider attackers and insider attackers. We evaluate Preva through three video analytics applications and we show that Preva outperforms existing systems for 64.4% in analytics accuracy and 59.2% in privacy leakage.</t>
  </si>
  <si>
    <t>978-1-6654-8611-8</t>
  </si>
  <si>
    <t>10.1109/SEC54971.2022.00021</t>
  </si>
  <si>
    <t>WOS:000918607200014</t>
  </si>
  <si>
    <t>Imperius, NP; Alahmar, AD</t>
  </si>
  <si>
    <t>Imperius, Nicholas Paul; Alahmar, Ayman Diyab</t>
  </si>
  <si>
    <t>Systematic Mapping of Testing Smart Contracts for Blockchain Applications</t>
  </si>
  <si>
    <t>In the last few years, the technological future becoming apparent by the introduction of smart contracts into mainstream technology, specifically in the development of Web3 and the metaverse. Smart contracts will play a vital role in the decentralization and autonomy of the day-to-day tasks that must be completed. Several literature reviews, considered secondary sources, highlight the current state of testing methods for smart contracts made for Blockchain applications. In this paper, we present the results from a systematic mapping study to give structure to the information found from primary sources. Systematic mapping is a well-known method to identify and categorize research papers in a field with an increasing amount of literature. For this systematic mapping, we searched for studies between 2017 and present-day (March 2022) and were able to find 303 results, from which 47 were selected, by specific inclusion and exclusion criteria, to be relevant to this study. A concept map was created from the information gathered from primary sources to the attributes such as research type, contribution type, blockchain network, smart contract language, development process, testing methods, and testing environment. We also categorized the trends and demographics found in the selected papers based on publication year, author's country, and more. The results of this systematic mapping showed that this field is very new and quickly increasing with new research. The researchers that are interested in this field could use the results found to create opportunities for their future work.</t>
  </si>
  <si>
    <t>Diyab, Ayman/0000-0003-4011-1023; Imperius, Nicholas/0000-0002-2124-056X</t>
  </si>
  <si>
    <t>10.1109/ACCESS.2022.3216874</t>
  </si>
  <si>
    <t>WOS:000878136700001</t>
  </si>
  <si>
    <t>Feng, HW; Bolkart, T; Tesch, J; Black, MJ; Abrevaya, V</t>
  </si>
  <si>
    <t>Feng, Haiwen; Bolkart, Timo; Tesch, Joachim; Black, Michael J.; Abrevaya, Victoria</t>
  </si>
  <si>
    <t>Towards Racially Unbiased Skin Tone Estimation via Scene Disambiguation</t>
  </si>
  <si>
    <t>COMPUTER VISION, ECCV 2022, PT XIII</t>
  </si>
  <si>
    <t>Virtual facial avatars will play an increasingly important role in immersive communication, games and the metaverse, and it is therefore critical that they be inclusive. This requires accurate recovery of the albedo, regardless of age, sex, or ethnicity. While significant progress has been made on estimating 3D facial geometry, appearance estimation has received less attention. The task is fundamentally ambiguous because the observed color is a function of albedo and lighting, both of which are unknown. We find that current methods are biased towards light skin tones due to (1) strongly biased priors that prefer lighter pigmentation and (2) algorithmic solutions that disregard the light/albedo ambiguity. To address this, we propose a new evaluation dataset (FAIR) and an algorithm (TRUST) to improve albedo estimation and, hence, fairness. Specifically, we create the first facial albedo evaluation benchmark where subjects are balanced in terms of skin color, and measure accuracy using the Individual Typology Angle (ITA) metric. We then address the light/albedo ambiguity by building on a key observation: the image of the full scene -as opposed to a cropped image of the face-contains important information about lighting that can be used for disambiguation. TRUST regresses facial albedo by conditioning on both the face region and a global illumination signal obtained from the scene image. Our experimental results show significant improvement compared to state-of-the-art methods on albedo estimation, both in terms of accuracy and fairness. The evaluation benchmark and code are available for research purposes at https://trust.is.tue.mpg.de.</t>
  </si>
  <si>
    <t>978-3-031-19777-2; 978-3-031-19778-9</t>
  </si>
  <si>
    <t>10.1007/978-3-031-19778-9_5</t>
  </si>
  <si>
    <t>WOS:000897100100005</t>
  </si>
  <si>
    <t>Kriklenko, E; Kovaleva, A; Klimenko, A; Dukuev, U; Pertsov, S</t>
  </si>
  <si>
    <t>Kriklenko, Elena; Kovaleva, Anastasia; Klimenko, Aleksei; Dukuev, Usman; Pertsov, Sergey</t>
  </si>
  <si>
    <t>Multimodal Assessment of Changes in Physiological Indicators when Presenting a Video Fragment on Screen (2D) versus a VR (3D) Environment</t>
  </si>
  <si>
    <t>BEHAVIOURAL NEUROLOGY</t>
  </si>
  <si>
    <t>The increasing role of virtual environments in society, especially in the context of the pandemic and evolving metaverse technologies, requires a closer study of the physiological state of humans using virtual reality (VR) for entertainment, work, or learning. Despite the fact that many physiological reactions to the content presented in various modalities under VR conditions have already been described, often these studies do not reflect the full range of changes in the physiological reactions that occur to a person during their immersion in the virtual world. This study was designed to find and compare the most sensitive physiological indicators that change when viewing an emotionally intense video fragment in standard format on screen and in virtual reality conditions (in a VR helmet). The research methodology involved randomly presenting a group of subjects with visual content-a short video clip-first on screen (2D) and then in a virtual reality helmet (3D). A special feature of this study is the use of multimodal physiological state assessment throughout the content presentation, in conjunction with psychological testing of the study participants before and after the start of the study. It has been discovered that the most informative physiological indicators reflecting the subjects' condition under virtual reality conditions were changes in theta rhythm amplitude, skin conductance, standard deviation of normal RR-intervals (SDRR), and changes in photoplethysmogram (PPG). The study results suggest that in the process of immersion in a virtual environment, the participants develop a complex functional state, different from the state when watching on screen, which is characterised by the restructuring of autonomic regulation and activation of emotion structures of the brain.</t>
  </si>
  <si>
    <t>Kriklenko, Elena/GWU-9411-2022; Kovaleva, Anastasia/O-7692-2016</t>
  </si>
  <si>
    <t>Dukuev, Usman/0000-0002-7083-2676; Kovaleva, Anastasia/0000-0001-7377-3408; Kriklenko, Elena/0000-0002-9856-5426; Klimenko, Aleksei/0000-0002-0488-7871</t>
  </si>
  <si>
    <t>0953-4180</t>
  </si>
  <si>
    <t>1875-8584</t>
  </si>
  <si>
    <t>NOV 28</t>
  </si>
  <si>
    <t>10.1155/2022/5346128</t>
  </si>
  <si>
    <t>WOS:000896927300001</t>
  </si>
  <si>
    <t>Magalhaes, LC; Magalhaes, LC; Ramos, JB; Moura, LR; de Moraes, REN; Goncalves, JB; Hisatugu, WH; Souza, MT; de Lacalle, LNL; Ferreira, JCE</t>
  </si>
  <si>
    <t>Magalhaes, Laurence C.; Magalhaes, Luciano C.; Ramos, Jhonatan B.; Moura, Luciano R.; de Moraes, Renato E. N.; Goncalves, Joao B.; Hisatugu, Wilian H.; Souza, Marcelo T.; de Lacalle, Luis N. L.; Ferreira, Joao C. E.</t>
  </si>
  <si>
    <t>Conceiving a Digital Twin for a Flexible Manufacturing System</t>
  </si>
  <si>
    <t>Digitization and virtualization represent key factors in the era of Industry 4.0. Digital twins (DT) can certainly contribute to increasing the efficiency of various productive sectors as they can contribute to monitoring, managing, and improvement of a product or process throughout its life cycle. Although several works deal with DTs, there are gaps regarding the use of this technology when a Flexible Manufacturing System (FMS) is used. Existing work, for the most part, is concerned with simulating the progress of manufacturing without providing key production data in real-time. Still, most of the solutions presented in the literature are relatively expensive and may be difficult to implement in most companies, due to their complexity. In this work, the digital twin of an FMS is conceived. The specific module of an ERP (Enterprise Resources Planning) system is used to digitize the physical entity. Production data is entered according to tryouts performed in the FMS. Sensors installed in the main components of the FMS, CNC (computer numerical control) lathe, robotic arm, and pallet conveyor send information in real-time to the digital entity. The results show that simulations using the digital twin present very satisfactory results compared to the physical entity. In time, information such as production rate, queue management, feedstock, equipment, and pallet status can be easily accessed by operators and managers at any time during the production process, confirming the MES (manufacture execution system) efficiency. The low-cost hardware and software used in this work showed its feasibility. The DT created represents the initial step towards designing a metaverse solution for the manufacturing unit in question, which should operate in the near future as a smart and autonomous factory model.</t>
  </si>
  <si>
    <t>Lopez de Lacalle, Luis norberto/B-5386-2014; Hisatugu, Wilian Hiroshi/HSF-5746-2023; Ferreira, Joao/HNP-5121-2023; Ferreira, Joao Carlos E/B-5513-2013; Tramontin Souza, Marcelo/P-3814-2018</t>
  </si>
  <si>
    <t>Lopez de Lacalle, Luis norberto/0000-0002-1573-2787; Ferreira, Joao Carlos E/0000-0001-7746-4354; Tramontin Souza, Marcelo/0000-0002-7831-4451; Magalhaes, Laurence/0000-0001-7950-652X</t>
  </si>
  <si>
    <t>10.3390/app12199864</t>
  </si>
  <si>
    <t>WOS:000866645700001</t>
  </si>
  <si>
    <t>Qi, LH; Zhang, X; Chong, WC; Lau, KM</t>
  </si>
  <si>
    <t>Qi, Longheng; Zhang, Xu; Chong, Wing Cheung; Lau, Kei May</t>
  </si>
  <si>
    <t>Monolithically integrated high-resolution full-color GaN-on-Si micro-LED microdisplay</t>
  </si>
  <si>
    <t>PHOTONICS RESEARCH</t>
  </si>
  <si>
    <t>Full-color micro-LED displays are being widely developed and regarded as a primary option in current micro-display technologies to fulfill the urgent demands of metaverse applications in the next decade. In this paper, a monolithic full-color micro-LED microdisplay with a resolution of 423 pixels per inch is demonstrated through the integration of a blue GaN-on-Si display module and a quantum dots photoresist (QDs-PR) color conversion module. The 400 x 240 active-matrix blue micro-LED display with a dominant wavelength of 440 nm was monolithically fabricated using GaN-on-Si epiwafers and flip-chip bonded on a custom-designed complementary metal-oxide semiconductor backplane. A color conversion module was independently fabricated on a 4-in. sapphire substrate by applying red and green QDs-PR arrays and a color filter array through the standard lithography process. Combining the blue GaN-on-Si micro-LED display module and the lithography-based QDs-PR color conversion module, a full-color micro-LED display was achieved with a wide color gamut up to 104% of the standard red, green, and blue and a maximum brightness of over 500 nits. The influence of blue light leakage resulting from the possible misalignment of flip-chip bonding and crosstalk in the bottom GaN-on-Si display was investigated in which the percentages of efficient pumping light for the blue, green, and red subpixels are around 95%, 89%, and 92%, respectively. This prototype demonstrates potential scalability and low-cost volume production of high-resolution full-color micro-LED microdisplays soon. (c) 2022 Chinese Laser Press</t>
  </si>
  <si>
    <t>Lau, Kei May/0000-0002-7713-1928; Qi, Longheng/0000-0002-1012-5697</t>
  </si>
  <si>
    <t>2327-9125</t>
  </si>
  <si>
    <t>10.1364/PRJ.465489</t>
  </si>
  <si>
    <t>WOS:000933371600013</t>
  </si>
  <si>
    <t>Guo, WY; Xia, YF; Zhu, Y; Han, SL; Li, QQ; Wang, X</t>
  </si>
  <si>
    <t>Guo, Wenyu; Xia, Yifan; Zhu, Yan; Han, Shilei; Li, Qingqing; Wang, Xin</t>
  </si>
  <si>
    <t>Laser-induced graphene based triboelectric nanogenerator for accurate wireless control and tactile pattern recognition</t>
  </si>
  <si>
    <t>Accurate control interfaces and high-sensitive tactile sensing are essential for normal and efficient operation of intelligent robots. Despite most research focus on human-machine interface (HMI), little attention is paid to autonomous control interface of the robots. Simultaneous achievement of both accurate control interface and tactile array sensing in one device has been a fundamental challenge in developing intelligent robots. Herein, one device integrated by two different working-mode laser-induced graphene (LIG)-based triboelectric nanogenerators (TENGs) is developed to achieve simultaneously its accurate wireless control and tactile pattern recognition capability. Based on the same triboelectric effect, both the rolling of nylon pellet on the poly (vinylidene fluoride-co-hexafluoro propylene) (PVDF-HFP) concave surface and the touching on the tactile pattern recognition array can excite the LIG electrodes to generate voltage outputs, which can be further employed for accurate wireless control and real-time tactile sensing (pressure sensitivity of 2.2 V/kPa within 0-2.8 kPa), respectively. When combining with a microprocessor, the accurate control interface layer based on eight parallel freestanding interdigital electrode-based TENGs on a concave cavity of silicone rubber can wirelessly operate motion direction of a miniature car as a proof-of-concept. Meanwhile, the tactile imaging of an 8 x 8 sensing array based on single-electrode TENG can successfully achieve tactile pattern recognition. Consequently, the multifunctional device integrated by two different LIG-based TENGs has achieved simultaneously accurate wireless control and sensitive tactile pattern recognition, which would demonstrate a promising application in metaverse, unmanned vehicles, and intelligent robots.</t>
  </si>
  <si>
    <t>wang, xin/M-4738-2017</t>
  </si>
  <si>
    <t>wang, xin/0000-0001-5492-8152</t>
  </si>
  <si>
    <t>10.1016/j.nanoen.2023.108229</t>
  </si>
  <si>
    <t>WOS:000927360900001</t>
  </si>
  <si>
    <t>Saffari, F; Kakaria, S; Bigne, E; Bruni, LE; Zarei, S; Ramsoy, TZ</t>
  </si>
  <si>
    <t>Saffari, Farzad; Kakaria, Shobhit; Bigne, Enrique; Bruni, Luis E.; Zarei, Sahar; Ramsoy, Thomas Z.</t>
  </si>
  <si>
    <t>Motivation in the metaverse: A dual-process approach to consumer choices in a virtual reality supermarket</t>
  </si>
  <si>
    <t>FRONTIERS IN NEUROSCIENCE</t>
  </si>
  <si>
    <t>IntroductionConsumer decision-making processes involve a complex interrelation between perception, emotion, and cognition. Despite a vast and diverse literature, little effort has been invested in investigating the neural mechanism behind such processes. MethodsIn the present work, our interest was to investigate whether asymmetrical activation of the frontal lobe of the brain could help to characterize consumer's choices. To obtain stronger experimental control, we devised an experiment in a virtual reality retail store, while simultaneously recording participant brain responses using electroencephalogram (EEG). During the virtual store test, participants completed two tasks; first, to choose items from a predefined shopping list, a phase we termed as planned purchase. Second, subjects were instructed that they could also choose products that were not on the list, which we labeled as unplanned purchase. We assumed that the planned purchases were associated with a stronger cognitive engagement, and the second task was more reliant on immediate emotional responses. ResultsBy analyzing the EEG data based on frontal asymmetry measures, we find that frontal asymmetry in the gamma band reflected the distinction between planned and unplanned decisions, where unplanned purchases were accompanied by stronger asymmetry deflections (relative frontal left activity was higher). In addition, frontal asymmetry in the alpha, beta, and gamma ranges illustrate clear differences between choices and no-choices periods during the shopping tasks. DiscussionThese results are discussed in light of the distinction between planned and unplanned purchase in consumer situations, how this is reflected in the relative cognitive and emotional brain responses, and more generally how this can influence research in the emerging area of virtual and augmented shopping.</t>
  </si>
  <si>
    <t>1662-453X</t>
  </si>
  <si>
    <t>FEB 16</t>
  </si>
  <si>
    <t>10.3389/fnins.2023.1062980</t>
  </si>
  <si>
    <t>WOS:000942239600001</t>
  </si>
  <si>
    <t>Zhang, JJ; Huang, MJ; Yang, R; Wang, YQ; Tang, XH; Han, J; Liang, HN</t>
  </si>
  <si>
    <t>Zhang, Jingjing; Huang, Mengjie; Yang, Rui; Wang, Yiqi; Tang, Xiaohang; Han, Ji; Liang, Hai-Ning</t>
  </si>
  <si>
    <t>Understanding the effects of hand design on embodiment in virtual reality</t>
  </si>
  <si>
    <t>AI EDAM-ARTIFICIAL INTELLIGENCE FOR ENGINEERING DESIGN ANALYSIS AND MANUFACTURING</t>
  </si>
  <si>
    <t>Understanding user perceptions of interacting with the virtual world is one of the research focuses in recent years, given the rapid proliferation of virtual reality (VR) and driven to establish the metaverse. Users can generate a familiar connection between their bodies and the virtual world by being embodied in virtual hands, and hand representations can induce users' embodiment in VR. The sense of embodiment represents the cognitive awareness of one's manifestation and includes three subcomponents: the sense of body ownership, agency and self-location. There is insufficient evidence in the literature about the effects of hand designs on the embodiment, especially based on studying its three subcomponents. This study investigates how virtual hand designs with five realism levels influence the three subcomponents of embodiment in VR. This research employs a self-report questionnaire commonly used in the literature to assess embodiment and evaluates agency and self-location by introducing implicit methods (intentional binding and proprioceptive measurement) derived from psychology. Besides, the objective data of eye tracking is used to explore the connection between embodiment and hand designs, and classifying participants' eye tracking data to help analyze the link between embodiment and user attention. Overall, this research makes a major contribution through a systematic exploration of users' embodied experience in VR and offers important evidence of the effects of virtual hand designs on body ownership, agency, and self-location, respectively. In addition, this study provides a valuable reference for further investigation of embodiment through implicit and objective methods, and practical design recommendations for virtual hand design in VR applications.</t>
  </si>
  <si>
    <t>0890-0604</t>
  </si>
  <si>
    <t>1469-1760</t>
  </si>
  <si>
    <t>MAR 2</t>
  </si>
  <si>
    <t>e10</t>
  </si>
  <si>
    <t>10.1017/S0890060423000045</t>
  </si>
  <si>
    <t>WOS:000941921100001</t>
  </si>
  <si>
    <t>Yang, WT; Du, HY; Liew, ZQ; Lim, WYB; Xiong, ZH; Niyato, D; Chi, XF; Shen, XM; Miao, CY</t>
  </si>
  <si>
    <t>Yang, Wanting; Du, Hongyang; Liew, Zi Qin; Lim, Wei Yang Bryan; Xiong, Zehui; Niyato, Dusit; Chi, Xuefen; Shen, Xuemin; Miao, Chunyan</t>
  </si>
  <si>
    <t>Semantic Communications for Future Internet: Fundamentals, Applications, and Challenges</t>
  </si>
  <si>
    <t>With the increasing demand for intelligent services, the sixth-generation (6G) wireless networks will shift from a traditional architecture that focuses solely on a high transmission rate to a new architecture that is based on the intelligent connection of everything. Semantic communication (SemCom), a revolutionary architecture that integrates user as well as application requirements and the meaning of information into data processing and transmission, is predicted to become a new core paradigm in 6G. While SemCom is expected to progress beyond the classical Shannon paradigm, several obstacles need to be overcome on the way to a SemCom-enabled smart Internet. In this paper, we first highlight the motivations and compelling reasons for SemCom in 6G. Then, we provide an overview of SemCom-related theory development. After that, we introduce three types of SemCom, i.e., semantic-oriented communication, goal-oriented communication, and semantic-aware communication. Following that, we organize the design of the communication system into three dimensions, i.e., semantic information (SI) extraction, SI transmission, and SI metrics. For each dimension, we review existing techniques and discuss their benefits and limitations, as well as the remaining challenges. Then, we introduce the potential applications of SemCom in 6G and portray the vision of future SemCom-empowered network architecture. Finally, we outline future research opportunities. In a nutshell, this paper provides a holistic review of the fundamentals of SemCom, its applications in 6G networks, and the existing challenges and open issues with insights for further in-depth investigations.</t>
  </si>
  <si>
    <t>Xiong, Zehui/B-9792-2019; Liew, Zi Qin/HSH-1893-2023; Yang, Wanting/AAZ-6192-2020</t>
  </si>
  <si>
    <t>Xiong, Zehui/0000-0002-4440-941X; Liew, Zi Qin/0000-0001-6513-3355; Lim, Bryan Wei Yang/0000-0003-2150-5561; Shen, Xuemin (Sherman)/0000-0002-4140-287X; Du, Hongyang/0000-0002-8220-6525; Yang, Wanting/0000-0002-6918-3701</t>
  </si>
  <si>
    <t>10.1109/COMST.2022.3223224</t>
  </si>
  <si>
    <t>WOS:000942531300009</t>
  </si>
  <si>
    <t>Gobeka, HH; Gulyesil, FF; Yozgat, Z; Sabaner, MC</t>
  </si>
  <si>
    <t>Gobeka, Hamidu Hamisi; Gulyesil, Furkan Fatih; Yozgat, Zubeyir; Sabaner, Mehmet Cem</t>
  </si>
  <si>
    <t>Quality assessment and comparison of two- and three-dimensional YouTube videos as additional educational tools for cataract surgery: METAVERSE</t>
  </si>
  <si>
    <t>IRISH JOURNAL OF MEDICAL SCIENCE</t>
  </si>
  <si>
    <t>Background To compare the content and quality of 3D YouTube videos with 2Ds as additional educational tools for phacoemulsification surgery. Methods This cross-sectional study included 2D and side-by-side 3D phacoemulsification videos found on YouTube by searching for phacoemulsification,  phaco,  and cataract.  Data was collected on video length (min), time since upload (days), number of views, likes, dislikes, cataract type, chop technique, and visualization system. Video popularity and interaction were calculated by video power index, interaction index, and viewing rate. Two senior ophthalmologists (SOs) and two ophthalmology residents (ORs) evaluated videos using the DISCERN, global quality score (GQS), and usefulness scoring systems. Inter-rater reliability was assessed using intra-class correlation coefficient (ICC). Results A total of 457 videos were screened, with 85 in 2D and 85 in 3D deemed appropriate for analysis. 2D videos received significantly more views, likes, dislikes, days since upload, video power index, and viewing rate than 3Ds (p &lt; 0.001). Video length and interaction index in 3D videos were significantly greater than in 2Ds (p &lt; 0.001). All video scoring systems revealed that 3D videos outperformed 2Ds in ORs (p &lt; 0.05). ICC confirmed good inter-rater reliability agreement even at the lowest value (SOs: 0.924, 95% CI, 0.910-0.937; ORs: 0.892, 95% CI, 0.878-0.908). Conclusions 3D YouTube videos as additional educational tools could help not only SOs but also ORs fully comprehend the breadth and depth of ocular surgeries, particularly phacoemulsification, by improving depth perception. They can also be used to review previously learned procedures, observe new ones, and recall old ones.</t>
  </si>
  <si>
    <t>GOBEKA, HAMIDU HAMISI/ABF-4732-2020; Sabaner, Mehmet Cem/AAI-1777-2020</t>
  </si>
  <si>
    <t>GOBEKA, HAMIDU HAMISI/0000-0002-7656-3155; Sabaner, Mehmet Cem/0000-0002-0958-9961; GULYESIL, FURKAN FATIH/0000-0003-1015-409X</t>
  </si>
  <si>
    <t>0021-1265</t>
  </si>
  <si>
    <t>1863-4362</t>
  </si>
  <si>
    <t>10.1007/s11845-022-03252-y</t>
  </si>
  <si>
    <t>WOS:000900199400001</t>
  </si>
  <si>
    <t>Xu, XH; Zou, GH; Chen, LF; Zhou, T</t>
  </si>
  <si>
    <t>Xu, Xuheng; Zou, Guiheng; Chen, Lifeng; Zhou, Ting</t>
  </si>
  <si>
    <t>Metaverse Space Ecological Scene Design Based on Multimedia Digital Technology</t>
  </si>
  <si>
    <t>Yuan cosmos is a virtual world linked and created by scientific and technological means, which is mapped and interacted with the real world, and a digital living space with a new social system. With the increasing popularity of data acquisition and production equipment, people are increasingly convenient to produce multimedia data such as images, graphics, audio, video, animation, and three-dimensional models. In addition to the rapid development of digital technology itself, the biological information technology related to digital technology also greatly promotes the emergence of the metauniverse. This paper aims to study the application of multimedia digital technology to the ecological scene design of metauniverse space, introduces the related concepts of metauniverse and multimedia digital technology, expounds the related methods of multimedia digital technology and neural network related algorithms, and then takes the three-dimensional simulation of the auditory system in the interactive multisensory simulation system of the constituent elements of metauniverse as an example. The mel-frequency cepstrum coefficient (MFCC) is used to simulate the auditory characteristics of the auditory periphery (cochlea) as the perceptual end of the model. A variety of bionic mechanisms are used in the model, such as designing the connection mode of neurons, learning state and release effect, and the regeneration mechanism of neurons. For the verification of the performance of the model, the speech sample database, including English words and phrases, is recorded and the speech content information recognized by the model by means of speech recognition is experimented. The experimental results show that, in terms of phrase accuracy, the DN-1 model improves 2.59% and the DN-2 model improves 2.77% compared with MFCC feature on the basis of mixed features. When only DBN features are used, the performance improvement rate of the developmental network model is small.</t>
  </si>
  <si>
    <t>XU, Xuheng/GVU-0770-2022; Xu, xuheng/GZK-2513-2022</t>
  </si>
  <si>
    <t>Chen, lifeng/0000-0003-4142-0004</t>
  </si>
  <si>
    <t>JUL 6</t>
  </si>
  <si>
    <t>10.1155/2022/7539240</t>
  </si>
  <si>
    <t>WOS:000830781700003</t>
  </si>
  <si>
    <t>Hashash, O; Chaccour, C; Saad, W</t>
  </si>
  <si>
    <t>Hashash, Omar; Chaccour, Christina; Saad, Walid</t>
  </si>
  <si>
    <t>Edge Continual Learning for Dynamic Digital Twins over Wireless Networks</t>
  </si>
  <si>
    <t>2022 IEEE 23RD INTERNATIONAL WORKSHOP ON SIGNAL PROCESSING ADVANCES IN WIRELESS COMMUNICATION (SPAWC)</t>
  </si>
  <si>
    <t>IEEE International Workshop on Signal Processing Advances in Wireless Communications</t>
  </si>
  <si>
    <t>23rd International Workshop on Signal Processing Advances in Wireless Communication (SPAWC)</t>
  </si>
  <si>
    <t>JUL 04-06, 2022</t>
  </si>
  <si>
    <t>Oulu, FINLAND</t>
  </si>
  <si>
    <t>Digital twins (DTs) constitute a critical link between the real-world and the metaverse. To guarantee a robust connection between these two worlds, DTs should maintain accurate representations of the physical applications, while preserving synchronization between real and digital entities. In this paper, a novel edge continual learning framework is proposed to accurately model the evolving affinity between a physical twin (PT) and its corresponding cyber twin (CT) while maintaining their utmost synchronization. In particular, a CT is simulated as a deep neural network (DNN) at the wireless network edge to model an autonomous vehicle traversing an episodically dynamic environment As the vehicular PT updates its driving policy in each episode, the CT is required to concurrently adapt its DNN model to the PT, which gives rise to a de-synchronization gap. Considering the history-aware nature of DTs, the model update process is posed a dual objective optimization problem whose goal is to jointly minimize the loss function over all encountered episodes and the corresponding de-synchronization time. As the de-synchronization time continues to increase over sequential episodes, an elastic weight consolidation (EWC) technique that regularizes the DT history is proposed to limit de-synchronization time. Furthermore, to address the plasticity-stability tradeoff accompanying the progressive growth of the EWC regularization terms, a modified EWC method that considers fair execution between the historical episodes of the DTs is adopted. Ultimately, the proposed framework achieves a simultaneously accurate and synchronous CT model that is robust to catastrophic forgetting. Simulation results show that the proposed solution can achieve an accuracy of 90% while guaranteeing a minimal desynchronization time.</t>
  </si>
  <si>
    <t>Chaccour, Christina/ADM-2573-2022</t>
  </si>
  <si>
    <t>Chaccour, Christina/0000-0001-9905-2932</t>
  </si>
  <si>
    <t>2325-3789</t>
  </si>
  <si>
    <t>978-1-6654-9455-7</t>
  </si>
  <si>
    <t>10.1109/SPAWC51304.2022.9833928</t>
  </si>
  <si>
    <t>WOS:000942520000027</t>
  </si>
  <si>
    <t>Liu, XO; Chen, XY; Bi, Q; Liang, W; Li, JW; Zhang, Z</t>
  </si>
  <si>
    <t>Liu, Xiaoou; Chen, Xiaoyi; Bi, Qi; Liang, Wei; Li, Jingwen; Zhang, Zheng</t>
  </si>
  <si>
    <t>Blockchain-based distributed operation and incentive solution for P-RAN</t>
  </si>
  <si>
    <t>COMPUTER COMMUNICATIONS</t>
  </si>
  <si>
    <t>Operators are coming up with new solutions that use grid topology as an innovative response to future mobility requirements and the increasing management costs for wireless access networks. Proximity Radio Access Network (P-RAN), which was proposed by the 3rd Generation Partnership Project (3GPP), expands the cellular structure from base station to intelligent terminal equipment through device to device (D2D) technology, which provides a cost-effective deployment solution for the 5G and 6G. The extensive deployment of P-RAN solution should be based on the active participation of a large number of distributed intelligent equipment users. Fair, reasonable and credible incentive solution is the key to realize the sustainable operation of this distributed system. This paper introduces a technical solution that applying blockchain technology to design P-RAN operating and incentive mechanism. Through blockchain technology, the current centralized P-RAN operation and incentive can be achieved in point-to-point way. By utilizing blockchain-based identity authentication and asymmetric key pairs, user and relay can confirm and sign the network usage information in sequence to reduce disputes. The abstract of all transactions related to P-RAN services can be recorded on blockchain immutably as the calculation basis of relay rewards. Through smart contracts and P-RAN incentive policy, relays that provide more and higher quality P-RAN service will be rewarded more, which can help to create positive feedback in this decentralized system. The tokens awarded to relays will be able to exchange through the blockchain network for the increase of the whole ecosystem utility. Blockchain-based P-RAN operation and incentive solution pioneer a way to the future heterogeneous network resource sharing and collaboration for supporting Web3.0 and Metaverse.</t>
  </si>
  <si>
    <t>0140-3664</t>
  </si>
  <si>
    <t>1873-703X</t>
  </si>
  <si>
    <t>JAN 15</t>
  </si>
  <si>
    <t>10.1016/j.comcom.2022.11.008</t>
  </si>
  <si>
    <t>WOS:000910853600005</t>
  </si>
  <si>
    <t>Lee, UK</t>
  </si>
  <si>
    <t>Lee, Un-Kon</t>
  </si>
  <si>
    <t>Tourism Using Virtual Reality: Media Richness and Information System Successes</t>
  </si>
  <si>
    <t>Due to the COVID-19 pandemic outbreak, borders were closed, cities were blocked, and individuals went into quarantine. The market size of the tourism industry in 2020 declined by more than 70% compared to the previous year, regressing to the size it was 30 years ago. This does not mean that people's needs for tourism have decreased. People started to use virtual reality technologies to get the experience of sightseeing even if they could not go directly to tourist attractions. Prior studies found that virtual reality technology is effective for online shopping and gaming contexts. However, there are insufficient studies investigating the effect of using virtual reality for tourism content. Therefore, this study attempts to verify how the media richness of virtual reality tourism content elicits various reactions from potential tourists in terms of perceived usefulness, perceived enjoyment, satisfaction, destination visit intention, and positive word-of-mouth intention. The purpose of this study is to verify how virtual reality tourism content increases the destination visit intention after the COVID-19 pandemic. Based on media richness theory and the information system success model, a hypothesis was developed. One hundred and eighty-two data were gathered from potential tourists who were in quarantine by performing an online scenario survey that used quasi-experiment methods. Data were analyzed with a PLS algorithm. The results indicate that media richness of tourism content using virtual reality significantly increased perceived usefulness and perceived enjoyment. It could significantly increase satisfaction, destination visit intention, and positive word-of-mouth intention. The results of this study explain how information technology can be used in the tourism industry, and they provide suggestions on why tourism content using virtual reality can be useful for attracting tourists, and what experiences it can provide tourists.</t>
  </si>
  <si>
    <t>Lee, Un-Kon/GZK-4517-2022; Lee, Un-Kon/ADV-0494-2022</t>
  </si>
  <si>
    <t>Lee, Un-Kon/0000-0003-1649-4706; Lee, Un-Kon/0000-0003-1649-4706</t>
  </si>
  <si>
    <t>10.3390/su14073975</t>
  </si>
  <si>
    <t>WOS:000782071800001</t>
  </si>
  <si>
    <t>Lin, WL; Dong, ZW; Wang, K; Wang, DD; Deng, YH; Liao, YC; Liu, Y; Wan, D; Xu, BY; Wu, GN</t>
  </si>
  <si>
    <t>Lin, Wenliang; Dong, Zewen; Wang, Ke; Wang, Dongdong; Deng, Yaohua; Liao, Yicheng; Liu, Yang; Wan, Da; Xu, Bingyu; Wu, Genan</t>
  </si>
  <si>
    <t>A Novel Load Balancing Scheme for Satellite IoT Networks Based on Spatial-Temporal Distribution of Users and Advanced Genetic Algorithms</t>
  </si>
  <si>
    <t>Satellite IoT networks (S-IoT-N), which have been a hot issue regarding the next generation of communication, are quite important for the coming era of digital twins and the metaverse because of their performance in sensing and monitoring anywhere, anytime, and anyway, in more dimensions. However, this will cause communication links to face greater traffic loads. Satellite internet networks (SIN) are considered the most possible evolution road, possessing characteristics of many satellites, such as low earth orbit (LEO), the Ku/Ka frequency, and a high data rate. Existing research on load balancing schemes for satellite networks cannot solve the problems of low efficiency under conditions of extremely non-uniform distribution of users (DoU) and dynamic density variances. Therefore, this paper proposes a novel load balancing scheme of adjacent beams for S-IoT-N based on the modeling of spatial-temporal DoU and advanced GA. In our scheme, the PDF of the DoU in the direction of movement of the SSP's trajectory was modeled first, which provided a multi-directional constraint for the non-uniform distribution of users in S-IoT-N. Fully considering the prior periodicity of satellite movement and the similarity of DoU in different areas, we proposed an adaptive inheritance iteration to optimize the crossover factor and mutation factor for GA for the first time. Based on the proposed improved GA, we obtained the optimal scheme of load balancing under the conditions of the adaptation from the local balancing scheme to global balancing, and a selection of Ser-Beams to access. Finally, the simulations show that the proposed method can improve the average throughput by 3% under specific conditions and improve processing efficiency by 30% on average.</t>
  </si>
  <si>
    <t>Lin, Wenliang/0000-0002-1131-2275; , Ke/0000-0002-1763-6385</t>
  </si>
  <si>
    <t>10.3390/s22207930</t>
  </si>
  <si>
    <t>WOS:000873715700001</t>
  </si>
  <si>
    <t>Mahmudiono, T; Rachmah, Q; Indriani, D; Permatasari, EA; Hera, NA; Chen, HL</t>
  </si>
  <si>
    <t>Mahmudiono, Trias; Rachmah, Qonita; Indriani, Diah; Permatasari, Erwanda Anugrah; Hera, Nur Alifia; Chen, Hsiu-Ling</t>
  </si>
  <si>
    <t>Food and Beverage Consumption Habits through the Perception of Health Belief Model (Grab Food or Go Food) in Surabaya and Pasuruan</t>
  </si>
  <si>
    <t>NUTRIENTS</t>
  </si>
  <si>
    <t>Background: The metaverse as a digital environment for Industrial Revolution 4.0 is one major form of use of the internet. There are 202.6 million internet users in Indonesia in 2021, or 73.7% of the total population. A total of 138.1 million Indonesians aged 18-64 years have used the internet to make purchases through e-commerce and 74.4% make food purchases through online food delivery applications. Most of the foods sold in online applications are foods that are high in carbohydrate and fat, but with fewer vegetables and fruits. So, it can be concluded that the food sold is energy dense, nutrition poor. Because of that, people run the risk of degenerative diseases such as hypertension, diabetes mellitus, stroke, and others. By using the health belief model approach, this study aims to analyze the association between the habits of consuming food and beverages purchased online through the Grab Food or Go Food applications with the nutritional status of the people in Surabaya and Pasuruan, East Java, Indonesia. Methods: This research is quantitative research using a cross-sectional approach. Data collection was carried out offline using paper questionnaires and analysis with SPSS. Result: There was significant association between the characteristics of the respondents (age, marriage status, profession, education level, income, and allowance) and health beliefs. However, there was no association between health beliefs and the frequency of online orders. Finally, no significant association was found between perceived susceptibility, perceived severity, perceived benefit, perceived barrier, cues to action, self-efficacy and nutritional status. Thus, it is still important for the government to increase socialization and education in the importance of balanced nutrition and nutritional status so that people can protect themselves and prevent the onset of degenerative diseases.</t>
  </si>
  <si>
    <t>Mahmudiono, Trias/I-4020-2019</t>
  </si>
  <si>
    <t>Mahmudiono, Trias/0000-0002-3128-2173; Rachmah, Qonita/0000-0002-6094-4885; Chen, Hsiu-Ling/0000-0002-1209-6789; Permatasari, Erwanda Anugrah/0000-0001-8878-6244</t>
  </si>
  <si>
    <t>2072-6643</t>
  </si>
  <si>
    <t>10.3390/nu14214482</t>
  </si>
  <si>
    <t>WOS:000881497300001</t>
  </si>
  <si>
    <t>Chen, J; Zhang, L; Lu, Q; Liu, H; Chen, SP</t>
  </si>
  <si>
    <t>Chen, Jing; Zhang, Lu; Lu, Quan; Liu, Hui; Chen, Shuaipu</t>
  </si>
  <si>
    <t>Predicting information usefulness in health information identification from modal behaviors</t>
  </si>
  <si>
    <t>INFORMATION PROCESSING &amp; MANAGEMENT</t>
  </si>
  <si>
    <t>Finding useful health information should be the highest priority when identifying health infor-mation. Predicting information usefulness will significantly improve the effectiveness and effi-ciency of health information identification, which plays a vital role in fighting against misinformation. Modal behaviors, such as gesture and gaze, are promising indicators of usefulness since they deliver a reliable, thorough, natural, and direct process of user cognitive processing. Therefore, this study aimed to use gesture and gaze behaviors to predict whether information is useful for health information identification. Twenty-four college students were recruited to freely search for information using a smartphone to identify the truthfulness of four propositions (two were true and two were false) about public health epidemics. The participants' gesture behavior, gaze behavior, and information usefulness as perceived by themselves were collected. Based on user cognition, the process of information usefulness judgment was placed into two phases: skimming and reading. Thirty-one features derived from modal behaviors in each phase were extracted. Feature optimization based on the Mann-Whitney U test and random forest was per-formed. Five common algorithms were used to construct information usefulness prediction models, and these models were compared by the F1_score. Finally, dwell time and gaze entropy in the reading phase were the most important gesture and gaze features respectively. BP neural network was selected to build a unimodal model based on gesture, and gradient boosting decision tree was selected to build a unimodal model based on gaze and a multimodal model combining both. These models all achieved F1_score above 77% and were applicable to different scenarios in health information identification. The model based on gesture could satisfy strong technology or legal constrains, the model based on gaze was ideal for AR, MR or metaverse applications, and the model combining both offered an alternative for multimodal human-computer interaction.</t>
  </si>
  <si>
    <t>0306-4573</t>
  </si>
  <si>
    <t>1873-5371</t>
  </si>
  <si>
    <t>10.1016/j.ipm.2022.103220</t>
  </si>
  <si>
    <t>WOS:000901771300001</t>
  </si>
  <si>
    <t>Boche, H; Pohl, V</t>
  </si>
  <si>
    <t>Boche, Holger; Pohl, Volker</t>
  </si>
  <si>
    <t>On Non-Detectability of Non-Computability and the Degree of Non-Computability of Solutions of Circuit and Wave Equations on Digital Computers</t>
  </si>
  <si>
    <t>IEEE TRANSACTIONS ON INFORMATION THEORY</t>
  </si>
  <si>
    <t>It is known that there exist mathematical problems of practical relevance which cannot be computed on a Turing machine. An important example is the calculation of the first derivative of continuously differentiable functions. This paper precisely classifies the non-computability of the first derivative, and of the maximum-norm of the first derivative in the Zheng-Weihrauch hierarchy. Based on this classification, the paper investigates whether it is possible that a Turing machine detects this non-computability of the first derivative by observing the data of the problem, and whether it is possible to detect upper bounds for the peak value of the first derivative of continuously differentiable functions. So from a practical point of view, the question is whether it is possible to implement an exit-flag functionality for observing non-computability of the first derivative. This paper even studies two different types of exit-flag functionality. A strong one, where the Turing machine always has to stop, and a weak one, where the Turing machine stops if and only if the input lies within the corresponding set of interest. It will be shown that non-computability of the first derivative is not detectable by a Turing machine for two concrete examples, namely for the problem of computing the input-output behavior of simple analog circuits and for solutions of the three-dimensional wave equation. In addition, it is shown that it is even impossible to detect an upper bound for the maximum norm of the first derivative. In particular, it is shown that all three problems are not even semidecidable. Finally, we briefly discuss implications of these results for analog and quantum computing.</t>
  </si>
  <si>
    <t>Boche, Holger/0000-0002-8375-8946</t>
  </si>
  <si>
    <t>0018-9448</t>
  </si>
  <si>
    <t>1557-9654</t>
  </si>
  <si>
    <t>10.1109/TIT.2022.3172837</t>
  </si>
  <si>
    <t>WOS:000838527100040</t>
  </si>
  <si>
    <t>Catak, FO; Kuzlu, M; Catak, E; Cali, U; Guler, O</t>
  </si>
  <si>
    <t>Catak, Ferhat Ozgur; Kuzlu, Murat; Catak, Evren; Cali, Umit; Guler, Ozgur</t>
  </si>
  <si>
    <t>Defensive Distillation-Based Adversarial Attack Mitigation Method for Channel Estimation Using Deep Learning Models in Next-Generation Wireless Networks</t>
  </si>
  <si>
    <t>Future wireless networks (5G and beyond), also known as Next Generation or NextG, are the vision of forthcoming cellular systems, connecting billions of devices and people together. In the last decades, cellular networks have dramatically grown with advanced telecommunication technologies for high-speed data transmission, high cell capacity, and low latency. The main goal of those technologies is to support a wide range of new applications, such as virtual reality, metaverse, telehealth, online education, autonomous and flying vehicles, smart cities, smart grids, advanced manufacturing, and many more. The key motivation of NextG networks is to meet the high demand for those applications by improving and optimizing network functions. Artificial Intelligence (AI) has a high potential to achieve these requirements by being integrated into applications throughout all network layers. However, the security concerns on network functions of NextG using AI-based models, i.e., model poisoning, have not been investigated deeply. It is crucial to protect the next-generation cellular networks against cybersecurity threats, especially adversarial attacks. Therefore, it needs to design efficient mitigation techniques and secure solutions for NextG networks using AI-based methods. This paper proposes a comprehensive vulnerability analysis of deep learning (DL)-based channel estimation models trained with the dataset obtained from MATLAB's 5G toolbox for adversarial attacks and defensive distillation-based mitigation methods. The adversarial attacks produce faulty results by manipulating trained DL-based models for channel estimation in NextG networks while mitigation methods can make models more robust against adversarial attacks. This paper also presents the performance of the proposed defensive distillation mitigation method for each adversarial attack. The results indicate that the proposed mitigation method can defend the DL-based channel estimation models against adversarial attacks in NextG networks.</t>
  </si>
  <si>
    <t>Çatak, Ferhat Özgür/M-6013-2015; Kuzlu, Murat/H-7156-2016</t>
  </si>
  <si>
    <t>Çatak, Ferhat Özgür/0000-0002-2434-9966; Cali, Umit/0000-0002-6402-0479; Kuzlu, Murat/0000-0002-8719-2353</t>
  </si>
  <si>
    <t>10.1109/ACCESS.2022.3206385</t>
  </si>
  <si>
    <t>WOS:000857323700001</t>
  </si>
  <si>
    <t>Kwon, J; Ryu, J; Lee, JH; Joung, J</t>
  </si>
  <si>
    <t>Kwon, Juhyeok; Ryu, Jihye; Lee, Jee Hang; Joung, Jinoo</t>
  </si>
  <si>
    <t>Improving End-To-End Latency Fairness Using a Reinforcement-Learning-Based Network Scheduler</t>
  </si>
  <si>
    <t>In services such as metaverse, which should provide a constant quality of service (QoS) regardless of the user's physical location, the end-to-end (E2E) latency must be fairly distributed over any flow in the network. To this end, we propose a reinforcement learning (RL)-based scheduler for minimizing the maximum network E2E latency. The RL model used the double deep Q-network (DDQN) with the prioritized experience replay (PER). In order to see the performance change according to the type of RL agent, we implemented a single-agent environment where the controller is an agent and a multi-agent environment where each node is an agent. Since the agents were unable to identify E2E latencies in the multi-agent environment, the state and reward were formulated using the estimated E2E latencies. To precisely evaluate the RL-based scheduler, we set out benchmark algorithms to compare with which a network-arrival-time-based heuristic algorithm (NAT-HA) and a maximum-estimated-delay-based heuristic algorithm (MED-HA). The RL-based scheduler, first-in-first-out (FIFO), round-robin (RR), NAT-HA, and MED-HA were compared through large-scale simulations on four network topologies. The simulation results in fixed-packet generation scenarios showed that our proposal, the RL-based scheduler, achieved the minimization of maximum E2E latency in all the topologies. In other scenarios with random flow generation, the RL-based scheduler and MED-HA showed the lowest maximum E2E latency for all topologies. Depending on the topology, the maximum E2E latency of NAT-HA was equal to or larger than that of the RL-based scheduler. In terms of fairness, the RL-based scheduler showed a higher level of fairness than that of FIFO and RR. NAT-HA had similar or lower fairness than the RL-based scheduler depending on the topology, and MED-HA had the same level of fairness as the RL-based scheduler.</t>
  </si>
  <si>
    <t>10.3390/app13063397</t>
  </si>
  <si>
    <t>WOS:000953664000001</t>
  </si>
  <si>
    <t>Chiang, JK; Lin, CL; Chiang, YF; Su, YS</t>
  </si>
  <si>
    <t>Chiang, Johannes K.; Lin, Chien-Liang; Chiang, Yi-Fang; Su, Yushun</t>
  </si>
  <si>
    <t>Optimization of the Spectrum Splitting and Auction for 5th Generation Mobile Networks to Enhance Quality of Services for IoT from the Perspective of Inclusive Sharing Economy</t>
  </si>
  <si>
    <t>Fifth generation (5G) mobile networks can accomplish enhanced communication capabilities and desired to connect things in addition to people. By means of optimally splitting the spectrum to integrate more efficient segments, mobile operators can deliver better Quality of Services (QoS) for Internet of Things (IoT), even the nowadays so-called metaverse need broadband mobile communication. Drawing on the Theory of Quality Value Transformation, we developed a 5G ecosystem as a sustainable organic coalition constituted of planners, providers, and users. Most importantly, we put forward the altruism as the ethics drive for the organic cooperative evolution to sustain the inclusive sharing economy to solve the problem of the Theory of Games and Economic Behavior. On the top of the collaboration framework for the coalition game for 5G, we adopted Pareto Optimality as the target situation for the optimization via cooperative evolution and further apply ISO 25000 to define the metrics for the value of 5G corresponding to Pareto Frontier. Based on the collaboration framework as above, we conducted a survey to gather the features and costs for the 5G spectrum in relation to IoT and the financial status of the mobile operators as the constraint for the optimization. Taking Simultaneous Multi-Round Auction (SMRA) as the standard rule for spectrum auction, we developed a novel optimization program of two hybrid metaheuristics with the combination of Simulated Annealing (SA), Genetic Algorithm (GA), and Random Optimization (RO) for the multiple objectives of quality, usability, and costs. The results of the simulation show that the coalition game for 5G spectrum auction is a dynamic group decision in which the government authority and mobile operators can achieve a synergy to maximize the profits, quality score, and usability, and minimize the costs. Last but not least, the hybrid metaheuristic with SA and RO is more efficient and effective than that with GA and BO, from the perspective of inclusive sharing economy. It is the first study of its kind as we know.</t>
  </si>
  <si>
    <t>Lin, Chien-Liang/0000-0001-7728-2008</t>
  </si>
  <si>
    <t>10.3390/electronics11010003</t>
  </si>
  <si>
    <t>WOS:000742040800001</t>
  </si>
  <si>
    <t>Liu, Z; Li, PX; Wang, FH; Osmani, M; Demian, P</t>
  </si>
  <si>
    <t>Liu, Zhen; Li, Peixuan; Wang, Fenghong; Osmani, Mohamed; Demian, Peter</t>
  </si>
  <si>
    <t>Building Information Modeling (BIM) Driven Carbon Emission Reduction Research: A 14-Year Bibliometric Analysis</t>
  </si>
  <si>
    <t>Governments across the world are taking actions to address the high carbon emissions associated with the construction industry, and to achieve the long-term goals of the Paris Agreement towards carbon neutrality. Although the ideal of the carbon-emission reduction in building projects is well acknowledged and generally accepted, it is proving more difficult to implement. The application of building information modeling (BIM) brings about new possibilities for reductions in carbon emissions within the context of sustainable buildings. At present, the studies on BIM associated with carbon emissions have concentrated on the design stage, with the topics focusing on resource efficiency (namely, building energy and carbon-emission calculators). However, the effect of BIM in reducing carbon emissions across the lifecycle phases of buildings is not well researched. Therefore, this paper aims to examine the relationship between BIM, carbon emissions, and sustainable buildings by reviewing and assessing the current state of the research hotspots, trends, and gaps in the field of BIM and carbon emissions, providing a reference for understanding the current body of knowledge, and helping to stimulate future research. This paper adopts the macroquantitative and microqualitative research methods of bibliometric analysis. The results show that, in green-building construction, building lifecycle assessments, sustainable materials, the building energy efficiency and design, and environmental-protection strategies are the five most popular research directions of BIM in the field of carbon emissions in sustainable buildings. Interestingly, China has shown a good practice of using BIM for carbon-emission reduction. Furthermore, the findings suggest that the current research in the field is focused on the design and construction stages, which indicates that the operational and demolition stages have greater potential for future research. The results also indicate the need for policy and technological drivers for the rapid development of BIM-driven carbon-emission reduction.</t>
  </si>
  <si>
    <t>10.3390/ijerph191912820</t>
  </si>
  <si>
    <t>WOS:000866923300001</t>
  </si>
  <si>
    <t>Na, MH</t>
  </si>
  <si>
    <t>Tran, XT; Bui, DH</t>
  </si>
  <si>
    <t>Na, Myung-Hee</t>
  </si>
  <si>
    <t>Opportunities and Challenges of Emerging Memory in the era of all about data</t>
  </si>
  <si>
    <t>2022 INTERNATIONAL CONFERENCE ON IC DESIGN AND TECHNOLOGY (ICICDT)</t>
  </si>
  <si>
    <t>International Conference on Integrated Circuit Design and Technology</t>
  </si>
  <si>
    <t>International Conference on IC Design and Technology (ICICDT)</t>
  </si>
  <si>
    <t>SEP 21-23, 2022</t>
  </si>
  <si>
    <t>Hanoi, VIETNAM</t>
  </si>
  <si>
    <t>All over the world, our lives have forever changed in the course of the Covid-19 pandemic. We have become more and more reliant on social closeness with various technologies, while physical distancing has been enforced. Now our daily routines are virtually connected to the global world through countless devices. In result, all connected devices have been generating unprecedented amount of data. For example, AI applications have been intimately into our daily lives and new applications such as Metaverse has been realized more than just a story in scifi novels. In semiconductor industries, we are proud that the backbone of these technologies which has made all this possible are semiconductors. However, it is also true that these new applications have put the historical challenges and opportunities on semiconductor scaling to move faster and more efficient in terms of power-performance-area-cost. In particular memory innovation has been recognized as one of key solutions to address the challenges in the era of all about data. It is not only important that the memory technologies deliver all the traditional values of memory such as high performance, lower power, lower cost and higher capacity, but also bring smarter solutions to bring down the barrier of memory-compute. In this talk, we will discuss the journey of memory innovation starting with the path of emerging memory technologies for new applications and then the path for ultimately breaking down the memory-compute boundaries. With the introduction of new interfaces such as Compute-Express-Link(CLX), the journey of emerging memory technologies begins with a few research options including chalcogenide-based and ferroelectric materials for emerging memory toward better performance and process simplicity, going beyond existing industry solutions such as 3DxP. We will explore chalcogenide-based memory solutions much further toward better performance and process simplicity. Finally, this journey will merge into the path for Beyond Memory by breaking the boundary between compute and memory. At Last but not the least, we truly believe that the journey to Beyond Memory could be only possible when semiconductor industries can embrace open innovation to make a better and sustainable world together.</t>
  </si>
  <si>
    <t>2381-3555</t>
  </si>
  <si>
    <t>2691-0462</t>
  </si>
  <si>
    <t>978-1-6654-5901-3</t>
  </si>
  <si>
    <t>X</t>
  </si>
  <si>
    <t>10.1109/ICICDT56182.2022.9933125</t>
  </si>
  <si>
    <t>WOS:000945920500034</t>
  </si>
  <si>
    <t>Chen, HY; Lin, CS</t>
  </si>
  <si>
    <t>Chen, Hong-Yun; Lin, Chow-Sing</t>
  </si>
  <si>
    <t>Tiled streaming for layered 3D virtual reality videos with viewport prediction</t>
  </si>
  <si>
    <t>MULTIMEDIA TOOLS AND APPLICATIONS</t>
  </si>
  <si>
    <t>In recent years, the demand of 3D video services has gradually increased. More and more bandwidth hungry applications are proposed, such as immersive media services which need a virtual reality (VR) headset and 3D VR videos to provide users immersive experience of watching 3D VR videos. Tiled streaming is often used for providing 3D VR videos die to the high bitrates of 3D VR videos. In a VR headset the sight is limited. Users can only watch a fraction of entire 3D VR videos in the viewport. Transmitting the content of a VR video outside the viewport is unnecessary and infeasible due to the high bitarate of 3D VR videos. Generally, In VR applications, content within the viewport should keep the highest quality while providing only basic quality outside the viewprot. Such an adaptive streaming relies on the precision of viewport prediction. Errors of viewport prediction result in the expensive overhead of quality repairing and re-transmission delay on the traditional versioned coded VR videos,, where a whole new version of video content needs to be resent and the sent content of low-quality version is discarded and cannot be reused. In this paper, we propose a novel adaptative streaming approach for providing 3D VR videos using Scalable Video Coding (SVC) with viewport prediction. For better quality adaptation, we take CubeMap projection as the projection format of 3D VR videos. Besides, we use the Scalability extension of High Efficiency Video Coding (SHVC) to encode 3D VR videos to multiple layers for supplying different qualities and also use the tiling to divide videos into rectangular regions for finer quality adaptation. The experimental results show that our proposed method outperformed other previous approaches in terms of the weighted video quality and the relative time spent on the highest quality, especially with low available network bandwidth. Even under certain miss rates of tiles, compared to previous approaches, our proposed method requires fewer bandwidth overhead and shorter re-transmission delay for repairing the quality of missed tiles in most cases.</t>
  </si>
  <si>
    <t>Lin, Chow-Sing/0000-0002-3937-7919</t>
  </si>
  <si>
    <t>1380-7501</t>
  </si>
  <si>
    <t>1573-7721</t>
  </si>
  <si>
    <t>10.1007/s11042-022-12277-5</t>
  </si>
  <si>
    <t>WOS:000761979300011</t>
  </si>
  <si>
    <t>Kim, C; Cha, HS; Kim, J; Kwak, H; Lee, W; Im, CH</t>
  </si>
  <si>
    <t>Kim, Chunghwan; Cha, Ho-Seung; Kim, Junghwan; Kwak, HwyKuen; Lee, WooJin; Im, Chang-Hwan</t>
  </si>
  <si>
    <t>Facial Motion Capture System Based on Facial Electromyogram and Electrooculogram for Immersive Social Virtual Reality Applications</t>
  </si>
  <si>
    <t>With the rapid development of virtual reality (VR) technology and the market growth of social network services (SNS), VR-based SNS have been actively developed, in which 3D avatars interact with each other on behalf of the users. To provide the users with more immersive experiences in a metaverse, facial recognition technologies that can reproduce the user's facial gestures on their personal avatar are required. However, it is generally difficult to employ traditional camera-based facial tracking technology to recognize the facial expressions of VR users because a large portion of the user's face is occluded by a VR head-mounted display (HMD). To address this issue, attempts have been made to recognize users' facial expressions based on facial electromyogram (fEMG) recorded around the eyes. fEMG-based facial expression recognition (FER) technology requires only tiny electrodes that can be readily embedded in the HMD pad that is in contact with the user's facial skin. Additionally, electrodes recording fEMG signals can simultaneously acquire electrooculogram (EOG) signals, which can be used to track the user's eyeball movements and detect eye blinks. In this study, we implemented an fEMG- and EOG-based FER system using ten electrodes arranged around the eyes, assuming a commercial VR HMD device. Our FER system could continuously capture various facial motions, including five different lip motions and two different eyebrow motions, from fEMG signals. Unlike previous fEMG-based FER systems that simply classified discrete expressions, with the proposed FER system, natural facial expressions could be continuously projected on the 3D avatar face using machine-learning-based regression with a new concept named the virtual blend shape weight, making it unnecessary to simultaneously record fEMG and camera images for each user. An EOG-based eye tracking system was also implemented for the detection of eye blinks and eye gaze directions using the same electrodes. These two technologies were simultaneously employed to implement a real-time facial motion capture system, which could successfully replicate the user's facial expressions on a realistic avatar face in real time. To the best of our knowledge, the concurrent use of fEMG and EOG for facial motion capture has not been reported before.</t>
  </si>
  <si>
    <t>Kim, Chunghwan/0000-0001-8157-2390</t>
  </si>
  <si>
    <t>10.3390/s23073580</t>
  </si>
  <si>
    <t>WOS:000970318300001</t>
  </si>
  <si>
    <t>Abrash, M</t>
  </si>
  <si>
    <t>Abrash, Michael</t>
  </si>
  <si>
    <t>Creating the Future: Augmented Reality, the next Human-Machine Interface</t>
  </si>
  <si>
    <t>2021 IEEE INTERNATIONAL ELECTRON DEVICES MEETING (IEDM)</t>
  </si>
  <si>
    <t>IEEE International Electron Devices Meeting</t>
  </si>
  <si>
    <t>IEEE International Electron Devices Meeting (IEDM)</t>
  </si>
  <si>
    <t>DEC 11-16, 2021</t>
  </si>
  <si>
    <t>XR, consisting of Virtual Reality (VR) and Augmented Reality (AR) together, will be the next general computing platform, dominating our relationship with the digital world for the next 50 years, much as personal computing has dominated the last 50. XR will be the way people work, play, and connect. VR headsets will create deeply immersive new experiences and will enable the richest Metaverse experiences. Always-available AR glasses will be with us when we're on the go, letting us act with extremely low latency and friction, allowing us to use virtual entities of all sorts to annotate our world, share with others, and communicate, and extending our perceptions, memory, and cognition with an Artificial Intelligence (AI) assistant that truly understands our context and our personal needs. Both will be centered around people rather than technology, allowing us to connect more strongly than ever before, and providing a contextually personalized interface that is far more intuitive and natural than anything that exists today. However, VR and particularly AR are at a very early stage, and need a great deal of innovation and development, across multiple technologies, before they can offer the level of performance that would cause billions of people to make XR a part of their everyday lives. Those technologies include optics, projectors, display systems, graphics, audio, hand tracking, eye tracking, face tracking, body tracking, world mapping and reconstruction, contextual understanding, sensors, interaction, and AI. VR headsets operate within tight power, weight, and thermal budgets, and AR glasses will need to operate within extraordinarily tight budgets; for AR glasses, the constraints include light weight, very low power, and all-day comfort and all-day operation in a socially acceptable form factor,. Breakthroughs are needed in every one of the areas listed above, and in almost every case, innovative, highly customized semiconductor technologies will be needed to achieve those breakthroughs. This will notably require new materials, miniaturization of the key components, and very-large-scale 3D heterogeneous integration of circuits and systems to create new functions. In addition, specialization at the level of architecture and domain-oriented accelerators, especially with respect to Machine Learning (ML), will be essential, and algorithm optimization will need to evolve in new directions. Finally, the challenges of AR can only be solved by true co-design of hardware and software; technology development will need to be driven from end to end, based on delivering important use cases with a full-system approach. This will create unforeseen opportunities and challenges for semiconductor technologies for decades to come.</t>
  </si>
  <si>
    <t>2380-9248</t>
  </si>
  <si>
    <t>978-1-6654-2572-8</t>
  </si>
  <si>
    <t>10.1109/IEDM19574.2021.9720526</t>
  </si>
  <si>
    <t>WOS:000812325400032</t>
  </si>
  <si>
    <t>Chen, YL; Wang, XZ; Liu, Z; Cui, J; Osmani, M; Demian, P</t>
  </si>
  <si>
    <t>Chen, Yali; Wang, Xiaozi; Liu, Zhen; Cui, Jia; Osmani, Mohamed; Demian, Peter</t>
  </si>
  <si>
    <t>Exploring Building Information Modeling (BIM) and Internet of Things (IoT) Integration for Sustainable Building</t>
  </si>
  <si>
    <t>BUILDINGS</t>
  </si>
  <si>
    <t>Sustainable development, which has become the priority study of architectural design, is receiving increasing attention with global climate change. At the same time, the building industry is urgently changing towards intelligent and digitalized tendencies. As a result, Building Information Modeling (BIM) and the Internet of Things (IoT) make crucial contributions to the transforming process. However, there is little knowledge of the integration of BIM-IoT in sustainable building from a macro perspective. Moreover, most existing research adopts a literature review method and lacks objective quantitative analysis. Few papers use bibliometric analysis to study the respective BIM and IoT research fields. Furthermore, few studies use Citespace software tools to analyze the integrated application of BIM-IoT. Therefore, this paper aims to investigate the research frontiers and knowledge structure in BIM-IoT integration and the relationship between BIM-IoT and sustainable building and explore the research hotspots, trends, and future research directions. A quick and objective method was proposed to understand the research status of these new and rapidly developing fields. This paper uses topic search in the web of science core collection to obtain relevant literature and then uses Citespace for bibliometric analysis based on the literature review. Controlled terms and subject terms statistics from the Engineering Index core database search results are also used to briefly examine the fields' research frontiers and hotspots as obtained from Citespace. The results show that: (1) The research on BIM-IoT integration focuses on building intelligence with BIM as the basis of application, and research on BIM-IoT integration within the field of sustainable building is currently focused on the first three phases of the life cycle. (2) The development of sustainable buildings needs to be considered on its human and social dimensions. BIM provides a platform for sharing information and communication among stakeholders involved in the building's entire life cycle. At the same time, IoT allows occupants to better participate in buildings' sustainable design and decision making. (3) In the future, more emerging technologies such as cloud computing and big data are required to better promote sustainable buildings and thus realize the construction of sustainable smart cities. At the same time, researchers should also pay attention to the sustainable transformation of existing buildings.</t>
  </si>
  <si>
    <t>Demian, Peter/0000-0001-8391-8690</t>
  </si>
  <si>
    <t>2075-5309</t>
  </si>
  <si>
    <t>10.3390/buildings13020288</t>
  </si>
  <si>
    <t>WOS:000938357000001</t>
  </si>
  <si>
    <t>Zempo, K; Yamazaki, A; Wakatsuki, N; Mizutani, K; Okada, Y</t>
  </si>
  <si>
    <t>Zempo, Keiichi; Yamazaki, Azusa; Wakatsuki, Naoto; Mizutani, Koichi; Okada, Yukihiko</t>
  </si>
  <si>
    <t>Mouth-in-the-Door: The Effect of a Sound Image of an Avatar Intruding on Personal Space That Deviates in Position From the Visual Image</t>
  </si>
  <si>
    <t>In this paper, we examine the audiovisual experience in virtual reality (VR) service context that enables a more effective interaction between a user immersed in a virtual environment (VE) and an avatar as a store staff. By utilizing the characteristics of VE experiences, we find the effects of this unrealistic relationship between the visual and auditory positions of the avatar presented to the user variable rather than uniformly presented in the same position. In this study, we conducted an experiment to investigate how the positional deviation between the sound and visual images can be tolerated in VE, the effect of positional deviation on the interpersonal distance to the avatar, and the possibility of manipulating the impression of the avatar by deviating the sound image from the visual image. For the experiment, we prepared a space resembling a VE store and conducted proximity experiments with 16 gender-balanced participants and six types of avatars. By utilizing the superiority of visual information over auditory information revealed in the experiments, we constructed an interpersonal situation with an avatar playing the role of store staff in which only the sound image intruded into the user's personal space, and we investigated users' impressions of the avatar. We also investigated users' impressions of the avatar. We found the following two phenomena in the experimental conditions where the positional difference was allowed: 1) Even when the positional difference was allowed, it caused an uncanny valley -like phenomenon that led to a decrease in rapport; and 2) In the conditions where the positional difference was allowed when the sound image was closer than the visual image to the participant, the rapport was greater with the avatar playing the role of the store staff. This phenomenon is similar to the foot-in-the-door  phenomenon in which small unconscious consent (i.e., allowing a sound image to intrude on one's personal space) leads to an improvement in the evaluation of the other person (i.e., the rapport with another person). The techniques proposed in this paper, such as the positional difference between the sound and visual images, significantly improve the value of the service experiences obtained through interaction with others in VE.</t>
  </si>
  <si>
    <t>Okada, Yukihiko/0000-0003-4903-4191; mizutani, koichi/0000-0001-5789-5392; Zempo, Keiichi/0000-0003-2339-5298; Wakatsuki, Naoto/0000-0002-3889-8915</t>
  </si>
  <si>
    <t>10.1109/ACCESS.2022.3222804</t>
  </si>
  <si>
    <t>WOS:000894939100001</t>
  </si>
  <si>
    <t>Shah, SHH; Karlsen, AST; Solberg, M; Hameed, IA</t>
  </si>
  <si>
    <t>Shah, Syed Hammad Hussain; Karlsen, Anniken Susanne T.; Solberg, Mads; Hameed, Ibrahim A.</t>
  </si>
  <si>
    <t>A social VR-based collaborative exergame for rehabilitation: codesign, development and user study</t>
  </si>
  <si>
    <t>Immersive virtual reality (VR)-based exercise video games (exergames) are increasingly being employed as a supportive intervention in rehabilitation programs to promote engagement in physical activity, especially for elderly users. A multifaceted and iterative codesign process is essential to develop sustainable exergaming solutions. The social aspect is considered one of the key motivating factors in exergames; however, research on the social aspect of VR exergames has been limited. Previous studies have relied on competitiveness in exergames, but research has shown that competition can lead to adverse effects on users. With the aim of motivating elderly individuals to participate in physical exercise and improving social connectedness during rehabilitation, this work presents a social VR-based collaborative exergame codesigned with elderly participants and therapists. This exergame stimulates full-body exercise and supports social collaboration among users through a collaborative game task. Furthermore, this article presents a user study based on a mixed-methods approach to gather user feedback on exergame design and the effect of social collaboration versus playing alone in a VR exergame in terms of physical exertion and motivation. This study spanned five weeks (99 exergaming sessions) with 14 elderly participants divided into two groups, one playing collaboratively and the other playing individually. Between-group comparisons were performed at baseline (first week) and in the fourth week, and within-group comparisons were performed in the fifth week, when the participants played the exergame in counterbalanced order. In contrast to the first week, the participants exergaming collaboratively in the fourth week reported significantly higher intrinsic motivation on all subscales (enjoyment: p &lt; 0.02, effort: p &lt; 0.002, usefulness: p &lt; 0.01) and physical exertion (p &lt; 0.001) than those playing alone. Thereafter, exergaming in counterbalanced order during the fifth week resulted in significant differences (medium to large effect size) within groups. The participants found the social VR gameplay enjoyable and agreed that collaboration played a vital role in their motivation. They reported various health benefits, a minimal increase in symptoms of simulator sickness, and excellent usability scores (83.75 +/- 13.3). In this work, we also identify various key design principles to support healthcare professionals, researchers and industrial experts in developing ergonomic and sustainable VR-based exergames for senior citizens.</t>
  </si>
  <si>
    <t>Shah, Syed Hammad Hussain/0000-0003-2324-7623; Karlsen, Anniken/0000-0002-6322-156X</t>
  </si>
  <si>
    <t>10.1007/s10055-022-00721-8</t>
  </si>
  <si>
    <t>WOS:000889046500001</t>
  </si>
  <si>
    <t>Zhou, YH; Xiao, X; Chen, GR; Zhao, X; Chen, J</t>
  </si>
  <si>
    <t>Zhou, Yihao; Xiao, Xiao; Chen, Guorui; Zhao, Xun; Chen, Jun</t>
  </si>
  <si>
    <t>Self-powered sensing technologies for human Metaverse interfacing</t>
  </si>
  <si>
    <t>Dr. Jun Chen is currently an assis-tant professor in the Department of Bioengineering at the Univer-sity of California, Los Angeles. His current research focuses on nanotechnology and bio-electronics for energy, sensing, and therapeutic applications in the form of smart textiles, wear-ables, and body area networks. With a current h-index of 85, he has published 2 books, 1 book chapter, and 230 journal articles, 130 in which he is a correspond-ing author, in Chemical Reviews, Chemical Society Reviews, Na-ture Materials, Nature Elec-tronics, Nature Communications, Science Advances, Joule, Matter, and more. Among his many acco- lades are the Fellow of Interna-tional Association of Advanced Materials, ACS PMSE Young Investigator Award, UCLA Soci-ety of Hellman Fellows Award, Okawa Foundation Research Award, Advanced Materials Ris-ing Star, Materials Today Rising Star Award, ACS Nano Rising Stars Lectureship Award, Chem. Soc. Rev. Emerging Investigator Award, and many others. Beyond research, he is an associate editor of Biosensors and Bioelectronics. Yihao Zhou is currently a post-doc research scholar in the Department of Bioengineering at the University of California, Los Angeles under the supervi-sion of Professor Jun Chen. He holds a BS in materials science from Nanjing University (2013) and a PhD in materials science from Duke University (2019). He has published more than 30 pa-pers, and he appears as first/co-first author for articles in Nature Materials, Nature Communica-tions, and Matter. His research in-terest includes wearable bio-electronics and electrochemistry. Xiao Xiao is a PhD student in the Department of Bioengineering at the University of California, Los Angeles under the supervi-sion of Professor Jun Chen. Xiao obtained his BS in materials sci-ence and engineering from Bei -hang University in 2020. His research focuses on wearable electronics and smart textiles for energy, sensing, and therapeutic applications. Xiao has already published 47 journal articles, 25 in which he appears as first author, in Science Advances, Chemical Reviews, Advanced Materials, Matter, Trends in Chemistry, Nano Letter, ACS Nano, Nano Energy, and many others. Guorui Chen is currently a PhD candidate in the Department of Bioengineering at the University of California, Los Angeles under the supervision of Professor Jun Chen. He obtained his BS in ma-terials science and engineering from Zhejiang University, China. His research thrust includes bio-electronics, smart textiles, and personalized healthcare. Guorui has already published 34 journal articles, 12 of them in which he appears as first author in Nature Electronics, Chemical Reviews, Matter, ACS Nano, Trends in Biotechnology, and many others. Xun Zhao is a PhD student in the Department of Bioengineering at the University of California, Los Angeles under the supervi-sion of Professor Jun Chen. His current research focuses on wearable and implanted bio-electronics for healthcare appli-cations. He is interested in study-ing and developing soft materials and systems. Xun has already published 30 journal articles, 10 in which he appears as first author, in Chemical Reviews, Na-ture Materials, Nature Communi-cations, Joule, Matter, Nano Energy, Advanced Energy Mate-rials, and many others.</t>
  </si>
  <si>
    <t>JUL 20</t>
  </si>
  <si>
    <t>10.1016/j.joule.2022.06.011</t>
  </si>
  <si>
    <t>WOS:000878821400001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</si>
</sst>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name val="Arial"/>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521"/>
  <sheetViews>
    <sheetView tabSelected="1" workbookViewId="0"/>
  </sheetViews>
  <sheetFormatPr defaultRowHeight="12.5" x14ac:dyDescent="0.25"/>
  <sheetData>
    <row r="1" spans="1:7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5">
      <c r="A2" t="s">
        <v>72</v>
      </c>
      <c r="B2" t="s">
        <v>73</v>
      </c>
      <c r="C2" t="s">
        <v>74</v>
      </c>
      <c r="D2" t="s">
        <v>74</v>
      </c>
      <c r="E2" t="s">
        <v>74</v>
      </c>
      <c r="F2" t="s">
        <v>75</v>
      </c>
      <c r="G2" t="s">
        <v>74</v>
      </c>
      <c r="H2" t="s">
        <v>74</v>
      </c>
      <c r="I2" t="s">
        <v>76</v>
      </c>
      <c r="J2" t="s">
        <v>77</v>
      </c>
      <c r="K2" t="s">
        <v>74</v>
      </c>
      <c r="L2" t="s">
        <v>74</v>
      </c>
      <c r="M2" t="s">
        <v>74</v>
      </c>
      <c r="N2" t="s">
        <v>74</v>
      </c>
      <c r="O2" t="s">
        <v>74</v>
      </c>
      <c r="P2" t="s">
        <v>74</v>
      </c>
      <c r="Q2" t="s">
        <v>74</v>
      </c>
      <c r="R2" t="s">
        <v>74</v>
      </c>
      <c r="S2" t="s">
        <v>74</v>
      </c>
      <c r="T2" t="s">
        <v>74</v>
      </c>
      <c r="U2" t="s">
        <v>74</v>
      </c>
      <c r="V2" t="s">
        <v>78</v>
      </c>
      <c r="W2" t="s">
        <v>74</v>
      </c>
      <c r="X2" t="s">
        <v>74</v>
      </c>
      <c r="Y2" t="s">
        <v>74</v>
      </c>
      <c r="Z2" t="s">
        <v>74</v>
      </c>
      <c r="AA2" t="s">
        <v>74</v>
      </c>
      <c r="AB2" t="s">
        <v>79</v>
      </c>
      <c r="AC2" t="s">
        <v>74</v>
      </c>
      <c r="AD2" t="s">
        <v>74</v>
      </c>
      <c r="AE2" t="s">
        <v>74</v>
      </c>
      <c r="AF2" t="s">
        <v>74</v>
      </c>
      <c r="AG2" t="s">
        <v>74</v>
      </c>
      <c r="AH2" t="s">
        <v>74</v>
      </c>
      <c r="AI2" t="s">
        <v>74</v>
      </c>
      <c r="AJ2" t="s">
        <v>74</v>
      </c>
      <c r="AK2" t="s">
        <v>74</v>
      </c>
      <c r="AL2" t="s">
        <v>74</v>
      </c>
      <c r="AM2" t="s">
        <v>74</v>
      </c>
      <c r="AN2" t="s">
        <v>74</v>
      </c>
      <c r="AO2" t="s">
        <v>74</v>
      </c>
      <c r="AP2" t="s">
        <v>80</v>
      </c>
      <c r="AQ2" t="s">
        <v>74</v>
      </c>
      <c r="AR2" t="s">
        <v>74</v>
      </c>
      <c r="AS2" t="s">
        <v>74</v>
      </c>
      <c r="AT2" t="s">
        <v>81</v>
      </c>
      <c r="AU2">
        <v>2022</v>
      </c>
      <c r="AV2">
        <v>19</v>
      </c>
      <c r="AW2">
        <v>20</v>
      </c>
      <c r="AX2" t="s">
        <v>74</v>
      </c>
      <c r="AY2" t="s">
        <v>74</v>
      </c>
      <c r="AZ2" t="s">
        <v>74</v>
      </c>
      <c r="BA2" t="s">
        <v>74</v>
      </c>
      <c r="BB2" t="s">
        <v>74</v>
      </c>
      <c r="BC2" t="s">
        <v>74</v>
      </c>
      <c r="BD2">
        <v>13038</v>
      </c>
      <c r="BE2" t="s">
        <v>82</v>
      </c>
      <c r="BF2" t="str">
        <f>HYPERLINK("http://dx.doi.org/10.3390/ijerph192013038","http://dx.doi.org/10.3390/ijerph192013038")</f>
        <v>http://dx.doi.org/10.3390/ijerph192013038</v>
      </c>
      <c r="BG2" t="s">
        <v>74</v>
      </c>
      <c r="BH2" t="s">
        <v>74</v>
      </c>
      <c r="BI2" t="s">
        <v>74</v>
      </c>
      <c r="BJ2" t="s">
        <v>74</v>
      </c>
      <c r="BK2" t="s">
        <v>74</v>
      </c>
      <c r="BL2" t="s">
        <v>74</v>
      </c>
      <c r="BM2" t="s">
        <v>74</v>
      </c>
      <c r="BN2">
        <v>36293609</v>
      </c>
      <c r="BO2" t="s">
        <v>74</v>
      </c>
      <c r="BP2" t="s">
        <v>74</v>
      </c>
      <c r="BQ2" t="s">
        <v>74</v>
      </c>
      <c r="BR2" t="s">
        <v>74</v>
      </c>
      <c r="BS2" t="s">
        <v>83</v>
      </c>
      <c r="BT2" t="str">
        <f>HYPERLINK("https%3A%2F%2Fwww.webofscience.com%2Fwos%2Fwoscc%2Ffull-record%2FWOS:000873101900001","View Full Record in Web of Science")</f>
        <v>View Full Record in Web of Science</v>
      </c>
    </row>
    <row r="3" spans="1:72" x14ac:dyDescent="0.25">
      <c r="A3" t="s">
        <v>84</v>
      </c>
      <c r="B3" t="s">
        <v>85</v>
      </c>
      <c r="C3" t="s">
        <v>74</v>
      </c>
      <c r="D3" t="s">
        <v>74</v>
      </c>
      <c r="E3" t="s">
        <v>86</v>
      </c>
      <c r="F3" t="s">
        <v>87</v>
      </c>
      <c r="G3" t="s">
        <v>74</v>
      </c>
      <c r="H3" t="s">
        <v>74</v>
      </c>
      <c r="I3" t="s">
        <v>88</v>
      </c>
      <c r="J3" t="s">
        <v>89</v>
      </c>
      <c r="K3" t="s">
        <v>90</v>
      </c>
      <c r="L3" t="s">
        <v>74</v>
      </c>
      <c r="M3" t="s">
        <v>74</v>
      </c>
      <c r="N3" t="s">
        <v>74</v>
      </c>
      <c r="O3" t="s">
        <v>91</v>
      </c>
      <c r="P3" t="s">
        <v>92</v>
      </c>
      <c r="Q3" t="s">
        <v>93</v>
      </c>
      <c r="R3" t="s">
        <v>94</v>
      </c>
      <c r="S3" t="s">
        <v>74</v>
      </c>
      <c r="T3" t="s">
        <v>74</v>
      </c>
      <c r="U3" t="s">
        <v>74</v>
      </c>
      <c r="V3" t="s">
        <v>95</v>
      </c>
      <c r="W3" t="s">
        <v>74</v>
      </c>
      <c r="X3" t="s">
        <v>74</v>
      </c>
      <c r="Y3" t="s">
        <v>74</v>
      </c>
      <c r="Z3" t="s">
        <v>74</v>
      </c>
      <c r="AA3" t="s">
        <v>96</v>
      </c>
      <c r="AB3" t="s">
        <v>97</v>
      </c>
      <c r="AC3" t="s">
        <v>74</v>
      </c>
      <c r="AD3" t="s">
        <v>74</v>
      </c>
      <c r="AE3" t="s">
        <v>74</v>
      </c>
      <c r="AF3" t="s">
        <v>74</v>
      </c>
      <c r="AG3" t="s">
        <v>74</v>
      </c>
      <c r="AH3" t="s">
        <v>74</v>
      </c>
      <c r="AI3" t="s">
        <v>74</v>
      </c>
      <c r="AJ3" t="s">
        <v>74</v>
      </c>
      <c r="AK3" t="s">
        <v>74</v>
      </c>
      <c r="AL3" t="s">
        <v>74</v>
      </c>
      <c r="AM3" t="s">
        <v>74</v>
      </c>
      <c r="AN3" t="s">
        <v>74</v>
      </c>
      <c r="AO3" t="s">
        <v>74</v>
      </c>
      <c r="AP3" t="s">
        <v>74</v>
      </c>
      <c r="AQ3" t="s">
        <v>98</v>
      </c>
      <c r="AR3" t="s">
        <v>74</v>
      </c>
      <c r="AS3" t="s">
        <v>74</v>
      </c>
      <c r="AT3" t="s">
        <v>74</v>
      </c>
      <c r="AU3">
        <v>2022</v>
      </c>
      <c r="AV3" t="s">
        <v>74</v>
      </c>
      <c r="AW3" t="s">
        <v>74</v>
      </c>
      <c r="AX3" t="s">
        <v>74</v>
      </c>
      <c r="AY3" t="s">
        <v>74</v>
      </c>
      <c r="AZ3" t="s">
        <v>74</v>
      </c>
      <c r="BA3" t="s">
        <v>74</v>
      </c>
      <c r="BB3" t="s">
        <v>74</v>
      </c>
      <c r="BC3" t="s">
        <v>74</v>
      </c>
      <c r="BD3" t="s">
        <v>74</v>
      </c>
      <c r="BE3" t="s">
        <v>99</v>
      </c>
      <c r="BF3" t="str">
        <f>HYPERLINK("http://dx.doi.org/10.1109/VTC2022-Spring54318.2022.9860983","http://dx.doi.org/10.1109/VTC2022-Spring54318.2022.9860983")</f>
        <v>http://dx.doi.org/10.1109/VTC2022-Spring54318.2022.9860983</v>
      </c>
      <c r="BG3" t="s">
        <v>74</v>
      </c>
      <c r="BH3" t="s">
        <v>74</v>
      </c>
      <c r="BI3" t="s">
        <v>74</v>
      </c>
      <c r="BJ3" t="s">
        <v>74</v>
      </c>
      <c r="BK3" t="s">
        <v>74</v>
      </c>
      <c r="BL3" t="s">
        <v>74</v>
      </c>
      <c r="BM3" t="s">
        <v>74</v>
      </c>
      <c r="BN3" t="s">
        <v>74</v>
      </c>
      <c r="BO3" t="s">
        <v>74</v>
      </c>
      <c r="BP3" t="s">
        <v>74</v>
      </c>
      <c r="BQ3" t="s">
        <v>74</v>
      </c>
      <c r="BR3" t="s">
        <v>74</v>
      </c>
      <c r="BS3" t="s">
        <v>100</v>
      </c>
      <c r="BT3" t="str">
        <f>HYPERLINK("https%3A%2F%2Fwww.webofscience.com%2Fwos%2Fwoscc%2Ffull-record%2FWOS:000861825803029","View Full Record in Web of Science")</f>
        <v>View Full Record in Web of Science</v>
      </c>
    </row>
    <row r="4" spans="1:72" x14ac:dyDescent="0.25">
      <c r="A4" t="s">
        <v>84</v>
      </c>
      <c r="B4" t="s">
        <v>101</v>
      </c>
      <c r="C4" t="s">
        <v>74</v>
      </c>
      <c r="D4" t="s">
        <v>74</v>
      </c>
      <c r="E4" t="s">
        <v>86</v>
      </c>
      <c r="F4" t="s">
        <v>102</v>
      </c>
      <c r="G4" t="s">
        <v>74</v>
      </c>
      <c r="H4" t="s">
        <v>74</v>
      </c>
      <c r="I4" t="s">
        <v>103</v>
      </c>
      <c r="J4" t="s">
        <v>104</v>
      </c>
      <c r="K4" t="s">
        <v>105</v>
      </c>
      <c r="L4" t="s">
        <v>74</v>
      </c>
      <c r="M4" t="s">
        <v>74</v>
      </c>
      <c r="N4" t="s">
        <v>74</v>
      </c>
      <c r="O4" t="s">
        <v>106</v>
      </c>
      <c r="P4" t="s">
        <v>107</v>
      </c>
      <c r="Q4" t="s">
        <v>108</v>
      </c>
      <c r="R4" t="s">
        <v>109</v>
      </c>
      <c r="S4" t="s">
        <v>74</v>
      </c>
      <c r="T4" t="s">
        <v>74</v>
      </c>
      <c r="U4" t="s">
        <v>74</v>
      </c>
      <c r="V4" t="s">
        <v>110</v>
      </c>
      <c r="W4" t="s">
        <v>74</v>
      </c>
      <c r="X4" t="s">
        <v>74</v>
      </c>
      <c r="Y4" t="s">
        <v>74</v>
      </c>
      <c r="Z4" t="s">
        <v>74</v>
      </c>
      <c r="AA4" t="s">
        <v>74</v>
      </c>
      <c r="AB4" t="s">
        <v>111</v>
      </c>
      <c r="AC4" t="s">
        <v>74</v>
      </c>
      <c r="AD4" t="s">
        <v>74</v>
      </c>
      <c r="AE4" t="s">
        <v>74</v>
      </c>
      <c r="AF4" t="s">
        <v>74</v>
      </c>
      <c r="AG4" t="s">
        <v>74</v>
      </c>
      <c r="AH4" t="s">
        <v>74</v>
      </c>
      <c r="AI4" t="s">
        <v>74</v>
      </c>
      <c r="AJ4" t="s">
        <v>74</v>
      </c>
      <c r="AK4" t="s">
        <v>74</v>
      </c>
      <c r="AL4" t="s">
        <v>74</v>
      </c>
      <c r="AM4" t="s">
        <v>74</v>
      </c>
      <c r="AN4" t="s">
        <v>74</v>
      </c>
      <c r="AO4" t="s">
        <v>112</v>
      </c>
      <c r="AP4" t="s">
        <v>74</v>
      </c>
      <c r="AQ4" t="s">
        <v>113</v>
      </c>
      <c r="AR4" t="s">
        <v>74</v>
      </c>
      <c r="AS4" t="s">
        <v>74</v>
      </c>
      <c r="AT4" t="s">
        <v>74</v>
      </c>
      <c r="AU4">
        <v>2022</v>
      </c>
      <c r="AV4" t="s">
        <v>74</v>
      </c>
      <c r="AW4" t="s">
        <v>74</v>
      </c>
      <c r="AX4" t="s">
        <v>74</v>
      </c>
      <c r="AY4" t="s">
        <v>74</v>
      </c>
      <c r="AZ4" t="s">
        <v>74</v>
      </c>
      <c r="BA4" t="s">
        <v>74</v>
      </c>
      <c r="BB4">
        <v>256</v>
      </c>
      <c r="BC4" t="s">
        <v>114</v>
      </c>
      <c r="BD4" t="s">
        <v>74</v>
      </c>
      <c r="BE4" t="s">
        <v>74</v>
      </c>
      <c r="BF4" t="s">
        <v>74</v>
      </c>
      <c r="BG4" t="s">
        <v>74</v>
      </c>
      <c r="BH4" t="s">
        <v>74</v>
      </c>
      <c r="BI4" t="s">
        <v>74</v>
      </c>
      <c r="BJ4" t="s">
        <v>74</v>
      </c>
      <c r="BK4" t="s">
        <v>74</v>
      </c>
      <c r="BL4" t="s">
        <v>74</v>
      </c>
      <c r="BM4" t="s">
        <v>74</v>
      </c>
      <c r="BN4" t="s">
        <v>74</v>
      </c>
      <c r="BO4" t="s">
        <v>74</v>
      </c>
      <c r="BP4" t="s">
        <v>74</v>
      </c>
      <c r="BQ4" t="s">
        <v>74</v>
      </c>
      <c r="BR4" t="s">
        <v>74</v>
      </c>
      <c r="BS4" t="s">
        <v>115</v>
      </c>
      <c r="BT4" t="str">
        <f>HYPERLINK("https%3A%2F%2Fwww.webofscience.com%2Fwos%2Fwoscc%2Ffull-record%2FWOS:000835722000093","View Full Record in Web of Science")</f>
        <v>View Full Record in Web of Science</v>
      </c>
    </row>
    <row r="5" spans="1:72" x14ac:dyDescent="0.25">
      <c r="A5" t="s">
        <v>72</v>
      </c>
      <c r="B5" t="s">
        <v>116</v>
      </c>
      <c r="C5" t="s">
        <v>74</v>
      </c>
      <c r="D5" t="s">
        <v>74</v>
      </c>
      <c r="E5" t="s">
        <v>74</v>
      </c>
      <c r="F5" t="s">
        <v>117</v>
      </c>
      <c r="G5" t="s">
        <v>74</v>
      </c>
      <c r="H5" t="s">
        <v>74</v>
      </c>
      <c r="I5" t="s">
        <v>118</v>
      </c>
      <c r="J5" t="s">
        <v>119</v>
      </c>
      <c r="K5" t="s">
        <v>74</v>
      </c>
      <c r="L5" t="s">
        <v>74</v>
      </c>
      <c r="M5" t="s">
        <v>74</v>
      </c>
      <c r="N5" t="s">
        <v>74</v>
      </c>
      <c r="O5" t="s">
        <v>74</v>
      </c>
      <c r="P5" t="s">
        <v>74</v>
      </c>
      <c r="Q5" t="s">
        <v>74</v>
      </c>
      <c r="R5" t="s">
        <v>74</v>
      </c>
      <c r="S5" t="s">
        <v>74</v>
      </c>
      <c r="T5" t="s">
        <v>74</v>
      </c>
      <c r="U5" t="s">
        <v>74</v>
      </c>
      <c r="V5" t="s">
        <v>120</v>
      </c>
      <c r="W5" t="s">
        <v>74</v>
      </c>
      <c r="X5" t="s">
        <v>74</v>
      </c>
      <c r="Y5" t="s">
        <v>74</v>
      </c>
      <c r="Z5" t="s">
        <v>74</v>
      </c>
      <c r="AA5" t="s">
        <v>121</v>
      </c>
      <c r="AB5" t="s">
        <v>122</v>
      </c>
      <c r="AC5" t="s">
        <v>74</v>
      </c>
      <c r="AD5" t="s">
        <v>74</v>
      </c>
      <c r="AE5" t="s">
        <v>74</v>
      </c>
      <c r="AF5" t="s">
        <v>74</v>
      </c>
      <c r="AG5" t="s">
        <v>74</v>
      </c>
      <c r="AH5" t="s">
        <v>74</v>
      </c>
      <c r="AI5" t="s">
        <v>74</v>
      </c>
      <c r="AJ5" t="s">
        <v>74</v>
      </c>
      <c r="AK5" t="s">
        <v>74</v>
      </c>
      <c r="AL5" t="s">
        <v>74</v>
      </c>
      <c r="AM5" t="s">
        <v>74</v>
      </c>
      <c r="AN5" t="s">
        <v>74</v>
      </c>
      <c r="AO5" t="s">
        <v>74</v>
      </c>
      <c r="AP5" t="s">
        <v>123</v>
      </c>
      <c r="AQ5" t="s">
        <v>74</v>
      </c>
      <c r="AR5" t="s">
        <v>74</v>
      </c>
      <c r="AS5" t="s">
        <v>74</v>
      </c>
      <c r="AT5" t="s">
        <v>124</v>
      </c>
      <c r="AU5">
        <v>2022</v>
      </c>
      <c r="AV5">
        <v>11</v>
      </c>
      <c r="AW5">
        <v>10</v>
      </c>
      <c r="AX5" t="s">
        <v>74</v>
      </c>
      <c r="AY5" t="s">
        <v>74</v>
      </c>
      <c r="AZ5" t="s">
        <v>74</v>
      </c>
      <c r="BA5" t="s">
        <v>74</v>
      </c>
      <c r="BB5" t="s">
        <v>74</v>
      </c>
      <c r="BC5" t="s">
        <v>74</v>
      </c>
      <c r="BD5">
        <v>1616</v>
      </c>
      <c r="BE5" t="s">
        <v>125</v>
      </c>
      <c r="BF5" t="str">
        <f>HYPERLINK("http://dx.doi.org/10.3390/electronics11101616","http://dx.doi.org/10.3390/electronics11101616")</f>
        <v>http://dx.doi.org/10.3390/electronics11101616</v>
      </c>
      <c r="BG5" t="s">
        <v>74</v>
      </c>
      <c r="BH5" t="s">
        <v>74</v>
      </c>
      <c r="BI5" t="s">
        <v>74</v>
      </c>
      <c r="BJ5" t="s">
        <v>74</v>
      </c>
      <c r="BK5" t="s">
        <v>74</v>
      </c>
      <c r="BL5" t="s">
        <v>74</v>
      </c>
      <c r="BM5" t="s">
        <v>74</v>
      </c>
      <c r="BN5" t="s">
        <v>74</v>
      </c>
      <c r="BO5" t="s">
        <v>74</v>
      </c>
      <c r="BP5" t="s">
        <v>74</v>
      </c>
      <c r="BQ5" t="s">
        <v>74</v>
      </c>
      <c r="BR5" t="s">
        <v>74</v>
      </c>
      <c r="BS5" t="s">
        <v>126</v>
      </c>
      <c r="BT5" t="str">
        <f>HYPERLINK("https%3A%2F%2Fwww.webofscience.com%2Fwos%2Fwoscc%2Ffull-record%2FWOS:000802478800001","View Full Record in Web of Science")</f>
        <v>View Full Record in Web of Science</v>
      </c>
    </row>
    <row r="6" spans="1:72" x14ac:dyDescent="0.25">
      <c r="A6" t="s">
        <v>84</v>
      </c>
      <c r="B6" t="s">
        <v>127</v>
      </c>
      <c r="C6" t="s">
        <v>74</v>
      </c>
      <c r="D6" t="s">
        <v>74</v>
      </c>
      <c r="E6" t="s">
        <v>86</v>
      </c>
      <c r="F6" t="s">
        <v>128</v>
      </c>
      <c r="G6" t="s">
        <v>74</v>
      </c>
      <c r="H6" t="s">
        <v>74</v>
      </c>
      <c r="I6" t="s">
        <v>129</v>
      </c>
      <c r="J6" t="s">
        <v>130</v>
      </c>
      <c r="K6" t="s">
        <v>131</v>
      </c>
      <c r="L6" t="s">
        <v>74</v>
      </c>
      <c r="M6" t="s">
        <v>74</v>
      </c>
      <c r="N6" t="s">
        <v>74</v>
      </c>
      <c r="O6" t="s">
        <v>132</v>
      </c>
      <c r="P6" t="s">
        <v>133</v>
      </c>
      <c r="Q6" t="s">
        <v>134</v>
      </c>
      <c r="R6" t="s">
        <v>135</v>
      </c>
      <c r="S6" t="s">
        <v>74</v>
      </c>
      <c r="T6" t="s">
        <v>74</v>
      </c>
      <c r="U6" t="s">
        <v>74</v>
      </c>
      <c r="V6" t="s">
        <v>136</v>
      </c>
      <c r="W6" t="s">
        <v>74</v>
      </c>
      <c r="X6" t="s">
        <v>74</v>
      </c>
      <c r="Y6" t="s">
        <v>74</v>
      </c>
      <c r="Z6" t="s">
        <v>74</v>
      </c>
      <c r="AA6" t="s">
        <v>137</v>
      </c>
      <c r="AB6" t="s">
        <v>138</v>
      </c>
      <c r="AC6" t="s">
        <v>74</v>
      </c>
      <c r="AD6" t="s">
        <v>74</v>
      </c>
      <c r="AE6" t="s">
        <v>74</v>
      </c>
      <c r="AF6" t="s">
        <v>74</v>
      </c>
      <c r="AG6" t="s">
        <v>74</v>
      </c>
      <c r="AH6" t="s">
        <v>74</v>
      </c>
      <c r="AI6" t="s">
        <v>74</v>
      </c>
      <c r="AJ6" t="s">
        <v>74</v>
      </c>
      <c r="AK6" t="s">
        <v>74</v>
      </c>
      <c r="AL6" t="s">
        <v>74</v>
      </c>
      <c r="AM6" t="s">
        <v>74</v>
      </c>
      <c r="AN6" t="s">
        <v>74</v>
      </c>
      <c r="AO6" t="s">
        <v>139</v>
      </c>
      <c r="AP6" t="s">
        <v>74</v>
      </c>
      <c r="AQ6" t="s">
        <v>140</v>
      </c>
      <c r="AR6" t="s">
        <v>74</v>
      </c>
      <c r="AS6" t="s">
        <v>74</v>
      </c>
      <c r="AT6" t="s">
        <v>74</v>
      </c>
      <c r="AU6">
        <v>2022</v>
      </c>
      <c r="AV6" t="s">
        <v>74</v>
      </c>
      <c r="AW6" t="s">
        <v>74</v>
      </c>
      <c r="AX6" t="s">
        <v>74</v>
      </c>
      <c r="AY6" t="s">
        <v>74</v>
      </c>
      <c r="AZ6" t="s">
        <v>74</v>
      </c>
      <c r="BA6" t="s">
        <v>74</v>
      </c>
      <c r="BB6">
        <v>290</v>
      </c>
      <c r="BC6">
        <v>294</v>
      </c>
      <c r="BD6" t="s">
        <v>74</v>
      </c>
      <c r="BE6" t="s">
        <v>141</v>
      </c>
      <c r="BF6" t="str">
        <f>HYPERLINK("http://dx.doi.org/10.1109/APCC55198.2022.9943778","http://dx.doi.org/10.1109/APCC55198.2022.9943778")</f>
        <v>http://dx.doi.org/10.1109/APCC55198.2022.9943778</v>
      </c>
      <c r="BG6" t="s">
        <v>74</v>
      </c>
      <c r="BH6" t="s">
        <v>74</v>
      </c>
      <c r="BI6" t="s">
        <v>74</v>
      </c>
      <c r="BJ6" t="s">
        <v>74</v>
      </c>
      <c r="BK6" t="s">
        <v>74</v>
      </c>
      <c r="BL6" t="s">
        <v>74</v>
      </c>
      <c r="BM6" t="s">
        <v>74</v>
      </c>
      <c r="BN6" t="s">
        <v>74</v>
      </c>
      <c r="BO6" t="s">
        <v>74</v>
      </c>
      <c r="BP6" t="s">
        <v>74</v>
      </c>
      <c r="BQ6" t="s">
        <v>74</v>
      </c>
      <c r="BR6" t="s">
        <v>74</v>
      </c>
      <c r="BS6" t="s">
        <v>142</v>
      </c>
      <c r="BT6" t="str">
        <f>HYPERLINK("https%3A%2F%2Fwww.webofscience.com%2Fwos%2Fwoscc%2Ffull-record%2FWOS:000918854200060","View Full Record in Web of Science")</f>
        <v>View Full Record in Web of Science</v>
      </c>
    </row>
    <row r="7" spans="1:72" x14ac:dyDescent="0.25">
      <c r="A7" t="s">
        <v>72</v>
      </c>
      <c r="B7" t="s">
        <v>143</v>
      </c>
      <c r="C7" t="s">
        <v>74</v>
      </c>
      <c r="D7" t="s">
        <v>74</v>
      </c>
      <c r="E7" t="s">
        <v>74</v>
      </c>
      <c r="F7" t="s">
        <v>144</v>
      </c>
      <c r="G7" t="s">
        <v>74</v>
      </c>
      <c r="H7" t="s">
        <v>74</v>
      </c>
      <c r="I7" t="s">
        <v>145</v>
      </c>
      <c r="J7" t="s">
        <v>146</v>
      </c>
      <c r="K7" t="s">
        <v>74</v>
      </c>
      <c r="L7" t="s">
        <v>74</v>
      </c>
      <c r="M7" t="s">
        <v>74</v>
      </c>
      <c r="N7" t="s">
        <v>74</v>
      </c>
      <c r="O7" t="s">
        <v>74</v>
      </c>
      <c r="P7" t="s">
        <v>74</v>
      </c>
      <c r="Q7" t="s">
        <v>74</v>
      </c>
      <c r="R7" t="s">
        <v>74</v>
      </c>
      <c r="S7" t="s">
        <v>74</v>
      </c>
      <c r="T7" t="s">
        <v>74</v>
      </c>
      <c r="U7" t="s">
        <v>74</v>
      </c>
      <c r="V7" t="s">
        <v>147</v>
      </c>
      <c r="W7" t="s">
        <v>74</v>
      </c>
      <c r="X7" t="s">
        <v>74</v>
      </c>
      <c r="Y7" t="s">
        <v>74</v>
      </c>
      <c r="Z7" t="s">
        <v>74</v>
      </c>
      <c r="AA7" t="s">
        <v>74</v>
      </c>
      <c r="AB7" t="s">
        <v>74</v>
      </c>
      <c r="AC7" t="s">
        <v>74</v>
      </c>
      <c r="AD7" t="s">
        <v>74</v>
      </c>
      <c r="AE7" t="s">
        <v>74</v>
      </c>
      <c r="AF7" t="s">
        <v>74</v>
      </c>
      <c r="AG7" t="s">
        <v>74</v>
      </c>
      <c r="AH7" t="s">
        <v>74</v>
      </c>
      <c r="AI7" t="s">
        <v>74</v>
      </c>
      <c r="AJ7" t="s">
        <v>74</v>
      </c>
      <c r="AK7" t="s">
        <v>74</v>
      </c>
      <c r="AL7" t="s">
        <v>74</v>
      </c>
      <c r="AM7" t="s">
        <v>74</v>
      </c>
      <c r="AN7" t="s">
        <v>74</v>
      </c>
      <c r="AO7" t="s">
        <v>148</v>
      </c>
      <c r="AP7" t="s">
        <v>149</v>
      </c>
      <c r="AQ7" t="s">
        <v>74</v>
      </c>
      <c r="AR7" t="s">
        <v>74</v>
      </c>
      <c r="AS7" t="s">
        <v>74</v>
      </c>
      <c r="AT7" t="s">
        <v>74</v>
      </c>
      <c r="AU7" t="s">
        <v>74</v>
      </c>
      <c r="AV7" t="s">
        <v>74</v>
      </c>
      <c r="AW7" t="s">
        <v>74</v>
      </c>
      <c r="AX7" t="s">
        <v>74</v>
      </c>
      <c r="AY7" t="s">
        <v>74</v>
      </c>
      <c r="AZ7" t="s">
        <v>74</v>
      </c>
      <c r="BA7" t="s">
        <v>74</v>
      </c>
      <c r="BB7" t="s">
        <v>74</v>
      </c>
      <c r="BC7" t="s">
        <v>74</v>
      </c>
      <c r="BD7" t="s">
        <v>74</v>
      </c>
      <c r="BE7" t="s">
        <v>150</v>
      </c>
      <c r="BF7" t="str">
        <f>HYPERLINK("http://dx.doi.org/10.1007/s11227-023-05045-1","http://dx.doi.org/10.1007/s11227-023-05045-1")</f>
        <v>http://dx.doi.org/10.1007/s11227-023-05045-1</v>
      </c>
      <c r="BG7" t="s">
        <v>74</v>
      </c>
      <c r="BH7" t="s">
        <v>151</v>
      </c>
      <c r="BI7" t="s">
        <v>74</v>
      </c>
      <c r="BJ7" t="s">
        <v>74</v>
      </c>
      <c r="BK7" t="s">
        <v>74</v>
      </c>
      <c r="BL7" t="s">
        <v>74</v>
      </c>
      <c r="BM7" t="s">
        <v>74</v>
      </c>
      <c r="BN7" t="s">
        <v>74</v>
      </c>
      <c r="BO7" t="s">
        <v>74</v>
      </c>
      <c r="BP7" t="s">
        <v>74</v>
      </c>
      <c r="BQ7" t="s">
        <v>74</v>
      </c>
      <c r="BR7" t="s">
        <v>74</v>
      </c>
      <c r="BS7" t="s">
        <v>152</v>
      </c>
      <c r="BT7" t="str">
        <f>HYPERLINK("https%3A%2F%2Fwww.webofscience.com%2Fwos%2Fwoscc%2Ffull-record%2FWOS:000916905100005","View Full Record in Web of Science")</f>
        <v>View Full Record in Web of Science</v>
      </c>
    </row>
    <row r="8" spans="1:72" x14ac:dyDescent="0.25">
      <c r="A8" t="s">
        <v>84</v>
      </c>
      <c r="B8" t="s">
        <v>153</v>
      </c>
      <c r="C8" t="s">
        <v>74</v>
      </c>
      <c r="D8" t="s">
        <v>154</v>
      </c>
      <c r="E8" t="s">
        <v>74</v>
      </c>
      <c r="F8" t="s">
        <v>155</v>
      </c>
      <c r="G8" t="s">
        <v>74</v>
      </c>
      <c r="H8" t="s">
        <v>74</v>
      </c>
      <c r="I8" t="s">
        <v>156</v>
      </c>
      <c r="J8" t="s">
        <v>157</v>
      </c>
      <c r="K8" t="s">
        <v>158</v>
      </c>
      <c r="L8" t="s">
        <v>74</v>
      </c>
      <c r="M8" t="s">
        <v>74</v>
      </c>
      <c r="N8" t="s">
        <v>74</v>
      </c>
      <c r="O8" t="s">
        <v>159</v>
      </c>
      <c r="P8" t="s">
        <v>160</v>
      </c>
      <c r="Q8" t="s">
        <v>161</v>
      </c>
      <c r="R8" t="s">
        <v>162</v>
      </c>
      <c r="S8" t="s">
        <v>74</v>
      </c>
      <c r="T8" t="s">
        <v>74</v>
      </c>
      <c r="U8" t="s">
        <v>74</v>
      </c>
      <c r="V8" t="s">
        <v>163</v>
      </c>
      <c r="W8" t="s">
        <v>74</v>
      </c>
      <c r="X8" t="s">
        <v>74</v>
      </c>
      <c r="Y8" t="s">
        <v>74</v>
      </c>
      <c r="Z8" t="s">
        <v>74</v>
      </c>
      <c r="AA8" t="s">
        <v>74</v>
      </c>
      <c r="AB8" t="s">
        <v>74</v>
      </c>
      <c r="AC8" t="s">
        <v>74</v>
      </c>
      <c r="AD8" t="s">
        <v>74</v>
      </c>
      <c r="AE8" t="s">
        <v>74</v>
      </c>
      <c r="AF8" t="s">
        <v>74</v>
      </c>
      <c r="AG8" t="s">
        <v>74</v>
      </c>
      <c r="AH8" t="s">
        <v>74</v>
      </c>
      <c r="AI8" t="s">
        <v>74</v>
      </c>
      <c r="AJ8" t="s">
        <v>74</v>
      </c>
      <c r="AK8" t="s">
        <v>74</v>
      </c>
      <c r="AL8" t="s">
        <v>74</v>
      </c>
      <c r="AM8" t="s">
        <v>74</v>
      </c>
      <c r="AN8" t="s">
        <v>74</v>
      </c>
      <c r="AO8" t="s">
        <v>164</v>
      </c>
      <c r="AP8" t="s">
        <v>165</v>
      </c>
      <c r="AQ8" t="s">
        <v>166</v>
      </c>
      <c r="AR8" t="s">
        <v>74</v>
      </c>
      <c r="AS8" t="s">
        <v>74</v>
      </c>
      <c r="AT8" t="s">
        <v>74</v>
      </c>
      <c r="AU8">
        <v>2022</v>
      </c>
      <c r="AV8">
        <v>13377</v>
      </c>
      <c r="AW8" t="s">
        <v>74</v>
      </c>
      <c r="AX8" t="s">
        <v>74</v>
      </c>
      <c r="AY8" t="s">
        <v>74</v>
      </c>
      <c r="AZ8" t="s">
        <v>74</v>
      </c>
      <c r="BA8" t="s">
        <v>74</v>
      </c>
      <c r="BB8">
        <v>171</v>
      </c>
      <c r="BC8">
        <v>184</v>
      </c>
      <c r="BD8" t="s">
        <v>74</v>
      </c>
      <c r="BE8" t="s">
        <v>167</v>
      </c>
      <c r="BF8" t="str">
        <f>HYPERLINK("http://dx.doi.org/10.1007/978-3-031-10536-4_12","http://dx.doi.org/10.1007/978-3-031-10536-4_12")</f>
        <v>http://dx.doi.org/10.1007/978-3-031-10536-4_12</v>
      </c>
      <c r="BG8" t="s">
        <v>74</v>
      </c>
      <c r="BH8" t="s">
        <v>74</v>
      </c>
      <c r="BI8" t="s">
        <v>74</v>
      </c>
      <c r="BJ8" t="s">
        <v>74</v>
      </c>
      <c r="BK8" t="s">
        <v>74</v>
      </c>
      <c r="BL8" t="s">
        <v>74</v>
      </c>
      <c r="BM8" t="s">
        <v>74</v>
      </c>
      <c r="BN8" t="s">
        <v>74</v>
      </c>
      <c r="BO8" t="s">
        <v>74</v>
      </c>
      <c r="BP8" t="s">
        <v>74</v>
      </c>
      <c r="BQ8" t="s">
        <v>74</v>
      </c>
      <c r="BR8" t="s">
        <v>74</v>
      </c>
      <c r="BS8" t="s">
        <v>168</v>
      </c>
      <c r="BT8" t="str">
        <f>HYPERLINK("https%3A%2F%2Fwww.webofscience.com%2Fwos%2Fwoscc%2Ffull-record%2FWOS:000916462800012","View Full Record in Web of Science")</f>
        <v>View Full Record in Web of Science</v>
      </c>
    </row>
    <row r="9" spans="1:72" x14ac:dyDescent="0.25">
      <c r="A9" t="s">
        <v>72</v>
      </c>
      <c r="B9" t="s">
        <v>169</v>
      </c>
      <c r="C9" t="s">
        <v>74</v>
      </c>
      <c r="D9" t="s">
        <v>74</v>
      </c>
      <c r="E9" t="s">
        <v>74</v>
      </c>
      <c r="F9" t="s">
        <v>170</v>
      </c>
      <c r="G9" t="s">
        <v>74</v>
      </c>
      <c r="H9" t="s">
        <v>74</v>
      </c>
      <c r="I9" t="s">
        <v>171</v>
      </c>
      <c r="J9" t="s">
        <v>119</v>
      </c>
      <c r="K9" t="s">
        <v>74</v>
      </c>
      <c r="L9" t="s">
        <v>74</v>
      </c>
      <c r="M9" t="s">
        <v>74</v>
      </c>
      <c r="N9" t="s">
        <v>74</v>
      </c>
      <c r="O9" t="s">
        <v>74</v>
      </c>
      <c r="P9" t="s">
        <v>74</v>
      </c>
      <c r="Q9" t="s">
        <v>74</v>
      </c>
      <c r="R9" t="s">
        <v>74</v>
      </c>
      <c r="S9" t="s">
        <v>74</v>
      </c>
      <c r="T9" t="s">
        <v>74</v>
      </c>
      <c r="U9" t="s">
        <v>74</v>
      </c>
      <c r="V9" t="s">
        <v>172</v>
      </c>
      <c r="W9" t="s">
        <v>74</v>
      </c>
      <c r="X9" t="s">
        <v>74</v>
      </c>
      <c r="Y9" t="s">
        <v>74</v>
      </c>
      <c r="Z9" t="s">
        <v>74</v>
      </c>
      <c r="AA9" t="s">
        <v>173</v>
      </c>
      <c r="AB9" t="s">
        <v>174</v>
      </c>
      <c r="AC9" t="s">
        <v>74</v>
      </c>
      <c r="AD9" t="s">
        <v>74</v>
      </c>
      <c r="AE9" t="s">
        <v>74</v>
      </c>
      <c r="AF9" t="s">
        <v>74</v>
      </c>
      <c r="AG9" t="s">
        <v>74</v>
      </c>
      <c r="AH9" t="s">
        <v>74</v>
      </c>
      <c r="AI9" t="s">
        <v>74</v>
      </c>
      <c r="AJ9" t="s">
        <v>74</v>
      </c>
      <c r="AK9" t="s">
        <v>74</v>
      </c>
      <c r="AL9" t="s">
        <v>74</v>
      </c>
      <c r="AM9" t="s">
        <v>74</v>
      </c>
      <c r="AN9" t="s">
        <v>74</v>
      </c>
      <c r="AO9" t="s">
        <v>74</v>
      </c>
      <c r="AP9" t="s">
        <v>123</v>
      </c>
      <c r="AQ9" t="s">
        <v>74</v>
      </c>
      <c r="AR9" t="s">
        <v>74</v>
      </c>
      <c r="AS9" t="s">
        <v>74</v>
      </c>
      <c r="AT9" t="s">
        <v>175</v>
      </c>
      <c r="AU9">
        <v>2023</v>
      </c>
      <c r="AV9">
        <v>12</v>
      </c>
      <c r="AW9">
        <v>2</v>
      </c>
      <c r="AX9" t="s">
        <v>74</v>
      </c>
      <c r="AY9" t="s">
        <v>74</v>
      </c>
      <c r="AZ9" t="s">
        <v>74</v>
      </c>
      <c r="BA9" t="s">
        <v>74</v>
      </c>
      <c r="BB9" t="s">
        <v>74</v>
      </c>
      <c r="BC9" t="s">
        <v>74</v>
      </c>
      <c r="BD9">
        <v>391</v>
      </c>
      <c r="BE9" t="s">
        <v>176</v>
      </c>
      <c r="BF9" t="str">
        <f>HYPERLINK("http://dx.doi.org/10.3390/electronics12020391","http://dx.doi.org/10.3390/electronics12020391")</f>
        <v>http://dx.doi.org/10.3390/electronics12020391</v>
      </c>
      <c r="BG9" t="s">
        <v>74</v>
      </c>
      <c r="BH9" t="s">
        <v>74</v>
      </c>
      <c r="BI9" t="s">
        <v>74</v>
      </c>
      <c r="BJ9" t="s">
        <v>74</v>
      </c>
      <c r="BK9" t="s">
        <v>74</v>
      </c>
      <c r="BL9" t="s">
        <v>74</v>
      </c>
      <c r="BM9" t="s">
        <v>74</v>
      </c>
      <c r="BN9" t="s">
        <v>74</v>
      </c>
      <c r="BO9" t="s">
        <v>74</v>
      </c>
      <c r="BP9" t="s">
        <v>74</v>
      </c>
      <c r="BQ9" t="s">
        <v>74</v>
      </c>
      <c r="BR9" t="s">
        <v>74</v>
      </c>
      <c r="BS9" t="s">
        <v>177</v>
      </c>
      <c r="BT9" t="str">
        <f>HYPERLINK("https%3A%2F%2Fwww.webofscience.com%2Fwos%2Fwoscc%2Ffull-record%2FWOS:000914540900001","View Full Record in Web of Science")</f>
        <v>View Full Record in Web of Science</v>
      </c>
    </row>
    <row r="10" spans="1:72" x14ac:dyDescent="0.25">
      <c r="A10" t="s">
        <v>84</v>
      </c>
      <c r="B10" t="s">
        <v>178</v>
      </c>
      <c r="C10" t="s">
        <v>74</v>
      </c>
      <c r="D10" t="s">
        <v>74</v>
      </c>
      <c r="E10" t="s">
        <v>86</v>
      </c>
      <c r="F10" t="s">
        <v>179</v>
      </c>
      <c r="G10" t="s">
        <v>74</v>
      </c>
      <c r="H10" t="s">
        <v>74</v>
      </c>
      <c r="I10" t="s">
        <v>180</v>
      </c>
      <c r="J10" t="s">
        <v>181</v>
      </c>
      <c r="K10" t="s">
        <v>74</v>
      </c>
      <c r="L10" t="s">
        <v>74</v>
      </c>
      <c r="M10" t="s">
        <v>74</v>
      </c>
      <c r="N10" t="s">
        <v>74</v>
      </c>
      <c r="O10" t="s">
        <v>182</v>
      </c>
      <c r="P10" t="s">
        <v>183</v>
      </c>
      <c r="Q10" t="s">
        <v>184</v>
      </c>
      <c r="R10" t="s">
        <v>185</v>
      </c>
      <c r="S10" t="s">
        <v>74</v>
      </c>
      <c r="T10" t="s">
        <v>74</v>
      </c>
      <c r="U10" t="s">
        <v>74</v>
      </c>
      <c r="V10" t="s">
        <v>186</v>
      </c>
      <c r="W10" t="s">
        <v>74</v>
      </c>
      <c r="X10" t="s">
        <v>74</v>
      </c>
      <c r="Y10" t="s">
        <v>74</v>
      </c>
      <c r="Z10" t="s">
        <v>74</v>
      </c>
      <c r="AA10" t="s">
        <v>74</v>
      </c>
      <c r="AB10" t="s">
        <v>74</v>
      </c>
      <c r="AC10" t="s">
        <v>74</v>
      </c>
      <c r="AD10" t="s">
        <v>74</v>
      </c>
      <c r="AE10" t="s">
        <v>74</v>
      </c>
      <c r="AF10" t="s">
        <v>74</v>
      </c>
      <c r="AG10" t="s">
        <v>74</v>
      </c>
      <c r="AH10" t="s">
        <v>74</v>
      </c>
      <c r="AI10" t="s">
        <v>74</v>
      </c>
      <c r="AJ10" t="s">
        <v>74</v>
      </c>
      <c r="AK10" t="s">
        <v>74</v>
      </c>
      <c r="AL10" t="s">
        <v>74</v>
      </c>
      <c r="AM10" t="s">
        <v>74</v>
      </c>
      <c r="AN10" t="s">
        <v>74</v>
      </c>
      <c r="AO10" t="s">
        <v>74</v>
      </c>
      <c r="AP10" t="s">
        <v>74</v>
      </c>
      <c r="AQ10" t="s">
        <v>187</v>
      </c>
      <c r="AR10" t="s">
        <v>74</v>
      </c>
      <c r="AS10" t="s">
        <v>74</v>
      </c>
      <c r="AT10" t="s">
        <v>74</v>
      </c>
      <c r="AU10">
        <v>2022</v>
      </c>
      <c r="AV10" t="s">
        <v>74</v>
      </c>
      <c r="AW10" t="s">
        <v>74</v>
      </c>
      <c r="AX10" t="s">
        <v>74</v>
      </c>
      <c r="AY10" t="s">
        <v>74</v>
      </c>
      <c r="AZ10" t="s">
        <v>74</v>
      </c>
      <c r="BA10" t="s">
        <v>74</v>
      </c>
      <c r="BB10">
        <v>145</v>
      </c>
      <c r="BC10">
        <v>150</v>
      </c>
      <c r="BD10" t="s">
        <v>74</v>
      </c>
      <c r="BE10" t="s">
        <v>188</v>
      </c>
      <c r="BF10" t="str">
        <f>HYPERLINK("http://dx.doi.org/10.1109/MetroXRAINE54828.2022.9967588","http://dx.doi.org/10.1109/MetroXRAINE54828.2022.9967588")</f>
        <v>http://dx.doi.org/10.1109/MetroXRAINE54828.2022.9967588</v>
      </c>
      <c r="BG10" t="s">
        <v>74</v>
      </c>
      <c r="BH10" t="s">
        <v>74</v>
      </c>
      <c r="BI10" t="s">
        <v>74</v>
      </c>
      <c r="BJ10" t="s">
        <v>74</v>
      </c>
      <c r="BK10" t="s">
        <v>74</v>
      </c>
      <c r="BL10" t="s">
        <v>74</v>
      </c>
      <c r="BM10" t="s">
        <v>74</v>
      </c>
      <c r="BN10" t="s">
        <v>74</v>
      </c>
      <c r="BO10" t="s">
        <v>74</v>
      </c>
      <c r="BP10" t="s">
        <v>74</v>
      </c>
      <c r="BQ10" t="s">
        <v>74</v>
      </c>
      <c r="BR10" t="s">
        <v>74</v>
      </c>
      <c r="BS10" t="s">
        <v>189</v>
      </c>
      <c r="BT10" t="str">
        <f>HYPERLINK("https%3A%2F%2Fwww.webofscience.com%2Fwos%2Fwoscc%2Ffull-record%2FWOS:000947347200026","View Full Record in Web of Science")</f>
        <v>View Full Record in Web of Science</v>
      </c>
    </row>
    <row r="11" spans="1:72" x14ac:dyDescent="0.25">
      <c r="A11" t="s">
        <v>72</v>
      </c>
      <c r="B11" t="s">
        <v>190</v>
      </c>
      <c r="C11" t="s">
        <v>74</v>
      </c>
      <c r="D11" t="s">
        <v>74</v>
      </c>
      <c r="E11" t="s">
        <v>74</v>
      </c>
      <c r="F11" t="s">
        <v>191</v>
      </c>
      <c r="G11" t="s">
        <v>74</v>
      </c>
      <c r="H11" t="s">
        <v>74</v>
      </c>
      <c r="I11" t="s">
        <v>192</v>
      </c>
      <c r="J11" t="s">
        <v>119</v>
      </c>
      <c r="K11" t="s">
        <v>74</v>
      </c>
      <c r="L11" t="s">
        <v>74</v>
      </c>
      <c r="M11" t="s">
        <v>74</v>
      </c>
      <c r="N11" t="s">
        <v>74</v>
      </c>
      <c r="O11" t="s">
        <v>74</v>
      </c>
      <c r="P11" t="s">
        <v>74</v>
      </c>
      <c r="Q11" t="s">
        <v>74</v>
      </c>
      <c r="R11" t="s">
        <v>74</v>
      </c>
      <c r="S11" t="s">
        <v>74</v>
      </c>
      <c r="T11" t="s">
        <v>74</v>
      </c>
      <c r="U11" t="s">
        <v>74</v>
      </c>
      <c r="V11" t="s">
        <v>193</v>
      </c>
      <c r="W11" t="s">
        <v>74</v>
      </c>
      <c r="X11" t="s">
        <v>74</v>
      </c>
      <c r="Y11" t="s">
        <v>74</v>
      </c>
      <c r="Z11" t="s">
        <v>74</v>
      </c>
      <c r="AA11" t="s">
        <v>74</v>
      </c>
      <c r="AB11" t="s">
        <v>194</v>
      </c>
      <c r="AC11" t="s">
        <v>74</v>
      </c>
      <c r="AD11" t="s">
        <v>74</v>
      </c>
      <c r="AE11" t="s">
        <v>74</v>
      </c>
      <c r="AF11" t="s">
        <v>74</v>
      </c>
      <c r="AG11" t="s">
        <v>74</v>
      </c>
      <c r="AH11" t="s">
        <v>74</v>
      </c>
      <c r="AI11" t="s">
        <v>74</v>
      </c>
      <c r="AJ11" t="s">
        <v>74</v>
      </c>
      <c r="AK11" t="s">
        <v>74</v>
      </c>
      <c r="AL11" t="s">
        <v>74</v>
      </c>
      <c r="AM11" t="s">
        <v>74</v>
      </c>
      <c r="AN11" t="s">
        <v>74</v>
      </c>
      <c r="AO11" t="s">
        <v>74</v>
      </c>
      <c r="AP11" t="s">
        <v>123</v>
      </c>
      <c r="AQ11" t="s">
        <v>74</v>
      </c>
      <c r="AR11" t="s">
        <v>74</v>
      </c>
      <c r="AS11" t="s">
        <v>74</v>
      </c>
      <c r="AT11" t="s">
        <v>195</v>
      </c>
      <c r="AU11">
        <v>2022</v>
      </c>
      <c r="AV11">
        <v>11</v>
      </c>
      <c r="AW11">
        <v>22</v>
      </c>
      <c r="AX11" t="s">
        <v>74</v>
      </c>
      <c r="AY11" t="s">
        <v>74</v>
      </c>
      <c r="AZ11" t="s">
        <v>74</v>
      </c>
      <c r="BA11" t="s">
        <v>74</v>
      </c>
      <c r="BB11" t="s">
        <v>74</v>
      </c>
      <c r="BC11" t="s">
        <v>74</v>
      </c>
      <c r="BD11">
        <v>3730</v>
      </c>
      <c r="BE11" t="s">
        <v>196</v>
      </c>
      <c r="BF11" t="str">
        <f>HYPERLINK("http://dx.doi.org/10.3390/electronics11223730","http://dx.doi.org/10.3390/electronics11223730")</f>
        <v>http://dx.doi.org/10.3390/electronics11223730</v>
      </c>
      <c r="BG11" t="s">
        <v>74</v>
      </c>
      <c r="BH11" t="s">
        <v>74</v>
      </c>
      <c r="BI11" t="s">
        <v>74</v>
      </c>
      <c r="BJ11" t="s">
        <v>74</v>
      </c>
      <c r="BK11" t="s">
        <v>74</v>
      </c>
      <c r="BL11" t="s">
        <v>74</v>
      </c>
      <c r="BM11" t="s">
        <v>74</v>
      </c>
      <c r="BN11" t="s">
        <v>74</v>
      </c>
      <c r="BO11" t="s">
        <v>74</v>
      </c>
      <c r="BP11" t="s">
        <v>74</v>
      </c>
      <c r="BQ11" t="s">
        <v>74</v>
      </c>
      <c r="BR11" t="s">
        <v>74</v>
      </c>
      <c r="BS11" t="s">
        <v>197</v>
      </c>
      <c r="BT11" t="str">
        <f>HYPERLINK("https%3A%2F%2Fwww.webofscience.com%2Fwos%2Fwoscc%2Ffull-record%2FWOS:000887142200001","View Full Record in Web of Science")</f>
        <v>View Full Record in Web of Science</v>
      </c>
    </row>
    <row r="12" spans="1:72" x14ac:dyDescent="0.25">
      <c r="A12" t="s">
        <v>72</v>
      </c>
      <c r="B12" t="s">
        <v>198</v>
      </c>
      <c r="C12" t="s">
        <v>74</v>
      </c>
      <c r="D12" t="s">
        <v>74</v>
      </c>
      <c r="E12" t="s">
        <v>74</v>
      </c>
      <c r="F12" t="s">
        <v>199</v>
      </c>
      <c r="G12" t="s">
        <v>74</v>
      </c>
      <c r="H12" t="s">
        <v>74</v>
      </c>
      <c r="I12" t="s">
        <v>200</v>
      </c>
      <c r="J12" t="s">
        <v>201</v>
      </c>
      <c r="K12" t="s">
        <v>74</v>
      </c>
      <c r="L12" t="s">
        <v>74</v>
      </c>
      <c r="M12" t="s">
        <v>74</v>
      </c>
      <c r="N12" t="s">
        <v>74</v>
      </c>
      <c r="O12" t="s">
        <v>74</v>
      </c>
      <c r="P12" t="s">
        <v>74</v>
      </c>
      <c r="Q12" t="s">
        <v>74</v>
      </c>
      <c r="R12" t="s">
        <v>74</v>
      </c>
      <c r="S12" t="s">
        <v>74</v>
      </c>
      <c r="T12" t="s">
        <v>74</v>
      </c>
      <c r="U12" t="s">
        <v>74</v>
      </c>
      <c r="V12" t="s">
        <v>202</v>
      </c>
      <c r="W12" t="s">
        <v>74</v>
      </c>
      <c r="X12" t="s">
        <v>74</v>
      </c>
      <c r="Y12" t="s">
        <v>74</v>
      </c>
      <c r="Z12" t="s">
        <v>74</v>
      </c>
      <c r="AA12" t="s">
        <v>203</v>
      </c>
      <c r="AB12" t="s">
        <v>204</v>
      </c>
      <c r="AC12" t="s">
        <v>74</v>
      </c>
      <c r="AD12" t="s">
        <v>74</v>
      </c>
      <c r="AE12" t="s">
        <v>74</v>
      </c>
      <c r="AF12" t="s">
        <v>74</v>
      </c>
      <c r="AG12" t="s">
        <v>74</v>
      </c>
      <c r="AH12" t="s">
        <v>74</v>
      </c>
      <c r="AI12" t="s">
        <v>74</v>
      </c>
      <c r="AJ12" t="s">
        <v>74</v>
      </c>
      <c r="AK12" t="s">
        <v>74</v>
      </c>
      <c r="AL12" t="s">
        <v>74</v>
      </c>
      <c r="AM12" t="s">
        <v>74</v>
      </c>
      <c r="AN12" t="s">
        <v>74</v>
      </c>
      <c r="AO12" t="s">
        <v>205</v>
      </c>
      <c r="AP12" t="s">
        <v>74</v>
      </c>
      <c r="AQ12" t="s">
        <v>74</v>
      </c>
      <c r="AR12" t="s">
        <v>74</v>
      </c>
      <c r="AS12" t="s">
        <v>74</v>
      </c>
      <c r="AT12" t="s">
        <v>74</v>
      </c>
      <c r="AU12">
        <v>2023</v>
      </c>
      <c r="AV12">
        <v>11</v>
      </c>
      <c r="AW12" t="s">
        <v>74</v>
      </c>
      <c r="AX12" t="s">
        <v>74</v>
      </c>
      <c r="AY12" t="s">
        <v>74</v>
      </c>
      <c r="AZ12" t="s">
        <v>74</v>
      </c>
      <c r="BA12" t="s">
        <v>74</v>
      </c>
      <c r="BB12">
        <v>26258</v>
      </c>
      <c r="BC12">
        <v>26288</v>
      </c>
      <c r="BD12" t="s">
        <v>74</v>
      </c>
      <c r="BE12" t="s">
        <v>206</v>
      </c>
      <c r="BF12" t="str">
        <f>HYPERLINK("http://dx.doi.org/10.1109/ACCESS.2023.3257029","http://dx.doi.org/10.1109/ACCESS.2023.3257029")</f>
        <v>http://dx.doi.org/10.1109/ACCESS.2023.3257029</v>
      </c>
      <c r="BG12" t="s">
        <v>74</v>
      </c>
      <c r="BH12" t="s">
        <v>74</v>
      </c>
      <c r="BI12" t="s">
        <v>74</v>
      </c>
      <c r="BJ12" t="s">
        <v>74</v>
      </c>
      <c r="BK12" t="s">
        <v>74</v>
      </c>
      <c r="BL12" t="s">
        <v>74</v>
      </c>
      <c r="BM12" t="s">
        <v>74</v>
      </c>
      <c r="BN12" t="s">
        <v>74</v>
      </c>
      <c r="BO12" t="s">
        <v>74</v>
      </c>
      <c r="BP12" t="s">
        <v>74</v>
      </c>
      <c r="BQ12" t="s">
        <v>74</v>
      </c>
      <c r="BR12" t="s">
        <v>74</v>
      </c>
      <c r="BS12" t="s">
        <v>207</v>
      </c>
      <c r="BT12" t="str">
        <f>HYPERLINK("https%3A%2F%2Fwww.webofscience.com%2Fwos%2Fwoscc%2Ffull-record%2FWOS:000966522400001","View Full Record in Web of Science")</f>
        <v>View Full Record in Web of Science</v>
      </c>
    </row>
    <row r="13" spans="1:72" x14ac:dyDescent="0.25">
      <c r="A13" t="s">
        <v>72</v>
      </c>
      <c r="B13" t="s">
        <v>208</v>
      </c>
      <c r="C13" t="s">
        <v>74</v>
      </c>
      <c r="D13" t="s">
        <v>74</v>
      </c>
      <c r="E13" t="s">
        <v>74</v>
      </c>
      <c r="F13" t="s">
        <v>209</v>
      </c>
      <c r="G13" t="s">
        <v>74</v>
      </c>
      <c r="H13" t="s">
        <v>74</v>
      </c>
      <c r="I13" t="s">
        <v>210</v>
      </c>
      <c r="J13" t="s">
        <v>211</v>
      </c>
      <c r="K13" t="s">
        <v>74</v>
      </c>
      <c r="L13" t="s">
        <v>74</v>
      </c>
      <c r="M13" t="s">
        <v>74</v>
      </c>
      <c r="N13" t="s">
        <v>74</v>
      </c>
      <c r="O13" t="s">
        <v>74</v>
      </c>
      <c r="P13" t="s">
        <v>74</v>
      </c>
      <c r="Q13" t="s">
        <v>74</v>
      </c>
      <c r="R13" t="s">
        <v>74</v>
      </c>
      <c r="S13" t="s">
        <v>74</v>
      </c>
      <c r="T13" t="s">
        <v>74</v>
      </c>
      <c r="U13" t="s">
        <v>74</v>
      </c>
      <c r="V13" t="s">
        <v>212</v>
      </c>
      <c r="W13" t="s">
        <v>74</v>
      </c>
      <c r="X13" t="s">
        <v>74</v>
      </c>
      <c r="Y13" t="s">
        <v>74</v>
      </c>
      <c r="Z13" t="s">
        <v>74</v>
      </c>
      <c r="AA13" t="s">
        <v>213</v>
      </c>
      <c r="AB13" t="s">
        <v>214</v>
      </c>
      <c r="AC13" t="s">
        <v>74</v>
      </c>
      <c r="AD13" t="s">
        <v>74</v>
      </c>
      <c r="AE13" t="s">
        <v>74</v>
      </c>
      <c r="AF13" t="s">
        <v>74</v>
      </c>
      <c r="AG13" t="s">
        <v>74</v>
      </c>
      <c r="AH13" t="s">
        <v>74</v>
      </c>
      <c r="AI13" t="s">
        <v>74</v>
      </c>
      <c r="AJ13" t="s">
        <v>74</v>
      </c>
      <c r="AK13" t="s">
        <v>74</v>
      </c>
      <c r="AL13" t="s">
        <v>74</v>
      </c>
      <c r="AM13" t="s">
        <v>74</v>
      </c>
      <c r="AN13" t="s">
        <v>74</v>
      </c>
      <c r="AO13" t="s">
        <v>215</v>
      </c>
      <c r="AP13" t="s">
        <v>216</v>
      </c>
      <c r="AQ13" t="s">
        <v>74</v>
      </c>
      <c r="AR13" t="s">
        <v>74</v>
      </c>
      <c r="AS13" t="s">
        <v>74</v>
      </c>
      <c r="AT13" t="s">
        <v>74</v>
      </c>
      <c r="AU13" t="s">
        <v>74</v>
      </c>
      <c r="AV13" t="s">
        <v>74</v>
      </c>
      <c r="AW13" t="s">
        <v>74</v>
      </c>
      <c r="AX13" t="s">
        <v>74</v>
      </c>
      <c r="AY13" t="s">
        <v>74</v>
      </c>
      <c r="AZ13" t="s">
        <v>74</v>
      </c>
      <c r="BA13" t="s">
        <v>74</v>
      </c>
      <c r="BB13" t="s">
        <v>74</v>
      </c>
      <c r="BC13" t="s">
        <v>74</v>
      </c>
      <c r="BD13" t="s">
        <v>74</v>
      </c>
      <c r="BE13" t="s">
        <v>217</v>
      </c>
      <c r="BF13" t="str">
        <f>HYPERLINK("http://dx.doi.org/10.1108/K-10-2022-1432","http://dx.doi.org/10.1108/K-10-2022-1432")</f>
        <v>http://dx.doi.org/10.1108/K-10-2022-1432</v>
      </c>
      <c r="BG13" t="s">
        <v>74</v>
      </c>
      <c r="BH13" t="s">
        <v>218</v>
      </c>
      <c r="BI13" t="s">
        <v>74</v>
      </c>
      <c r="BJ13" t="s">
        <v>74</v>
      </c>
      <c r="BK13" t="s">
        <v>74</v>
      </c>
      <c r="BL13" t="s">
        <v>74</v>
      </c>
      <c r="BM13" t="s">
        <v>74</v>
      </c>
      <c r="BN13" t="s">
        <v>74</v>
      </c>
      <c r="BO13" t="s">
        <v>74</v>
      </c>
      <c r="BP13" t="s">
        <v>74</v>
      </c>
      <c r="BQ13" t="s">
        <v>74</v>
      </c>
      <c r="BR13" t="s">
        <v>74</v>
      </c>
      <c r="BS13" t="s">
        <v>219</v>
      </c>
      <c r="BT13" t="str">
        <f>HYPERLINK("https%3A%2F%2Fwww.webofscience.com%2Fwos%2Fwoscc%2Ffull-record%2FWOS:000941256800001","View Full Record in Web of Science")</f>
        <v>View Full Record in Web of Science</v>
      </c>
    </row>
    <row r="14" spans="1:72" x14ac:dyDescent="0.25">
      <c r="A14" t="s">
        <v>84</v>
      </c>
      <c r="B14" t="s">
        <v>220</v>
      </c>
      <c r="C14" t="s">
        <v>74</v>
      </c>
      <c r="D14" t="s">
        <v>221</v>
      </c>
      <c r="E14" t="s">
        <v>74</v>
      </c>
      <c r="F14" t="s">
        <v>222</v>
      </c>
      <c r="G14" t="s">
        <v>74</v>
      </c>
      <c r="H14" t="s">
        <v>74</v>
      </c>
      <c r="I14" t="s">
        <v>223</v>
      </c>
      <c r="J14" t="s">
        <v>224</v>
      </c>
      <c r="K14" t="s">
        <v>158</v>
      </c>
      <c r="L14" t="s">
        <v>74</v>
      </c>
      <c r="M14" t="s">
        <v>74</v>
      </c>
      <c r="N14" t="s">
        <v>74</v>
      </c>
      <c r="O14" t="s">
        <v>225</v>
      </c>
      <c r="P14" t="s">
        <v>226</v>
      </c>
      <c r="Q14" t="s">
        <v>108</v>
      </c>
      <c r="R14" t="s">
        <v>227</v>
      </c>
      <c r="S14" t="s">
        <v>74</v>
      </c>
      <c r="T14" t="s">
        <v>74</v>
      </c>
      <c r="U14" t="s">
        <v>74</v>
      </c>
      <c r="V14" t="s">
        <v>228</v>
      </c>
      <c r="W14" t="s">
        <v>74</v>
      </c>
      <c r="X14" t="s">
        <v>74</v>
      </c>
      <c r="Y14" t="s">
        <v>74</v>
      </c>
      <c r="Z14" t="s">
        <v>74</v>
      </c>
      <c r="AA14" t="s">
        <v>74</v>
      </c>
      <c r="AB14" t="s">
        <v>74</v>
      </c>
      <c r="AC14" t="s">
        <v>74</v>
      </c>
      <c r="AD14" t="s">
        <v>74</v>
      </c>
      <c r="AE14" t="s">
        <v>74</v>
      </c>
      <c r="AF14" t="s">
        <v>74</v>
      </c>
      <c r="AG14" t="s">
        <v>74</v>
      </c>
      <c r="AH14" t="s">
        <v>74</v>
      </c>
      <c r="AI14" t="s">
        <v>74</v>
      </c>
      <c r="AJ14" t="s">
        <v>74</v>
      </c>
      <c r="AK14" t="s">
        <v>74</v>
      </c>
      <c r="AL14" t="s">
        <v>74</v>
      </c>
      <c r="AM14" t="s">
        <v>74</v>
      </c>
      <c r="AN14" t="s">
        <v>74</v>
      </c>
      <c r="AO14" t="s">
        <v>164</v>
      </c>
      <c r="AP14" t="s">
        <v>165</v>
      </c>
      <c r="AQ14" t="s">
        <v>229</v>
      </c>
      <c r="AR14" t="s">
        <v>74</v>
      </c>
      <c r="AS14" t="s">
        <v>74</v>
      </c>
      <c r="AT14" t="s">
        <v>74</v>
      </c>
      <c r="AU14">
        <v>2022</v>
      </c>
      <c r="AV14">
        <v>12993</v>
      </c>
      <c r="AW14" t="s">
        <v>74</v>
      </c>
      <c r="AX14" t="s">
        <v>74</v>
      </c>
      <c r="AY14" t="s">
        <v>74</v>
      </c>
      <c r="AZ14" t="s">
        <v>74</v>
      </c>
      <c r="BA14" t="s">
        <v>74</v>
      </c>
      <c r="BB14">
        <v>102</v>
      </c>
      <c r="BC14">
        <v>120</v>
      </c>
      <c r="BD14" t="s">
        <v>74</v>
      </c>
      <c r="BE14" t="s">
        <v>230</v>
      </c>
      <c r="BF14" t="str">
        <f>HYPERLINK("http://dx.doi.org/10.1007/978-3-030-96068-1_8","http://dx.doi.org/10.1007/978-3-030-96068-1_8")</f>
        <v>http://dx.doi.org/10.1007/978-3-030-96068-1_8</v>
      </c>
      <c r="BG14" t="s">
        <v>74</v>
      </c>
      <c r="BH14" t="s">
        <v>74</v>
      </c>
      <c r="BI14" t="s">
        <v>74</v>
      </c>
      <c r="BJ14" t="s">
        <v>74</v>
      </c>
      <c r="BK14" t="s">
        <v>74</v>
      </c>
      <c r="BL14" t="s">
        <v>74</v>
      </c>
      <c r="BM14" t="s">
        <v>74</v>
      </c>
      <c r="BN14" t="s">
        <v>74</v>
      </c>
      <c r="BO14" t="s">
        <v>74</v>
      </c>
      <c r="BP14" t="s">
        <v>74</v>
      </c>
      <c r="BQ14" t="s">
        <v>74</v>
      </c>
      <c r="BR14" t="s">
        <v>74</v>
      </c>
      <c r="BS14" t="s">
        <v>231</v>
      </c>
      <c r="BT14" t="str">
        <f>HYPERLINK("https%3A%2F%2Fwww.webofscience.com%2Fwos%2Fwoscc%2Ffull-record%2FWOS:000772174700008","View Full Record in Web of Science")</f>
        <v>View Full Record in Web of Science</v>
      </c>
    </row>
    <row r="15" spans="1:72" x14ac:dyDescent="0.25">
      <c r="A15" t="s">
        <v>84</v>
      </c>
      <c r="B15" t="s">
        <v>232</v>
      </c>
      <c r="C15" t="s">
        <v>74</v>
      </c>
      <c r="D15" t="s">
        <v>74</v>
      </c>
      <c r="E15" t="s">
        <v>233</v>
      </c>
      <c r="F15" t="s">
        <v>234</v>
      </c>
      <c r="G15" t="s">
        <v>74</v>
      </c>
      <c r="H15" t="s">
        <v>74</v>
      </c>
      <c r="I15" t="s">
        <v>235</v>
      </c>
      <c r="J15" t="s">
        <v>236</v>
      </c>
      <c r="K15" t="s">
        <v>237</v>
      </c>
      <c r="L15" t="s">
        <v>74</v>
      </c>
      <c r="M15" t="s">
        <v>74</v>
      </c>
      <c r="N15" t="s">
        <v>74</v>
      </c>
      <c r="O15" t="s">
        <v>238</v>
      </c>
      <c r="P15" t="s">
        <v>239</v>
      </c>
      <c r="Q15" t="s">
        <v>240</v>
      </c>
      <c r="R15" t="s">
        <v>241</v>
      </c>
      <c r="S15" t="s">
        <v>74</v>
      </c>
      <c r="T15" t="s">
        <v>74</v>
      </c>
      <c r="U15" t="s">
        <v>74</v>
      </c>
      <c r="V15" t="s">
        <v>242</v>
      </c>
      <c r="W15" t="s">
        <v>74</v>
      </c>
      <c r="X15" t="s">
        <v>74</v>
      </c>
      <c r="Y15" t="s">
        <v>74</v>
      </c>
      <c r="Z15" t="s">
        <v>74</v>
      </c>
      <c r="AA15" t="s">
        <v>74</v>
      </c>
      <c r="AB15" t="s">
        <v>74</v>
      </c>
      <c r="AC15" t="s">
        <v>74</v>
      </c>
      <c r="AD15" t="s">
        <v>74</v>
      </c>
      <c r="AE15" t="s">
        <v>74</v>
      </c>
      <c r="AF15" t="s">
        <v>74</v>
      </c>
      <c r="AG15" t="s">
        <v>74</v>
      </c>
      <c r="AH15" t="s">
        <v>74</v>
      </c>
      <c r="AI15" t="s">
        <v>74</v>
      </c>
      <c r="AJ15" t="s">
        <v>74</v>
      </c>
      <c r="AK15" t="s">
        <v>74</v>
      </c>
      <c r="AL15" t="s">
        <v>74</v>
      </c>
      <c r="AM15" t="s">
        <v>74</v>
      </c>
      <c r="AN15" t="s">
        <v>74</v>
      </c>
      <c r="AO15" t="s">
        <v>243</v>
      </c>
      <c r="AP15" t="s">
        <v>74</v>
      </c>
      <c r="AQ15" t="s">
        <v>244</v>
      </c>
      <c r="AR15" t="s">
        <v>74</v>
      </c>
      <c r="AS15" t="s">
        <v>74</v>
      </c>
      <c r="AT15" t="s">
        <v>74</v>
      </c>
      <c r="AU15">
        <v>2022</v>
      </c>
      <c r="AV15" t="s">
        <v>74</v>
      </c>
      <c r="AW15" t="s">
        <v>74</v>
      </c>
      <c r="AX15" t="s">
        <v>74</v>
      </c>
      <c r="AY15" t="s">
        <v>74</v>
      </c>
      <c r="AZ15" t="s">
        <v>74</v>
      </c>
      <c r="BA15" t="s">
        <v>74</v>
      </c>
      <c r="BB15">
        <v>272</v>
      </c>
      <c r="BC15">
        <v>277</v>
      </c>
      <c r="BD15" t="s">
        <v>74</v>
      </c>
      <c r="BE15" t="s">
        <v>245</v>
      </c>
      <c r="BF15" t="str">
        <f>HYPERLINK("http://dx.doi.org/10.1109/ICDCSW56584.2022.00058","http://dx.doi.org/10.1109/ICDCSW56584.2022.00058")</f>
        <v>http://dx.doi.org/10.1109/ICDCSW56584.2022.00058</v>
      </c>
      <c r="BG15" t="s">
        <v>74</v>
      </c>
      <c r="BH15" t="s">
        <v>74</v>
      </c>
      <c r="BI15" t="s">
        <v>74</v>
      </c>
      <c r="BJ15" t="s">
        <v>74</v>
      </c>
      <c r="BK15" t="s">
        <v>74</v>
      </c>
      <c r="BL15" t="s">
        <v>74</v>
      </c>
      <c r="BM15" t="s">
        <v>74</v>
      </c>
      <c r="BN15" t="s">
        <v>74</v>
      </c>
      <c r="BO15" t="s">
        <v>74</v>
      </c>
      <c r="BP15" t="s">
        <v>74</v>
      </c>
      <c r="BQ15" t="s">
        <v>74</v>
      </c>
      <c r="BR15" t="s">
        <v>74</v>
      </c>
      <c r="BS15" t="s">
        <v>246</v>
      </c>
      <c r="BT15" t="str">
        <f>HYPERLINK("https%3A%2F%2Fwww.webofscience.com%2Fwos%2Fwoscc%2Ffull-record%2FWOS:000895984800049","View Full Record in Web of Science")</f>
        <v>View Full Record in Web of Science</v>
      </c>
    </row>
    <row r="16" spans="1:72" x14ac:dyDescent="0.25">
      <c r="A16" t="s">
        <v>72</v>
      </c>
      <c r="B16" t="s">
        <v>247</v>
      </c>
      <c r="C16" t="s">
        <v>74</v>
      </c>
      <c r="D16" t="s">
        <v>74</v>
      </c>
      <c r="E16" t="s">
        <v>74</v>
      </c>
      <c r="F16" t="s">
        <v>248</v>
      </c>
      <c r="G16" t="s">
        <v>74</v>
      </c>
      <c r="H16" t="s">
        <v>74</v>
      </c>
      <c r="I16" t="s">
        <v>249</v>
      </c>
      <c r="J16" t="s">
        <v>250</v>
      </c>
      <c r="K16" t="s">
        <v>74</v>
      </c>
      <c r="L16" t="s">
        <v>74</v>
      </c>
      <c r="M16" t="s">
        <v>74</v>
      </c>
      <c r="N16" t="s">
        <v>74</v>
      </c>
      <c r="O16" t="s">
        <v>74</v>
      </c>
      <c r="P16" t="s">
        <v>74</v>
      </c>
      <c r="Q16" t="s">
        <v>74</v>
      </c>
      <c r="R16" t="s">
        <v>74</v>
      </c>
      <c r="S16" t="s">
        <v>74</v>
      </c>
      <c r="T16" t="s">
        <v>74</v>
      </c>
      <c r="U16" t="s">
        <v>74</v>
      </c>
      <c r="V16" t="s">
        <v>251</v>
      </c>
      <c r="W16" t="s">
        <v>74</v>
      </c>
      <c r="X16" t="s">
        <v>74</v>
      </c>
      <c r="Y16" t="s">
        <v>74</v>
      </c>
      <c r="Z16" t="s">
        <v>74</v>
      </c>
      <c r="AA16" t="s">
        <v>74</v>
      </c>
      <c r="AB16" t="s">
        <v>74</v>
      </c>
      <c r="AC16" t="s">
        <v>74</v>
      </c>
      <c r="AD16" t="s">
        <v>74</v>
      </c>
      <c r="AE16" t="s">
        <v>74</v>
      </c>
      <c r="AF16" t="s">
        <v>74</v>
      </c>
      <c r="AG16" t="s">
        <v>74</v>
      </c>
      <c r="AH16" t="s">
        <v>74</v>
      </c>
      <c r="AI16" t="s">
        <v>74</v>
      </c>
      <c r="AJ16" t="s">
        <v>74</v>
      </c>
      <c r="AK16" t="s">
        <v>74</v>
      </c>
      <c r="AL16" t="s">
        <v>74</v>
      </c>
      <c r="AM16" t="s">
        <v>74</v>
      </c>
      <c r="AN16" t="s">
        <v>74</v>
      </c>
      <c r="AO16" t="s">
        <v>252</v>
      </c>
      <c r="AP16" t="s">
        <v>74</v>
      </c>
      <c r="AQ16" t="s">
        <v>74</v>
      </c>
      <c r="AR16" t="s">
        <v>74</v>
      </c>
      <c r="AS16" t="s">
        <v>74</v>
      </c>
      <c r="AT16" t="s">
        <v>74</v>
      </c>
      <c r="AU16" t="s">
        <v>74</v>
      </c>
      <c r="AV16" t="s">
        <v>74</v>
      </c>
      <c r="AW16" t="s">
        <v>74</v>
      </c>
      <c r="AX16" t="s">
        <v>74</v>
      </c>
      <c r="AY16" t="s">
        <v>74</v>
      </c>
      <c r="AZ16" t="s">
        <v>74</v>
      </c>
      <c r="BA16" t="s">
        <v>74</v>
      </c>
      <c r="BB16" t="s">
        <v>74</v>
      </c>
      <c r="BC16" t="s">
        <v>74</v>
      </c>
      <c r="BD16" t="s">
        <v>74</v>
      </c>
      <c r="BE16" t="s">
        <v>253</v>
      </c>
      <c r="BF16" t="str">
        <f>HYPERLINK("http://dx.doi.org/10.1108/INTR-07-2022-0526","http://dx.doi.org/10.1108/INTR-07-2022-0526")</f>
        <v>http://dx.doi.org/10.1108/INTR-07-2022-0526</v>
      </c>
      <c r="BG16" t="s">
        <v>74</v>
      </c>
      <c r="BH16" t="s">
        <v>218</v>
      </c>
      <c r="BI16" t="s">
        <v>74</v>
      </c>
      <c r="BJ16" t="s">
        <v>74</v>
      </c>
      <c r="BK16" t="s">
        <v>74</v>
      </c>
      <c r="BL16" t="s">
        <v>74</v>
      </c>
      <c r="BM16" t="s">
        <v>74</v>
      </c>
      <c r="BN16" t="s">
        <v>74</v>
      </c>
      <c r="BO16" t="s">
        <v>74</v>
      </c>
      <c r="BP16" t="s">
        <v>74</v>
      </c>
      <c r="BQ16" t="s">
        <v>74</v>
      </c>
      <c r="BR16" t="s">
        <v>74</v>
      </c>
      <c r="BS16" t="s">
        <v>254</v>
      </c>
      <c r="BT16" t="str">
        <f>HYPERLINK("https%3A%2F%2Fwww.webofscience.com%2Fwos%2Fwoscc%2Ffull-record%2FWOS:000939401400001","View Full Record in Web of Science")</f>
        <v>View Full Record in Web of Science</v>
      </c>
    </row>
    <row r="17" spans="1:72" x14ac:dyDescent="0.25">
      <c r="A17" t="s">
        <v>84</v>
      </c>
      <c r="B17" t="s">
        <v>255</v>
      </c>
      <c r="C17" t="s">
        <v>74</v>
      </c>
      <c r="D17" t="s">
        <v>74</v>
      </c>
      <c r="E17" t="s">
        <v>86</v>
      </c>
      <c r="F17" t="s">
        <v>256</v>
      </c>
      <c r="G17" t="s">
        <v>74</v>
      </c>
      <c r="H17" t="s">
        <v>74</v>
      </c>
      <c r="I17" t="s">
        <v>257</v>
      </c>
      <c r="J17" t="s">
        <v>258</v>
      </c>
      <c r="K17" t="s">
        <v>259</v>
      </c>
      <c r="L17" t="s">
        <v>74</v>
      </c>
      <c r="M17" t="s">
        <v>74</v>
      </c>
      <c r="N17" t="s">
        <v>74</v>
      </c>
      <c r="O17" t="s">
        <v>260</v>
      </c>
      <c r="P17" t="s">
        <v>261</v>
      </c>
      <c r="Q17" t="s">
        <v>108</v>
      </c>
      <c r="R17" t="s">
        <v>86</v>
      </c>
      <c r="S17" t="s">
        <v>74</v>
      </c>
      <c r="T17" t="s">
        <v>74</v>
      </c>
      <c r="U17" t="s">
        <v>74</v>
      </c>
      <c r="V17" t="s">
        <v>262</v>
      </c>
      <c r="W17" t="s">
        <v>74</v>
      </c>
      <c r="X17" t="s">
        <v>74</v>
      </c>
      <c r="Y17" t="s">
        <v>74</v>
      </c>
      <c r="Z17" t="s">
        <v>74</v>
      </c>
      <c r="AA17" t="s">
        <v>74</v>
      </c>
      <c r="AB17" t="s">
        <v>74</v>
      </c>
      <c r="AC17" t="s">
        <v>74</v>
      </c>
      <c r="AD17" t="s">
        <v>74</v>
      </c>
      <c r="AE17" t="s">
        <v>74</v>
      </c>
      <c r="AF17" t="s">
        <v>74</v>
      </c>
      <c r="AG17" t="s">
        <v>74</v>
      </c>
      <c r="AH17" t="s">
        <v>74</v>
      </c>
      <c r="AI17" t="s">
        <v>74</v>
      </c>
      <c r="AJ17" t="s">
        <v>74</v>
      </c>
      <c r="AK17" t="s">
        <v>74</v>
      </c>
      <c r="AL17" t="s">
        <v>74</v>
      </c>
      <c r="AM17" t="s">
        <v>74</v>
      </c>
      <c r="AN17" t="s">
        <v>74</v>
      </c>
      <c r="AO17" t="s">
        <v>263</v>
      </c>
      <c r="AP17" t="s">
        <v>74</v>
      </c>
      <c r="AQ17" t="s">
        <v>264</v>
      </c>
      <c r="AR17" t="s">
        <v>74</v>
      </c>
      <c r="AS17" t="s">
        <v>74</v>
      </c>
      <c r="AT17" t="s">
        <v>74</v>
      </c>
      <c r="AU17">
        <v>2022</v>
      </c>
      <c r="AV17" t="s">
        <v>74</v>
      </c>
      <c r="AW17" t="s">
        <v>74</v>
      </c>
      <c r="AX17" t="s">
        <v>74</v>
      </c>
      <c r="AY17" t="s">
        <v>74</v>
      </c>
      <c r="AZ17" t="s">
        <v>74</v>
      </c>
      <c r="BA17" t="s">
        <v>74</v>
      </c>
      <c r="BB17" t="s">
        <v>74</v>
      </c>
      <c r="BC17" t="s">
        <v>74</v>
      </c>
      <c r="BD17" t="s">
        <v>74</v>
      </c>
      <c r="BE17" t="s">
        <v>265</v>
      </c>
      <c r="BF17" t="str">
        <f>HYPERLINK("http://dx.doi.org/10.1109/MMSP55362.2022.9949153","http://dx.doi.org/10.1109/MMSP55362.2022.9949153")</f>
        <v>http://dx.doi.org/10.1109/MMSP55362.2022.9949153</v>
      </c>
      <c r="BG17" t="s">
        <v>74</v>
      </c>
      <c r="BH17" t="s">
        <v>74</v>
      </c>
      <c r="BI17" t="s">
        <v>74</v>
      </c>
      <c r="BJ17" t="s">
        <v>74</v>
      </c>
      <c r="BK17" t="s">
        <v>74</v>
      </c>
      <c r="BL17" t="s">
        <v>74</v>
      </c>
      <c r="BM17" t="s">
        <v>74</v>
      </c>
      <c r="BN17" t="s">
        <v>74</v>
      </c>
      <c r="BO17" t="s">
        <v>74</v>
      </c>
      <c r="BP17" t="s">
        <v>74</v>
      </c>
      <c r="BQ17" t="s">
        <v>74</v>
      </c>
      <c r="BR17" t="s">
        <v>74</v>
      </c>
      <c r="BS17" t="s">
        <v>266</v>
      </c>
      <c r="BT17" t="str">
        <f>HYPERLINK("https%3A%2F%2Fwww.webofscience.com%2Fwos%2Fwoscc%2Ffull-record%2FWOS:000893205800070","View Full Record in Web of Science")</f>
        <v>View Full Record in Web of Science</v>
      </c>
    </row>
    <row r="18" spans="1:72" x14ac:dyDescent="0.25">
      <c r="A18" t="s">
        <v>84</v>
      </c>
      <c r="B18" t="s">
        <v>267</v>
      </c>
      <c r="C18" t="s">
        <v>74</v>
      </c>
      <c r="D18" t="s">
        <v>74</v>
      </c>
      <c r="E18" t="s">
        <v>86</v>
      </c>
      <c r="F18" t="s">
        <v>268</v>
      </c>
      <c r="G18" t="s">
        <v>74</v>
      </c>
      <c r="H18" t="s">
        <v>74</v>
      </c>
      <c r="I18" t="s">
        <v>269</v>
      </c>
      <c r="J18" t="s">
        <v>270</v>
      </c>
      <c r="K18" t="s">
        <v>271</v>
      </c>
      <c r="L18" t="s">
        <v>74</v>
      </c>
      <c r="M18" t="s">
        <v>74</v>
      </c>
      <c r="N18" t="s">
        <v>74</v>
      </c>
      <c r="O18" t="s">
        <v>272</v>
      </c>
      <c r="P18" t="s">
        <v>273</v>
      </c>
      <c r="Q18" t="s">
        <v>274</v>
      </c>
      <c r="R18" t="s">
        <v>86</v>
      </c>
      <c r="S18" t="s">
        <v>74</v>
      </c>
      <c r="T18" t="s">
        <v>74</v>
      </c>
      <c r="U18" t="s">
        <v>74</v>
      </c>
      <c r="V18" t="s">
        <v>275</v>
      </c>
      <c r="W18" t="s">
        <v>74</v>
      </c>
      <c r="X18" t="s">
        <v>74</v>
      </c>
      <c r="Y18" t="s">
        <v>74</v>
      </c>
      <c r="Z18" t="s">
        <v>74</v>
      </c>
      <c r="AA18" t="s">
        <v>276</v>
      </c>
      <c r="AB18" t="s">
        <v>277</v>
      </c>
      <c r="AC18" t="s">
        <v>74</v>
      </c>
      <c r="AD18" t="s">
        <v>74</v>
      </c>
      <c r="AE18" t="s">
        <v>74</v>
      </c>
      <c r="AF18" t="s">
        <v>74</v>
      </c>
      <c r="AG18" t="s">
        <v>74</v>
      </c>
      <c r="AH18" t="s">
        <v>74</v>
      </c>
      <c r="AI18" t="s">
        <v>74</v>
      </c>
      <c r="AJ18" t="s">
        <v>74</v>
      </c>
      <c r="AK18" t="s">
        <v>74</v>
      </c>
      <c r="AL18" t="s">
        <v>74</v>
      </c>
      <c r="AM18" t="s">
        <v>74</v>
      </c>
      <c r="AN18" t="s">
        <v>74</v>
      </c>
      <c r="AO18" t="s">
        <v>278</v>
      </c>
      <c r="AP18" t="s">
        <v>74</v>
      </c>
      <c r="AQ18" t="s">
        <v>279</v>
      </c>
      <c r="AR18" t="s">
        <v>74</v>
      </c>
      <c r="AS18" t="s">
        <v>74</v>
      </c>
      <c r="AT18" t="s">
        <v>74</v>
      </c>
      <c r="AU18">
        <v>2022</v>
      </c>
      <c r="AV18" t="s">
        <v>74</v>
      </c>
      <c r="AW18" t="s">
        <v>74</v>
      </c>
      <c r="AX18" t="s">
        <v>74</v>
      </c>
      <c r="AY18" t="s">
        <v>74</v>
      </c>
      <c r="AZ18" t="s">
        <v>74</v>
      </c>
      <c r="BA18" t="s">
        <v>74</v>
      </c>
      <c r="BB18">
        <v>7</v>
      </c>
      <c r="BC18">
        <v>12</v>
      </c>
      <c r="BD18" t="s">
        <v>74</v>
      </c>
      <c r="BE18" t="s">
        <v>280</v>
      </c>
      <c r="BF18" t="str">
        <f>HYPERLINK("http://dx.doi.org/10.1109/ICCWORKSHOPS53468.2022.9814538","http://dx.doi.org/10.1109/ICCWORKSHOPS53468.2022.9814538")</f>
        <v>http://dx.doi.org/10.1109/ICCWORKSHOPS53468.2022.9814538</v>
      </c>
      <c r="BG18" t="s">
        <v>74</v>
      </c>
      <c r="BH18" t="s">
        <v>74</v>
      </c>
      <c r="BI18" t="s">
        <v>74</v>
      </c>
      <c r="BJ18" t="s">
        <v>74</v>
      </c>
      <c r="BK18" t="s">
        <v>74</v>
      </c>
      <c r="BL18" t="s">
        <v>74</v>
      </c>
      <c r="BM18" t="s">
        <v>74</v>
      </c>
      <c r="BN18" t="s">
        <v>74</v>
      </c>
      <c r="BO18" t="s">
        <v>74</v>
      </c>
      <c r="BP18" t="s">
        <v>74</v>
      </c>
      <c r="BQ18" t="s">
        <v>74</v>
      </c>
      <c r="BR18" t="s">
        <v>74</v>
      </c>
      <c r="BS18" t="s">
        <v>281</v>
      </c>
      <c r="BT18" t="str">
        <f>HYPERLINK("https%3A%2F%2Fwww.webofscience.com%2Fwos%2Fwoscc%2Ffull-record%2FWOS:000848467200002","View Full Record in Web of Science")</f>
        <v>View Full Record in Web of Science</v>
      </c>
    </row>
    <row r="19" spans="1:72" x14ac:dyDescent="0.25">
      <c r="A19" t="s">
        <v>84</v>
      </c>
      <c r="B19" t="s">
        <v>282</v>
      </c>
      <c r="C19" t="s">
        <v>74</v>
      </c>
      <c r="D19" t="s">
        <v>283</v>
      </c>
      <c r="E19" t="s">
        <v>74</v>
      </c>
      <c r="F19" t="s">
        <v>284</v>
      </c>
      <c r="G19" t="s">
        <v>74</v>
      </c>
      <c r="H19" t="s">
        <v>74</v>
      </c>
      <c r="I19" t="s">
        <v>285</v>
      </c>
      <c r="J19" t="s">
        <v>286</v>
      </c>
      <c r="K19" t="s">
        <v>158</v>
      </c>
      <c r="L19" t="s">
        <v>74</v>
      </c>
      <c r="M19" t="s">
        <v>74</v>
      </c>
      <c r="N19" t="s">
        <v>74</v>
      </c>
      <c r="O19" t="s">
        <v>287</v>
      </c>
      <c r="P19" t="s">
        <v>288</v>
      </c>
      <c r="Q19" t="s">
        <v>108</v>
      </c>
      <c r="R19" t="s">
        <v>74</v>
      </c>
      <c r="S19" t="s">
        <v>74</v>
      </c>
      <c r="T19" t="s">
        <v>74</v>
      </c>
      <c r="U19" t="s">
        <v>74</v>
      </c>
      <c r="V19" t="s">
        <v>289</v>
      </c>
      <c r="W19" t="s">
        <v>74</v>
      </c>
      <c r="X19" t="s">
        <v>74</v>
      </c>
      <c r="Y19" t="s">
        <v>74</v>
      </c>
      <c r="Z19" t="s">
        <v>74</v>
      </c>
      <c r="AA19" t="s">
        <v>74</v>
      </c>
      <c r="AB19" t="s">
        <v>290</v>
      </c>
      <c r="AC19" t="s">
        <v>74</v>
      </c>
      <c r="AD19" t="s">
        <v>74</v>
      </c>
      <c r="AE19" t="s">
        <v>74</v>
      </c>
      <c r="AF19" t="s">
        <v>74</v>
      </c>
      <c r="AG19" t="s">
        <v>74</v>
      </c>
      <c r="AH19" t="s">
        <v>74</v>
      </c>
      <c r="AI19" t="s">
        <v>74</v>
      </c>
      <c r="AJ19" t="s">
        <v>74</v>
      </c>
      <c r="AK19" t="s">
        <v>74</v>
      </c>
      <c r="AL19" t="s">
        <v>74</v>
      </c>
      <c r="AM19" t="s">
        <v>74</v>
      </c>
      <c r="AN19" t="s">
        <v>74</v>
      </c>
      <c r="AO19" t="s">
        <v>164</v>
      </c>
      <c r="AP19" t="s">
        <v>165</v>
      </c>
      <c r="AQ19" t="s">
        <v>291</v>
      </c>
      <c r="AR19" t="s">
        <v>74</v>
      </c>
      <c r="AS19" t="s">
        <v>74</v>
      </c>
      <c r="AT19" t="s">
        <v>74</v>
      </c>
      <c r="AU19">
        <v>2022</v>
      </c>
      <c r="AV19">
        <v>13518</v>
      </c>
      <c r="AW19" t="s">
        <v>74</v>
      </c>
      <c r="AX19" t="s">
        <v>74</v>
      </c>
      <c r="AY19" t="s">
        <v>74</v>
      </c>
      <c r="AZ19" t="s">
        <v>74</v>
      </c>
      <c r="BA19" t="s">
        <v>74</v>
      </c>
      <c r="BB19">
        <v>213</v>
      </c>
      <c r="BC19">
        <v>221</v>
      </c>
      <c r="BD19" t="s">
        <v>74</v>
      </c>
      <c r="BE19" t="s">
        <v>292</v>
      </c>
      <c r="BF19" t="str">
        <f>HYPERLINK("http://dx.doi.org/10.1007/978-3-031-21707-4_16","http://dx.doi.org/10.1007/978-3-031-21707-4_16")</f>
        <v>http://dx.doi.org/10.1007/978-3-031-21707-4_16</v>
      </c>
      <c r="BG19" t="s">
        <v>74</v>
      </c>
      <c r="BH19" t="s">
        <v>74</v>
      </c>
      <c r="BI19" t="s">
        <v>74</v>
      </c>
      <c r="BJ19" t="s">
        <v>74</v>
      </c>
      <c r="BK19" t="s">
        <v>74</v>
      </c>
      <c r="BL19" t="s">
        <v>74</v>
      </c>
      <c r="BM19" t="s">
        <v>74</v>
      </c>
      <c r="BN19" t="s">
        <v>74</v>
      </c>
      <c r="BO19" t="s">
        <v>74</v>
      </c>
      <c r="BP19" t="s">
        <v>74</v>
      </c>
      <c r="BQ19" t="s">
        <v>74</v>
      </c>
      <c r="BR19" t="s">
        <v>74</v>
      </c>
      <c r="BS19" t="s">
        <v>293</v>
      </c>
      <c r="BT19" t="str">
        <f>HYPERLINK("https%3A%2F%2Fwww.webofscience.com%2Fwos%2Fwoscc%2Ffull-record%2FWOS:000906729200016","View Full Record in Web of Science")</f>
        <v>View Full Record in Web of Science</v>
      </c>
    </row>
    <row r="20" spans="1:72" x14ac:dyDescent="0.25">
      <c r="A20" t="s">
        <v>72</v>
      </c>
      <c r="B20" t="s">
        <v>294</v>
      </c>
      <c r="C20" t="s">
        <v>74</v>
      </c>
      <c r="D20" t="s">
        <v>74</v>
      </c>
      <c r="E20" t="s">
        <v>74</v>
      </c>
      <c r="F20" t="s">
        <v>295</v>
      </c>
      <c r="G20" t="s">
        <v>74</v>
      </c>
      <c r="H20" t="s">
        <v>74</v>
      </c>
      <c r="I20" t="s">
        <v>296</v>
      </c>
      <c r="J20" t="s">
        <v>297</v>
      </c>
      <c r="K20" t="s">
        <v>74</v>
      </c>
      <c r="L20" t="s">
        <v>74</v>
      </c>
      <c r="M20" t="s">
        <v>74</v>
      </c>
      <c r="N20" t="s">
        <v>74</v>
      </c>
      <c r="O20" t="s">
        <v>74</v>
      </c>
      <c r="P20" t="s">
        <v>74</v>
      </c>
      <c r="Q20" t="s">
        <v>74</v>
      </c>
      <c r="R20" t="s">
        <v>74</v>
      </c>
      <c r="S20" t="s">
        <v>74</v>
      </c>
      <c r="T20" t="s">
        <v>74</v>
      </c>
      <c r="U20" t="s">
        <v>74</v>
      </c>
      <c r="V20" t="s">
        <v>74</v>
      </c>
      <c r="W20" t="s">
        <v>74</v>
      </c>
      <c r="X20" t="s">
        <v>74</v>
      </c>
      <c r="Y20" t="s">
        <v>74</v>
      </c>
      <c r="Z20" t="s">
        <v>74</v>
      </c>
      <c r="AA20" t="s">
        <v>74</v>
      </c>
      <c r="AB20" t="s">
        <v>74</v>
      </c>
      <c r="AC20" t="s">
        <v>74</v>
      </c>
      <c r="AD20" t="s">
        <v>74</v>
      </c>
      <c r="AE20" t="s">
        <v>74</v>
      </c>
      <c r="AF20" t="s">
        <v>74</v>
      </c>
      <c r="AG20" t="s">
        <v>74</v>
      </c>
      <c r="AH20" t="s">
        <v>74</v>
      </c>
      <c r="AI20" t="s">
        <v>74</v>
      </c>
      <c r="AJ20" t="s">
        <v>74</v>
      </c>
      <c r="AK20" t="s">
        <v>74</v>
      </c>
      <c r="AL20" t="s">
        <v>74</v>
      </c>
      <c r="AM20" t="s">
        <v>74</v>
      </c>
      <c r="AN20" t="s">
        <v>74</v>
      </c>
      <c r="AO20" t="s">
        <v>74</v>
      </c>
      <c r="AP20" t="s">
        <v>298</v>
      </c>
      <c r="AQ20" t="s">
        <v>74</v>
      </c>
      <c r="AR20" t="s">
        <v>74</v>
      </c>
      <c r="AS20" t="s">
        <v>74</v>
      </c>
      <c r="AT20" t="s">
        <v>299</v>
      </c>
      <c r="AU20">
        <v>2022</v>
      </c>
      <c r="AV20">
        <v>10</v>
      </c>
      <c r="AW20" t="s">
        <v>74</v>
      </c>
      <c r="AX20" t="s">
        <v>74</v>
      </c>
      <c r="AY20" t="s">
        <v>74</v>
      </c>
      <c r="AZ20" t="s">
        <v>74</v>
      </c>
      <c r="BA20" t="s">
        <v>74</v>
      </c>
      <c r="BB20" t="s">
        <v>74</v>
      </c>
      <c r="BC20" t="s">
        <v>74</v>
      </c>
      <c r="BD20">
        <v>1030574</v>
      </c>
      <c r="BE20" t="s">
        <v>300</v>
      </c>
      <c r="BF20" t="str">
        <f>HYPERLINK("http://dx.doi.org/10.3389/fpubh.2022.1030574","http://dx.doi.org/10.3389/fpubh.2022.1030574")</f>
        <v>http://dx.doi.org/10.3389/fpubh.2022.1030574</v>
      </c>
      <c r="BG20" t="s">
        <v>74</v>
      </c>
      <c r="BH20" t="s">
        <v>74</v>
      </c>
      <c r="BI20" t="s">
        <v>74</v>
      </c>
      <c r="BJ20" t="s">
        <v>74</v>
      </c>
      <c r="BK20" t="s">
        <v>74</v>
      </c>
      <c r="BL20" t="s">
        <v>74</v>
      </c>
      <c r="BM20" t="s">
        <v>74</v>
      </c>
      <c r="BN20">
        <v>36530689</v>
      </c>
      <c r="BO20" t="s">
        <v>74</v>
      </c>
      <c r="BP20" t="s">
        <v>74</v>
      </c>
      <c r="BQ20" t="s">
        <v>74</v>
      </c>
      <c r="BR20" t="s">
        <v>74</v>
      </c>
      <c r="BS20" t="s">
        <v>301</v>
      </c>
      <c r="BT20" t="str">
        <f>HYPERLINK("https%3A%2F%2Fwww.webofscience.com%2Fwos%2Fwoscc%2Ffull-record%2FWOS:000899012200001","View Full Record in Web of Science")</f>
        <v>View Full Record in Web of Science</v>
      </c>
    </row>
    <row r="21" spans="1:72" x14ac:dyDescent="0.25">
      <c r="A21" t="s">
        <v>72</v>
      </c>
      <c r="B21" t="s">
        <v>302</v>
      </c>
      <c r="C21" t="s">
        <v>74</v>
      </c>
      <c r="D21" t="s">
        <v>74</v>
      </c>
      <c r="E21" t="s">
        <v>74</v>
      </c>
      <c r="F21" t="s">
        <v>303</v>
      </c>
      <c r="G21" t="s">
        <v>74</v>
      </c>
      <c r="H21" t="s">
        <v>74</v>
      </c>
      <c r="I21" t="s">
        <v>304</v>
      </c>
      <c r="J21" t="s">
        <v>305</v>
      </c>
      <c r="K21" t="s">
        <v>74</v>
      </c>
      <c r="L21" t="s">
        <v>74</v>
      </c>
      <c r="M21" t="s">
        <v>74</v>
      </c>
      <c r="N21" t="s">
        <v>74</v>
      </c>
      <c r="O21" t="s">
        <v>74</v>
      </c>
      <c r="P21" t="s">
        <v>74</v>
      </c>
      <c r="Q21" t="s">
        <v>74</v>
      </c>
      <c r="R21" t="s">
        <v>74</v>
      </c>
      <c r="S21" t="s">
        <v>74</v>
      </c>
      <c r="T21" t="s">
        <v>74</v>
      </c>
      <c r="U21" t="s">
        <v>74</v>
      </c>
      <c r="V21" t="s">
        <v>306</v>
      </c>
      <c r="W21" t="s">
        <v>74</v>
      </c>
      <c r="X21" t="s">
        <v>74</v>
      </c>
      <c r="Y21" t="s">
        <v>74</v>
      </c>
      <c r="Z21" t="s">
        <v>74</v>
      </c>
      <c r="AA21" t="s">
        <v>74</v>
      </c>
      <c r="AB21" t="s">
        <v>74</v>
      </c>
      <c r="AC21" t="s">
        <v>74</v>
      </c>
      <c r="AD21" t="s">
        <v>74</v>
      </c>
      <c r="AE21" t="s">
        <v>74</v>
      </c>
      <c r="AF21" t="s">
        <v>74</v>
      </c>
      <c r="AG21" t="s">
        <v>74</v>
      </c>
      <c r="AH21" t="s">
        <v>74</v>
      </c>
      <c r="AI21" t="s">
        <v>74</v>
      </c>
      <c r="AJ21" t="s">
        <v>74</v>
      </c>
      <c r="AK21" t="s">
        <v>74</v>
      </c>
      <c r="AL21" t="s">
        <v>74</v>
      </c>
      <c r="AM21" t="s">
        <v>74</v>
      </c>
      <c r="AN21" t="s">
        <v>74</v>
      </c>
      <c r="AO21" t="s">
        <v>307</v>
      </c>
      <c r="AP21" t="s">
        <v>308</v>
      </c>
      <c r="AQ21" t="s">
        <v>74</v>
      </c>
      <c r="AR21" t="s">
        <v>74</v>
      </c>
      <c r="AS21" t="s">
        <v>74</v>
      </c>
      <c r="AT21" t="s">
        <v>309</v>
      </c>
      <c r="AU21">
        <v>2022</v>
      </c>
      <c r="AV21">
        <v>24</v>
      </c>
      <c r="AW21">
        <v>6</v>
      </c>
      <c r="AX21" t="s">
        <v>74</v>
      </c>
      <c r="AY21" t="s">
        <v>74</v>
      </c>
      <c r="AZ21" t="s">
        <v>74</v>
      </c>
      <c r="BA21" t="s">
        <v>74</v>
      </c>
      <c r="BB21">
        <v>69</v>
      </c>
      <c r="BC21">
        <v>73</v>
      </c>
      <c r="BD21" t="s">
        <v>74</v>
      </c>
      <c r="BE21" t="s">
        <v>310</v>
      </c>
      <c r="BF21" t="str">
        <f>HYPERLINK("http://dx.doi.org/10.1109/MITP.2022.3222711","http://dx.doi.org/10.1109/MITP.2022.3222711")</f>
        <v>http://dx.doi.org/10.1109/MITP.2022.3222711</v>
      </c>
      <c r="BG21" t="s">
        <v>74</v>
      </c>
      <c r="BH21" t="s">
        <v>74</v>
      </c>
      <c r="BI21" t="s">
        <v>74</v>
      </c>
      <c r="BJ21" t="s">
        <v>74</v>
      </c>
      <c r="BK21" t="s">
        <v>74</v>
      </c>
      <c r="BL21" t="s">
        <v>74</v>
      </c>
      <c r="BM21" t="s">
        <v>74</v>
      </c>
      <c r="BN21" t="s">
        <v>74</v>
      </c>
      <c r="BO21" t="s">
        <v>74</v>
      </c>
      <c r="BP21" t="s">
        <v>74</v>
      </c>
      <c r="BQ21" t="s">
        <v>74</v>
      </c>
      <c r="BR21" t="s">
        <v>74</v>
      </c>
      <c r="BS21" t="s">
        <v>311</v>
      </c>
      <c r="BT21" t="str">
        <f>HYPERLINK("https%3A%2F%2Fwww.webofscience.com%2Fwos%2Fwoscc%2Ffull-record%2FWOS:000917257500014","View Full Record in Web of Science")</f>
        <v>View Full Record in Web of Science</v>
      </c>
    </row>
    <row r="22" spans="1:72" x14ac:dyDescent="0.25">
      <c r="A22" t="s">
        <v>84</v>
      </c>
      <c r="B22" t="s">
        <v>312</v>
      </c>
      <c r="C22" t="s">
        <v>74</v>
      </c>
      <c r="D22" t="s">
        <v>74</v>
      </c>
      <c r="E22" t="s">
        <v>86</v>
      </c>
      <c r="F22" t="s">
        <v>313</v>
      </c>
      <c r="G22" t="s">
        <v>74</v>
      </c>
      <c r="H22" t="s">
        <v>74</v>
      </c>
      <c r="I22" t="s">
        <v>314</v>
      </c>
      <c r="J22" t="s">
        <v>315</v>
      </c>
      <c r="K22" t="s">
        <v>316</v>
      </c>
      <c r="L22" t="s">
        <v>74</v>
      </c>
      <c r="M22" t="s">
        <v>74</v>
      </c>
      <c r="N22" t="s">
        <v>74</v>
      </c>
      <c r="O22" t="s">
        <v>317</v>
      </c>
      <c r="P22" t="s">
        <v>318</v>
      </c>
      <c r="Q22" t="s">
        <v>134</v>
      </c>
      <c r="R22" t="s">
        <v>319</v>
      </c>
      <c r="S22" t="s">
        <v>74</v>
      </c>
      <c r="T22" t="s">
        <v>74</v>
      </c>
      <c r="U22" t="s">
        <v>74</v>
      </c>
      <c r="V22" t="s">
        <v>320</v>
      </c>
      <c r="W22" t="s">
        <v>74</v>
      </c>
      <c r="X22" t="s">
        <v>74</v>
      </c>
      <c r="Y22" t="s">
        <v>74</v>
      </c>
      <c r="Z22" t="s">
        <v>74</v>
      </c>
      <c r="AA22" t="s">
        <v>74</v>
      </c>
      <c r="AB22" t="s">
        <v>74</v>
      </c>
      <c r="AC22" t="s">
        <v>74</v>
      </c>
      <c r="AD22" t="s">
        <v>74</v>
      </c>
      <c r="AE22" t="s">
        <v>74</v>
      </c>
      <c r="AF22" t="s">
        <v>74</v>
      </c>
      <c r="AG22" t="s">
        <v>74</v>
      </c>
      <c r="AH22" t="s">
        <v>74</v>
      </c>
      <c r="AI22" t="s">
        <v>74</v>
      </c>
      <c r="AJ22" t="s">
        <v>74</v>
      </c>
      <c r="AK22" t="s">
        <v>74</v>
      </c>
      <c r="AL22" t="s">
        <v>74</v>
      </c>
      <c r="AM22" t="s">
        <v>74</v>
      </c>
      <c r="AN22" t="s">
        <v>74</v>
      </c>
      <c r="AO22" t="s">
        <v>321</v>
      </c>
      <c r="AP22" t="s">
        <v>74</v>
      </c>
      <c r="AQ22" t="s">
        <v>322</v>
      </c>
      <c r="AR22" t="s">
        <v>74</v>
      </c>
      <c r="AS22" t="s">
        <v>74</v>
      </c>
      <c r="AT22" t="s">
        <v>74</v>
      </c>
      <c r="AU22">
        <v>2021</v>
      </c>
      <c r="AV22" t="s">
        <v>74</v>
      </c>
      <c r="AW22" t="s">
        <v>74</v>
      </c>
      <c r="AX22" t="s">
        <v>74</v>
      </c>
      <c r="AY22" t="s">
        <v>74</v>
      </c>
      <c r="AZ22" t="s">
        <v>74</v>
      </c>
      <c r="BA22" t="s">
        <v>74</v>
      </c>
      <c r="BB22">
        <v>673</v>
      </c>
      <c r="BC22">
        <v>677</v>
      </c>
      <c r="BD22" t="s">
        <v>74</v>
      </c>
      <c r="BE22" t="s">
        <v>323</v>
      </c>
      <c r="BF22" t="str">
        <f>HYPERLINK("http://dx.doi.org/10.1109/ICTC52510.2021.9621118","http://dx.doi.org/10.1109/ICTC52510.2021.9621118")</f>
        <v>http://dx.doi.org/10.1109/ICTC52510.2021.9621118</v>
      </c>
      <c r="BG22" t="s">
        <v>74</v>
      </c>
      <c r="BH22" t="s">
        <v>74</v>
      </c>
      <c r="BI22" t="s">
        <v>74</v>
      </c>
      <c r="BJ22" t="s">
        <v>74</v>
      </c>
      <c r="BK22" t="s">
        <v>74</v>
      </c>
      <c r="BL22" t="s">
        <v>74</v>
      </c>
      <c r="BM22" t="s">
        <v>74</v>
      </c>
      <c r="BN22" t="s">
        <v>74</v>
      </c>
      <c r="BO22" t="s">
        <v>74</v>
      </c>
      <c r="BP22" t="s">
        <v>74</v>
      </c>
      <c r="BQ22" t="s">
        <v>74</v>
      </c>
      <c r="BR22" t="s">
        <v>74</v>
      </c>
      <c r="BS22" t="s">
        <v>324</v>
      </c>
      <c r="BT22" t="str">
        <f>HYPERLINK("https%3A%2F%2Fwww.webofscience.com%2Fwos%2Fwoscc%2Ffull-record%2FWOS:000790235800161","View Full Record in Web of Science")</f>
        <v>View Full Record in Web of Science</v>
      </c>
    </row>
    <row r="23" spans="1:72" x14ac:dyDescent="0.25">
      <c r="A23" t="s">
        <v>84</v>
      </c>
      <c r="B23" t="s">
        <v>325</v>
      </c>
      <c r="C23" t="s">
        <v>74</v>
      </c>
      <c r="D23" t="s">
        <v>74</v>
      </c>
      <c r="E23" t="s">
        <v>326</v>
      </c>
      <c r="F23" t="s">
        <v>327</v>
      </c>
      <c r="G23" t="s">
        <v>74</v>
      </c>
      <c r="H23" t="s">
        <v>74</v>
      </c>
      <c r="I23" t="s">
        <v>328</v>
      </c>
      <c r="J23" t="s">
        <v>329</v>
      </c>
      <c r="K23" t="s">
        <v>74</v>
      </c>
      <c r="L23" t="s">
        <v>74</v>
      </c>
      <c r="M23" t="s">
        <v>74</v>
      </c>
      <c r="N23" t="s">
        <v>74</v>
      </c>
      <c r="O23" t="s">
        <v>330</v>
      </c>
      <c r="P23" t="s">
        <v>331</v>
      </c>
      <c r="Q23" t="s">
        <v>332</v>
      </c>
      <c r="R23" t="s">
        <v>333</v>
      </c>
      <c r="S23" t="s">
        <v>74</v>
      </c>
      <c r="T23" t="s">
        <v>74</v>
      </c>
      <c r="U23" t="s">
        <v>74</v>
      </c>
      <c r="V23" t="s">
        <v>334</v>
      </c>
      <c r="W23" t="s">
        <v>74</v>
      </c>
      <c r="X23" t="s">
        <v>74</v>
      </c>
      <c r="Y23" t="s">
        <v>74</v>
      </c>
      <c r="Z23" t="s">
        <v>74</v>
      </c>
      <c r="AA23" t="s">
        <v>74</v>
      </c>
      <c r="AB23" t="s">
        <v>74</v>
      </c>
      <c r="AC23" t="s">
        <v>74</v>
      </c>
      <c r="AD23" t="s">
        <v>74</v>
      </c>
      <c r="AE23" t="s">
        <v>74</v>
      </c>
      <c r="AF23" t="s">
        <v>74</v>
      </c>
      <c r="AG23" t="s">
        <v>74</v>
      </c>
      <c r="AH23" t="s">
        <v>74</v>
      </c>
      <c r="AI23" t="s">
        <v>74</v>
      </c>
      <c r="AJ23" t="s">
        <v>74</v>
      </c>
      <c r="AK23" t="s">
        <v>74</v>
      </c>
      <c r="AL23" t="s">
        <v>74</v>
      </c>
      <c r="AM23" t="s">
        <v>74</v>
      </c>
      <c r="AN23" t="s">
        <v>74</v>
      </c>
      <c r="AO23" t="s">
        <v>74</v>
      </c>
      <c r="AP23" t="s">
        <v>74</v>
      </c>
      <c r="AQ23" t="s">
        <v>335</v>
      </c>
      <c r="AR23" t="s">
        <v>74</v>
      </c>
      <c r="AS23" t="s">
        <v>74</v>
      </c>
      <c r="AT23" t="s">
        <v>74</v>
      </c>
      <c r="AU23">
        <v>2022</v>
      </c>
      <c r="AV23" t="s">
        <v>74</v>
      </c>
      <c r="AW23" t="s">
        <v>74</v>
      </c>
      <c r="AX23" t="s">
        <v>74</v>
      </c>
      <c r="AY23" t="s">
        <v>74</v>
      </c>
      <c r="AZ23" t="s">
        <v>74</v>
      </c>
      <c r="BA23" t="s">
        <v>74</v>
      </c>
      <c r="BB23" t="s">
        <v>74</v>
      </c>
      <c r="BC23" t="s">
        <v>74</v>
      </c>
      <c r="BD23" t="s">
        <v>74</v>
      </c>
      <c r="BE23" t="s">
        <v>336</v>
      </c>
      <c r="BF23" t="str">
        <f>HYPERLINK("http://dx.doi.org/10.1145/3532525.3532534","http://dx.doi.org/10.1145/3532525.3532534")</f>
        <v>http://dx.doi.org/10.1145/3532525.3532534</v>
      </c>
      <c r="BG23" t="s">
        <v>74</v>
      </c>
      <c r="BH23" t="s">
        <v>74</v>
      </c>
      <c r="BI23" t="s">
        <v>74</v>
      </c>
      <c r="BJ23" t="s">
        <v>74</v>
      </c>
      <c r="BK23" t="s">
        <v>74</v>
      </c>
      <c r="BL23" t="s">
        <v>74</v>
      </c>
      <c r="BM23" t="s">
        <v>74</v>
      </c>
      <c r="BN23" t="s">
        <v>74</v>
      </c>
      <c r="BO23" t="s">
        <v>74</v>
      </c>
      <c r="BP23" t="s">
        <v>74</v>
      </c>
      <c r="BQ23" t="s">
        <v>74</v>
      </c>
      <c r="BR23" t="s">
        <v>74</v>
      </c>
      <c r="BS23" t="s">
        <v>337</v>
      </c>
      <c r="BT23" t="str">
        <f>HYPERLINK("https%3A%2F%2Fwww.webofscience.com%2Fwos%2Fwoscc%2Ffull-record%2FWOS:000944005200007","View Full Record in Web of Science")</f>
        <v>View Full Record in Web of Science</v>
      </c>
    </row>
    <row r="24" spans="1:72" x14ac:dyDescent="0.25">
      <c r="A24" t="s">
        <v>84</v>
      </c>
      <c r="B24" t="s">
        <v>338</v>
      </c>
      <c r="C24" t="s">
        <v>74</v>
      </c>
      <c r="D24" t="s">
        <v>74</v>
      </c>
      <c r="E24" t="s">
        <v>86</v>
      </c>
      <c r="F24" t="s">
        <v>339</v>
      </c>
      <c r="G24" t="s">
        <v>74</v>
      </c>
      <c r="H24" t="s">
        <v>74</v>
      </c>
      <c r="I24" t="s">
        <v>340</v>
      </c>
      <c r="J24" t="s">
        <v>341</v>
      </c>
      <c r="K24" t="s">
        <v>74</v>
      </c>
      <c r="L24" t="s">
        <v>74</v>
      </c>
      <c r="M24" t="s">
        <v>74</v>
      </c>
      <c r="N24" t="s">
        <v>74</v>
      </c>
      <c r="O24" t="s">
        <v>342</v>
      </c>
      <c r="P24" t="s">
        <v>343</v>
      </c>
      <c r="Q24" t="s">
        <v>108</v>
      </c>
      <c r="R24" t="s">
        <v>344</v>
      </c>
      <c r="S24" t="s">
        <v>74</v>
      </c>
      <c r="T24" t="s">
        <v>74</v>
      </c>
      <c r="U24" t="s">
        <v>74</v>
      </c>
      <c r="V24" t="s">
        <v>345</v>
      </c>
      <c r="W24" t="s">
        <v>74</v>
      </c>
      <c r="X24" t="s">
        <v>74</v>
      </c>
      <c r="Y24" t="s">
        <v>74</v>
      </c>
      <c r="Z24" t="s">
        <v>74</v>
      </c>
      <c r="AA24" t="s">
        <v>74</v>
      </c>
      <c r="AB24" t="s">
        <v>74</v>
      </c>
      <c r="AC24" t="s">
        <v>74</v>
      </c>
      <c r="AD24" t="s">
        <v>74</v>
      </c>
      <c r="AE24" t="s">
        <v>74</v>
      </c>
      <c r="AF24" t="s">
        <v>74</v>
      </c>
      <c r="AG24" t="s">
        <v>74</v>
      </c>
      <c r="AH24" t="s">
        <v>74</v>
      </c>
      <c r="AI24" t="s">
        <v>74</v>
      </c>
      <c r="AJ24" t="s">
        <v>74</v>
      </c>
      <c r="AK24" t="s">
        <v>74</v>
      </c>
      <c r="AL24" t="s">
        <v>74</v>
      </c>
      <c r="AM24" t="s">
        <v>74</v>
      </c>
      <c r="AN24" t="s">
        <v>74</v>
      </c>
      <c r="AO24" t="s">
        <v>74</v>
      </c>
      <c r="AP24" t="s">
        <v>74</v>
      </c>
      <c r="AQ24" t="s">
        <v>346</v>
      </c>
      <c r="AR24" t="s">
        <v>74</v>
      </c>
      <c r="AS24" t="s">
        <v>74</v>
      </c>
      <c r="AT24" t="s">
        <v>74</v>
      </c>
      <c r="AU24">
        <v>2022</v>
      </c>
      <c r="AV24" t="s">
        <v>74</v>
      </c>
      <c r="AW24" t="s">
        <v>74</v>
      </c>
      <c r="AX24" t="s">
        <v>74</v>
      </c>
      <c r="AY24" t="s">
        <v>74</v>
      </c>
      <c r="AZ24" t="s">
        <v>74</v>
      </c>
      <c r="BA24" t="s">
        <v>74</v>
      </c>
      <c r="BB24">
        <v>192</v>
      </c>
      <c r="BC24">
        <v>199</v>
      </c>
      <c r="BD24" t="s">
        <v>74</v>
      </c>
      <c r="BE24" t="s">
        <v>347</v>
      </c>
      <c r="BF24" t="str">
        <f>HYPERLINK("http://dx.doi.org/10.1109/IRI54793.2022.00051","http://dx.doi.org/10.1109/IRI54793.2022.00051")</f>
        <v>http://dx.doi.org/10.1109/IRI54793.2022.00051</v>
      </c>
      <c r="BG24" t="s">
        <v>74</v>
      </c>
      <c r="BH24" t="s">
        <v>74</v>
      </c>
      <c r="BI24" t="s">
        <v>74</v>
      </c>
      <c r="BJ24" t="s">
        <v>74</v>
      </c>
      <c r="BK24" t="s">
        <v>74</v>
      </c>
      <c r="BL24" t="s">
        <v>74</v>
      </c>
      <c r="BM24" t="s">
        <v>74</v>
      </c>
      <c r="BN24" t="s">
        <v>74</v>
      </c>
      <c r="BO24" t="s">
        <v>74</v>
      </c>
      <c r="BP24" t="s">
        <v>74</v>
      </c>
      <c r="BQ24" t="s">
        <v>74</v>
      </c>
      <c r="BR24" t="s">
        <v>74</v>
      </c>
      <c r="BS24" t="s">
        <v>348</v>
      </c>
      <c r="BT24" t="str">
        <f>HYPERLINK("https%3A%2F%2Fwww.webofscience.com%2Fwos%2Fwoscc%2Ffull-record%2FWOS:000864174800036","View Full Record in Web of Science")</f>
        <v>View Full Record in Web of Science</v>
      </c>
    </row>
    <row r="25" spans="1:72" x14ac:dyDescent="0.25">
      <c r="A25" t="s">
        <v>72</v>
      </c>
      <c r="B25" t="s">
        <v>349</v>
      </c>
      <c r="C25" t="s">
        <v>74</v>
      </c>
      <c r="D25" t="s">
        <v>74</v>
      </c>
      <c r="E25" t="s">
        <v>74</v>
      </c>
      <c r="F25" t="s">
        <v>350</v>
      </c>
      <c r="G25" t="s">
        <v>74</v>
      </c>
      <c r="H25" t="s">
        <v>74</v>
      </c>
      <c r="I25" t="s">
        <v>351</v>
      </c>
      <c r="J25" t="s">
        <v>352</v>
      </c>
      <c r="K25" t="s">
        <v>74</v>
      </c>
      <c r="L25" t="s">
        <v>74</v>
      </c>
      <c r="M25" t="s">
        <v>74</v>
      </c>
      <c r="N25" t="s">
        <v>74</v>
      </c>
      <c r="O25" t="s">
        <v>74</v>
      </c>
      <c r="P25" t="s">
        <v>74</v>
      </c>
      <c r="Q25" t="s">
        <v>74</v>
      </c>
      <c r="R25" t="s">
        <v>74</v>
      </c>
      <c r="S25" t="s">
        <v>74</v>
      </c>
      <c r="T25" t="s">
        <v>74</v>
      </c>
      <c r="U25" t="s">
        <v>74</v>
      </c>
      <c r="V25" t="s">
        <v>353</v>
      </c>
      <c r="W25" t="s">
        <v>74</v>
      </c>
      <c r="X25" t="s">
        <v>74</v>
      </c>
      <c r="Y25" t="s">
        <v>74</v>
      </c>
      <c r="Z25" t="s">
        <v>74</v>
      </c>
      <c r="AA25" t="s">
        <v>354</v>
      </c>
      <c r="AB25" t="s">
        <v>355</v>
      </c>
      <c r="AC25" t="s">
        <v>74</v>
      </c>
      <c r="AD25" t="s">
        <v>74</v>
      </c>
      <c r="AE25" t="s">
        <v>74</v>
      </c>
      <c r="AF25" t="s">
        <v>74</v>
      </c>
      <c r="AG25" t="s">
        <v>74</v>
      </c>
      <c r="AH25" t="s">
        <v>74</v>
      </c>
      <c r="AI25" t="s">
        <v>74</v>
      </c>
      <c r="AJ25" t="s">
        <v>74</v>
      </c>
      <c r="AK25" t="s">
        <v>74</v>
      </c>
      <c r="AL25" t="s">
        <v>74</v>
      </c>
      <c r="AM25" t="s">
        <v>74</v>
      </c>
      <c r="AN25" t="s">
        <v>74</v>
      </c>
      <c r="AO25" t="s">
        <v>74</v>
      </c>
      <c r="AP25" t="s">
        <v>356</v>
      </c>
      <c r="AQ25" t="s">
        <v>74</v>
      </c>
      <c r="AR25" t="s">
        <v>74</v>
      </c>
      <c r="AS25" t="s">
        <v>74</v>
      </c>
      <c r="AT25" t="s">
        <v>74</v>
      </c>
      <c r="AU25">
        <v>2023</v>
      </c>
      <c r="AV25">
        <v>25</v>
      </c>
      <c r="AW25">
        <v>1</v>
      </c>
      <c r="AX25" t="s">
        <v>74</v>
      </c>
      <c r="AY25" t="s">
        <v>74</v>
      </c>
      <c r="AZ25" t="s">
        <v>74</v>
      </c>
      <c r="BA25" t="s">
        <v>74</v>
      </c>
      <c r="BB25">
        <v>319</v>
      </c>
      <c r="BC25">
        <v>352</v>
      </c>
      <c r="BD25" t="s">
        <v>74</v>
      </c>
      <c r="BE25" t="s">
        <v>357</v>
      </c>
      <c r="BF25" t="str">
        <f>HYPERLINK("http://dx.doi.org/10.1109/COMST.2022.3202047","http://dx.doi.org/10.1109/COMST.2022.3202047")</f>
        <v>http://dx.doi.org/10.1109/COMST.2022.3202047</v>
      </c>
      <c r="BG25" t="s">
        <v>74</v>
      </c>
      <c r="BH25" t="s">
        <v>74</v>
      </c>
      <c r="BI25" t="s">
        <v>74</v>
      </c>
      <c r="BJ25" t="s">
        <v>74</v>
      </c>
      <c r="BK25" t="s">
        <v>74</v>
      </c>
      <c r="BL25" t="s">
        <v>74</v>
      </c>
      <c r="BM25" t="s">
        <v>74</v>
      </c>
      <c r="BN25" t="s">
        <v>74</v>
      </c>
      <c r="BO25" t="s">
        <v>74</v>
      </c>
      <c r="BP25" t="s">
        <v>74</v>
      </c>
      <c r="BQ25" t="s">
        <v>74</v>
      </c>
      <c r="BR25" t="s">
        <v>74</v>
      </c>
      <c r="BS25" t="s">
        <v>358</v>
      </c>
      <c r="BT25" t="str">
        <f>HYPERLINK("https%3A%2F%2Fwww.webofscience.com%2Fwos%2Fwoscc%2Ffull-record%2FWOS:000942531300012","View Full Record in Web of Science")</f>
        <v>View Full Record in Web of Science</v>
      </c>
    </row>
    <row r="26" spans="1:72" x14ac:dyDescent="0.25">
      <c r="A26" t="s">
        <v>72</v>
      </c>
      <c r="B26" t="s">
        <v>359</v>
      </c>
      <c r="C26" t="s">
        <v>74</v>
      </c>
      <c r="D26" t="s">
        <v>74</v>
      </c>
      <c r="E26" t="s">
        <v>74</v>
      </c>
      <c r="F26" t="s">
        <v>360</v>
      </c>
      <c r="G26" t="s">
        <v>74</v>
      </c>
      <c r="H26" t="s">
        <v>74</v>
      </c>
      <c r="I26" t="s">
        <v>361</v>
      </c>
      <c r="J26" t="s">
        <v>362</v>
      </c>
      <c r="K26" t="s">
        <v>74</v>
      </c>
      <c r="L26" t="s">
        <v>74</v>
      </c>
      <c r="M26" t="s">
        <v>74</v>
      </c>
      <c r="N26" t="s">
        <v>74</v>
      </c>
      <c r="O26" t="s">
        <v>74</v>
      </c>
      <c r="P26" t="s">
        <v>74</v>
      </c>
      <c r="Q26" t="s">
        <v>74</v>
      </c>
      <c r="R26" t="s">
        <v>74</v>
      </c>
      <c r="S26" t="s">
        <v>74</v>
      </c>
      <c r="T26" t="s">
        <v>74</v>
      </c>
      <c r="U26" t="s">
        <v>74</v>
      </c>
      <c r="V26" t="s">
        <v>363</v>
      </c>
      <c r="W26" t="s">
        <v>74</v>
      </c>
      <c r="X26" t="s">
        <v>74</v>
      </c>
      <c r="Y26" t="s">
        <v>74</v>
      </c>
      <c r="Z26" t="s">
        <v>74</v>
      </c>
      <c r="AA26" t="s">
        <v>74</v>
      </c>
      <c r="AB26" t="s">
        <v>74</v>
      </c>
      <c r="AC26" t="s">
        <v>74</v>
      </c>
      <c r="AD26" t="s">
        <v>74</v>
      </c>
      <c r="AE26" t="s">
        <v>74</v>
      </c>
      <c r="AF26" t="s">
        <v>74</v>
      </c>
      <c r="AG26" t="s">
        <v>74</v>
      </c>
      <c r="AH26" t="s">
        <v>74</v>
      </c>
      <c r="AI26" t="s">
        <v>74</v>
      </c>
      <c r="AJ26" t="s">
        <v>74</v>
      </c>
      <c r="AK26" t="s">
        <v>74</v>
      </c>
      <c r="AL26" t="s">
        <v>74</v>
      </c>
      <c r="AM26" t="s">
        <v>74</v>
      </c>
      <c r="AN26" t="s">
        <v>74</v>
      </c>
      <c r="AO26" t="s">
        <v>364</v>
      </c>
      <c r="AP26" t="s">
        <v>365</v>
      </c>
      <c r="AQ26" t="s">
        <v>74</v>
      </c>
      <c r="AR26" t="s">
        <v>74</v>
      </c>
      <c r="AS26" t="s">
        <v>74</v>
      </c>
      <c r="AT26" t="s">
        <v>366</v>
      </c>
      <c r="AU26">
        <v>2023</v>
      </c>
      <c r="AV26">
        <v>23</v>
      </c>
      <c r="AW26">
        <v>2</v>
      </c>
      <c r="AX26" t="s">
        <v>74</v>
      </c>
      <c r="AY26" t="s">
        <v>74</v>
      </c>
      <c r="AZ26" t="s">
        <v>74</v>
      </c>
      <c r="BA26" t="s">
        <v>74</v>
      </c>
      <c r="BB26" t="s">
        <v>74</v>
      </c>
      <c r="BC26" t="s">
        <v>74</v>
      </c>
      <c r="BD26">
        <v>2350028</v>
      </c>
      <c r="BE26" t="s">
        <v>367</v>
      </c>
      <c r="BF26" t="str">
        <f>HYPERLINK("http://dx.doi.org/10.1142/S0219519423500288","http://dx.doi.org/10.1142/S0219519423500288")</f>
        <v>http://dx.doi.org/10.1142/S0219519423500288</v>
      </c>
      <c r="BG26" t="s">
        <v>74</v>
      </c>
      <c r="BH26" t="s">
        <v>74</v>
      </c>
      <c r="BI26" t="s">
        <v>74</v>
      </c>
      <c r="BJ26" t="s">
        <v>74</v>
      </c>
      <c r="BK26" t="s">
        <v>74</v>
      </c>
      <c r="BL26" t="s">
        <v>74</v>
      </c>
      <c r="BM26" t="s">
        <v>74</v>
      </c>
      <c r="BN26" t="s">
        <v>74</v>
      </c>
      <c r="BO26" t="s">
        <v>74</v>
      </c>
      <c r="BP26" t="s">
        <v>74</v>
      </c>
      <c r="BQ26" t="s">
        <v>74</v>
      </c>
      <c r="BR26" t="s">
        <v>74</v>
      </c>
      <c r="BS26" t="s">
        <v>368</v>
      </c>
      <c r="BT26" t="str">
        <f>HYPERLINK("https%3A%2F%2Fwww.webofscience.com%2Fwos%2Fwoscc%2Ffull-record%2FWOS:000968974700010","View Full Record in Web of Science")</f>
        <v>View Full Record in Web of Science</v>
      </c>
    </row>
    <row r="27" spans="1:72" x14ac:dyDescent="0.25">
      <c r="A27" t="s">
        <v>72</v>
      </c>
      <c r="B27" t="s">
        <v>369</v>
      </c>
      <c r="C27" t="s">
        <v>74</v>
      </c>
      <c r="D27" t="s">
        <v>74</v>
      </c>
      <c r="E27" t="s">
        <v>74</v>
      </c>
      <c r="F27" t="s">
        <v>370</v>
      </c>
      <c r="G27" t="s">
        <v>74</v>
      </c>
      <c r="H27" t="s">
        <v>74</v>
      </c>
      <c r="I27" t="s">
        <v>371</v>
      </c>
      <c r="J27" t="s">
        <v>372</v>
      </c>
      <c r="K27" t="s">
        <v>74</v>
      </c>
      <c r="L27" t="s">
        <v>74</v>
      </c>
      <c r="M27" t="s">
        <v>74</v>
      </c>
      <c r="N27" t="s">
        <v>74</v>
      </c>
      <c r="O27" t="s">
        <v>74</v>
      </c>
      <c r="P27" t="s">
        <v>74</v>
      </c>
      <c r="Q27" t="s">
        <v>74</v>
      </c>
      <c r="R27" t="s">
        <v>74</v>
      </c>
      <c r="S27" t="s">
        <v>74</v>
      </c>
      <c r="T27" t="s">
        <v>74</v>
      </c>
      <c r="U27" t="s">
        <v>74</v>
      </c>
      <c r="V27" t="s">
        <v>373</v>
      </c>
      <c r="W27" t="s">
        <v>74</v>
      </c>
      <c r="X27" t="s">
        <v>74</v>
      </c>
      <c r="Y27" t="s">
        <v>74</v>
      </c>
      <c r="Z27" t="s">
        <v>74</v>
      </c>
      <c r="AA27" t="s">
        <v>74</v>
      </c>
      <c r="AB27" t="s">
        <v>74</v>
      </c>
      <c r="AC27" t="s">
        <v>74</v>
      </c>
      <c r="AD27" t="s">
        <v>74</v>
      </c>
      <c r="AE27" t="s">
        <v>74</v>
      </c>
      <c r="AF27" t="s">
        <v>74</v>
      </c>
      <c r="AG27" t="s">
        <v>74</v>
      </c>
      <c r="AH27" t="s">
        <v>74</v>
      </c>
      <c r="AI27" t="s">
        <v>74</v>
      </c>
      <c r="AJ27" t="s">
        <v>74</v>
      </c>
      <c r="AK27" t="s">
        <v>74</v>
      </c>
      <c r="AL27" t="s">
        <v>74</v>
      </c>
      <c r="AM27" t="s">
        <v>74</v>
      </c>
      <c r="AN27" t="s">
        <v>74</v>
      </c>
      <c r="AO27" t="s">
        <v>374</v>
      </c>
      <c r="AP27" t="s">
        <v>375</v>
      </c>
      <c r="AQ27" t="s">
        <v>74</v>
      </c>
      <c r="AR27" t="s">
        <v>74</v>
      </c>
      <c r="AS27" t="s">
        <v>74</v>
      </c>
      <c r="AT27" t="s">
        <v>376</v>
      </c>
      <c r="AU27">
        <v>2023</v>
      </c>
      <c r="AV27">
        <v>12</v>
      </c>
      <c r="AW27">
        <v>3</v>
      </c>
      <c r="AX27" t="s">
        <v>74</v>
      </c>
      <c r="AY27" t="s">
        <v>74</v>
      </c>
      <c r="AZ27" t="s">
        <v>74</v>
      </c>
      <c r="BA27" t="s">
        <v>74</v>
      </c>
      <c r="BB27">
        <v>17</v>
      </c>
      <c r="BC27">
        <v>19</v>
      </c>
      <c r="BD27" t="s">
        <v>74</v>
      </c>
      <c r="BE27" t="s">
        <v>377</v>
      </c>
      <c r="BF27" t="str">
        <f>HYPERLINK("http://dx.doi.org/10.1109/MCE.2022.3229180","http://dx.doi.org/10.1109/MCE.2022.3229180")</f>
        <v>http://dx.doi.org/10.1109/MCE.2022.3229180</v>
      </c>
      <c r="BG27" t="s">
        <v>74</v>
      </c>
      <c r="BH27" t="s">
        <v>74</v>
      </c>
      <c r="BI27" t="s">
        <v>74</v>
      </c>
      <c r="BJ27" t="s">
        <v>74</v>
      </c>
      <c r="BK27" t="s">
        <v>74</v>
      </c>
      <c r="BL27" t="s">
        <v>74</v>
      </c>
      <c r="BM27" t="s">
        <v>74</v>
      </c>
      <c r="BN27" t="s">
        <v>74</v>
      </c>
      <c r="BO27" t="s">
        <v>74</v>
      </c>
      <c r="BP27" t="s">
        <v>74</v>
      </c>
      <c r="BQ27" t="s">
        <v>74</v>
      </c>
      <c r="BR27" t="s">
        <v>74</v>
      </c>
      <c r="BS27" t="s">
        <v>378</v>
      </c>
      <c r="BT27" t="str">
        <f>HYPERLINK("https%3A%2F%2Fwww.webofscience.com%2Fwos%2Fwoscc%2Ffull-record%2FWOS:000975272900003","View Full Record in Web of Science")</f>
        <v>View Full Record in Web of Science</v>
      </c>
    </row>
    <row r="28" spans="1:72" x14ac:dyDescent="0.25">
      <c r="A28" t="s">
        <v>84</v>
      </c>
      <c r="B28" t="s">
        <v>379</v>
      </c>
      <c r="C28" t="s">
        <v>74</v>
      </c>
      <c r="D28" t="s">
        <v>74</v>
      </c>
      <c r="E28" t="s">
        <v>74</v>
      </c>
      <c r="F28" t="s">
        <v>380</v>
      </c>
      <c r="G28" t="s">
        <v>74</v>
      </c>
      <c r="H28" t="s">
        <v>74</v>
      </c>
      <c r="I28" t="s">
        <v>381</v>
      </c>
      <c r="J28" t="s">
        <v>382</v>
      </c>
      <c r="K28" t="s">
        <v>74</v>
      </c>
      <c r="L28" t="s">
        <v>74</v>
      </c>
      <c r="M28" t="s">
        <v>74</v>
      </c>
      <c r="N28" t="s">
        <v>74</v>
      </c>
      <c r="O28" t="s">
        <v>383</v>
      </c>
      <c r="P28" t="s">
        <v>384</v>
      </c>
      <c r="Q28" t="s">
        <v>385</v>
      </c>
      <c r="R28" t="s">
        <v>386</v>
      </c>
      <c r="S28" t="s">
        <v>74</v>
      </c>
      <c r="T28" t="s">
        <v>74</v>
      </c>
      <c r="U28" t="s">
        <v>74</v>
      </c>
      <c r="V28" t="s">
        <v>387</v>
      </c>
      <c r="W28" t="s">
        <v>74</v>
      </c>
      <c r="X28" t="s">
        <v>74</v>
      </c>
      <c r="Y28" t="s">
        <v>74</v>
      </c>
      <c r="Z28" t="s">
        <v>74</v>
      </c>
      <c r="AA28" t="s">
        <v>74</v>
      </c>
      <c r="AB28" t="s">
        <v>74</v>
      </c>
      <c r="AC28" t="s">
        <v>74</v>
      </c>
      <c r="AD28" t="s">
        <v>74</v>
      </c>
      <c r="AE28" t="s">
        <v>74</v>
      </c>
      <c r="AF28" t="s">
        <v>74</v>
      </c>
      <c r="AG28" t="s">
        <v>74</v>
      </c>
      <c r="AH28" t="s">
        <v>74</v>
      </c>
      <c r="AI28" t="s">
        <v>74</v>
      </c>
      <c r="AJ28" t="s">
        <v>74</v>
      </c>
      <c r="AK28" t="s">
        <v>74</v>
      </c>
      <c r="AL28" t="s">
        <v>74</v>
      </c>
      <c r="AM28" t="s">
        <v>74</v>
      </c>
      <c r="AN28" t="s">
        <v>74</v>
      </c>
      <c r="AO28" t="s">
        <v>388</v>
      </c>
      <c r="AP28" t="s">
        <v>74</v>
      </c>
      <c r="AQ28" t="s">
        <v>74</v>
      </c>
      <c r="AR28" t="s">
        <v>74</v>
      </c>
      <c r="AS28" t="s">
        <v>74</v>
      </c>
      <c r="AT28" t="s">
        <v>389</v>
      </c>
      <c r="AU28">
        <v>2022</v>
      </c>
      <c r="AV28">
        <v>7</v>
      </c>
      <c r="AW28" t="s">
        <v>74</v>
      </c>
      <c r="AX28" t="s">
        <v>74</v>
      </c>
      <c r="AY28" t="s">
        <v>74</v>
      </c>
      <c r="AZ28">
        <v>10</v>
      </c>
      <c r="BA28" t="s">
        <v>74</v>
      </c>
      <c r="BB28">
        <v>269</v>
      </c>
      <c r="BC28">
        <v>273</v>
      </c>
      <c r="BD28" t="s">
        <v>74</v>
      </c>
      <c r="BE28" t="s">
        <v>390</v>
      </c>
      <c r="BF28" t="str">
        <f>HYPERLINK("http://dx.doi.org/10.21834/ebpj.v7iSI10.4132","http://dx.doi.org/10.21834/ebpj.v7iSI10.4132")</f>
        <v>http://dx.doi.org/10.21834/ebpj.v7iSI10.4132</v>
      </c>
      <c r="BG28" t="s">
        <v>74</v>
      </c>
      <c r="BH28" t="s">
        <v>74</v>
      </c>
      <c r="BI28" t="s">
        <v>74</v>
      </c>
      <c r="BJ28" t="s">
        <v>74</v>
      </c>
      <c r="BK28" t="s">
        <v>74</v>
      </c>
      <c r="BL28" t="s">
        <v>74</v>
      </c>
      <c r="BM28" t="s">
        <v>74</v>
      </c>
      <c r="BN28" t="s">
        <v>74</v>
      </c>
      <c r="BO28" t="s">
        <v>74</v>
      </c>
      <c r="BP28" t="s">
        <v>74</v>
      </c>
      <c r="BQ28" t="s">
        <v>74</v>
      </c>
      <c r="BR28" t="s">
        <v>74</v>
      </c>
      <c r="BS28" t="s">
        <v>391</v>
      </c>
      <c r="BT28" t="str">
        <f>HYPERLINK("https%3A%2F%2Fwww.webofscience.com%2Fwos%2Fwoscc%2Ffull-record%2FWOS:000925923300013","View Full Record in Web of Science")</f>
        <v>View Full Record in Web of Science</v>
      </c>
    </row>
    <row r="29" spans="1:72" x14ac:dyDescent="0.25">
      <c r="A29" t="s">
        <v>72</v>
      </c>
      <c r="B29" t="s">
        <v>392</v>
      </c>
      <c r="C29" t="s">
        <v>74</v>
      </c>
      <c r="D29" t="s">
        <v>74</v>
      </c>
      <c r="E29" t="s">
        <v>74</v>
      </c>
      <c r="F29" t="s">
        <v>393</v>
      </c>
      <c r="G29" t="s">
        <v>74</v>
      </c>
      <c r="H29" t="s">
        <v>74</v>
      </c>
      <c r="I29" t="s">
        <v>394</v>
      </c>
      <c r="J29" t="s">
        <v>395</v>
      </c>
      <c r="K29" t="s">
        <v>74</v>
      </c>
      <c r="L29" t="s">
        <v>74</v>
      </c>
      <c r="M29" t="s">
        <v>74</v>
      </c>
      <c r="N29" t="s">
        <v>74</v>
      </c>
      <c r="O29" t="s">
        <v>74</v>
      </c>
      <c r="P29" t="s">
        <v>74</v>
      </c>
      <c r="Q29" t="s">
        <v>74</v>
      </c>
      <c r="R29" t="s">
        <v>74</v>
      </c>
      <c r="S29" t="s">
        <v>74</v>
      </c>
      <c r="T29" t="s">
        <v>74</v>
      </c>
      <c r="U29" t="s">
        <v>74</v>
      </c>
      <c r="V29" t="s">
        <v>396</v>
      </c>
      <c r="W29" t="s">
        <v>74</v>
      </c>
      <c r="X29" t="s">
        <v>74</v>
      </c>
      <c r="Y29" t="s">
        <v>74</v>
      </c>
      <c r="Z29" t="s">
        <v>74</v>
      </c>
      <c r="AA29" t="s">
        <v>74</v>
      </c>
      <c r="AB29" t="s">
        <v>397</v>
      </c>
      <c r="AC29" t="s">
        <v>74</v>
      </c>
      <c r="AD29" t="s">
        <v>74</v>
      </c>
      <c r="AE29" t="s">
        <v>74</v>
      </c>
      <c r="AF29" t="s">
        <v>74</v>
      </c>
      <c r="AG29" t="s">
        <v>74</v>
      </c>
      <c r="AH29" t="s">
        <v>74</v>
      </c>
      <c r="AI29" t="s">
        <v>74</v>
      </c>
      <c r="AJ29" t="s">
        <v>74</v>
      </c>
      <c r="AK29" t="s">
        <v>74</v>
      </c>
      <c r="AL29" t="s">
        <v>74</v>
      </c>
      <c r="AM29" t="s">
        <v>74</v>
      </c>
      <c r="AN29" t="s">
        <v>74</v>
      </c>
      <c r="AO29" t="s">
        <v>398</v>
      </c>
      <c r="AP29" t="s">
        <v>399</v>
      </c>
      <c r="AQ29" t="s">
        <v>74</v>
      </c>
      <c r="AR29" t="s">
        <v>74</v>
      </c>
      <c r="AS29" t="s">
        <v>74</v>
      </c>
      <c r="AT29" t="s">
        <v>74</v>
      </c>
      <c r="AU29" t="s">
        <v>74</v>
      </c>
      <c r="AV29" t="s">
        <v>74</v>
      </c>
      <c r="AW29" t="s">
        <v>74</v>
      </c>
      <c r="AX29" t="s">
        <v>74</v>
      </c>
      <c r="AY29" t="s">
        <v>74</v>
      </c>
      <c r="AZ29" t="s">
        <v>74</v>
      </c>
      <c r="BA29" t="s">
        <v>74</v>
      </c>
      <c r="BB29" t="s">
        <v>74</v>
      </c>
      <c r="BC29" t="s">
        <v>74</v>
      </c>
      <c r="BD29" t="s">
        <v>74</v>
      </c>
      <c r="BE29" t="s">
        <v>400</v>
      </c>
      <c r="BF29" t="str">
        <f>HYPERLINK("http://dx.doi.org/10.1177/02683962231159927","http://dx.doi.org/10.1177/02683962231159927")</f>
        <v>http://dx.doi.org/10.1177/02683962231159927</v>
      </c>
      <c r="BG29" t="s">
        <v>74</v>
      </c>
      <c r="BH29" t="s">
        <v>401</v>
      </c>
      <c r="BI29" t="s">
        <v>74</v>
      </c>
      <c r="BJ29" t="s">
        <v>74</v>
      </c>
      <c r="BK29" t="s">
        <v>74</v>
      </c>
      <c r="BL29" t="s">
        <v>74</v>
      </c>
      <c r="BM29" t="s">
        <v>74</v>
      </c>
      <c r="BN29" t="s">
        <v>74</v>
      </c>
      <c r="BO29" t="s">
        <v>74</v>
      </c>
      <c r="BP29" t="s">
        <v>74</v>
      </c>
      <c r="BQ29" t="s">
        <v>74</v>
      </c>
      <c r="BR29" t="s">
        <v>74</v>
      </c>
      <c r="BS29" t="s">
        <v>402</v>
      </c>
      <c r="BT29" t="str">
        <f>HYPERLINK("https%3A%2F%2Fwww.webofscience.com%2Fwos%2Fwoscc%2Ffull-record%2FWOS:000945833900001","View Full Record in Web of Science")</f>
        <v>View Full Record in Web of Science</v>
      </c>
    </row>
    <row r="30" spans="1:72" x14ac:dyDescent="0.25">
      <c r="A30" t="s">
        <v>84</v>
      </c>
      <c r="B30" t="s">
        <v>403</v>
      </c>
      <c r="C30" t="s">
        <v>74</v>
      </c>
      <c r="D30" t="s">
        <v>74</v>
      </c>
      <c r="E30" t="s">
        <v>86</v>
      </c>
      <c r="F30" t="s">
        <v>404</v>
      </c>
      <c r="G30" t="s">
        <v>74</v>
      </c>
      <c r="H30" t="s">
        <v>74</v>
      </c>
      <c r="I30" t="s">
        <v>405</v>
      </c>
      <c r="J30" t="s">
        <v>406</v>
      </c>
      <c r="K30" t="s">
        <v>407</v>
      </c>
      <c r="L30" t="s">
        <v>74</v>
      </c>
      <c r="M30" t="s">
        <v>74</v>
      </c>
      <c r="N30" t="s">
        <v>74</v>
      </c>
      <c r="O30" t="s">
        <v>408</v>
      </c>
      <c r="P30" t="s">
        <v>409</v>
      </c>
      <c r="Q30" t="s">
        <v>410</v>
      </c>
      <c r="R30" t="s">
        <v>411</v>
      </c>
      <c r="S30" t="s">
        <v>74</v>
      </c>
      <c r="T30" t="s">
        <v>74</v>
      </c>
      <c r="U30" t="s">
        <v>74</v>
      </c>
      <c r="V30" t="s">
        <v>412</v>
      </c>
      <c r="W30" t="s">
        <v>74</v>
      </c>
      <c r="X30" t="s">
        <v>74</v>
      </c>
      <c r="Y30" t="s">
        <v>74</v>
      </c>
      <c r="Z30" t="s">
        <v>74</v>
      </c>
      <c r="AA30" t="s">
        <v>413</v>
      </c>
      <c r="AB30" t="s">
        <v>414</v>
      </c>
      <c r="AC30" t="s">
        <v>74</v>
      </c>
      <c r="AD30" t="s">
        <v>74</v>
      </c>
      <c r="AE30" t="s">
        <v>74</v>
      </c>
      <c r="AF30" t="s">
        <v>74</v>
      </c>
      <c r="AG30" t="s">
        <v>74</v>
      </c>
      <c r="AH30" t="s">
        <v>74</v>
      </c>
      <c r="AI30" t="s">
        <v>74</v>
      </c>
      <c r="AJ30" t="s">
        <v>74</v>
      </c>
      <c r="AK30" t="s">
        <v>74</v>
      </c>
      <c r="AL30" t="s">
        <v>74</v>
      </c>
      <c r="AM30" t="s">
        <v>74</v>
      </c>
      <c r="AN30" t="s">
        <v>74</v>
      </c>
      <c r="AO30" t="s">
        <v>74</v>
      </c>
      <c r="AP30" t="s">
        <v>74</v>
      </c>
      <c r="AQ30" t="s">
        <v>415</v>
      </c>
      <c r="AR30" t="s">
        <v>74</v>
      </c>
      <c r="AS30" t="s">
        <v>74</v>
      </c>
      <c r="AT30" t="s">
        <v>74</v>
      </c>
      <c r="AU30">
        <v>2022</v>
      </c>
      <c r="AV30" t="s">
        <v>74</v>
      </c>
      <c r="AW30" t="s">
        <v>74</v>
      </c>
      <c r="AX30" t="s">
        <v>74</v>
      </c>
      <c r="AY30" t="s">
        <v>74</v>
      </c>
      <c r="AZ30" t="s">
        <v>74</v>
      </c>
      <c r="BA30" t="s">
        <v>74</v>
      </c>
      <c r="BB30" t="s">
        <v>74</v>
      </c>
      <c r="BC30" t="s">
        <v>74</v>
      </c>
      <c r="BD30" t="s">
        <v>74</v>
      </c>
      <c r="BE30" t="s">
        <v>416</v>
      </c>
      <c r="BF30" t="str">
        <f>HYPERLINK("http://dx.doi.org/10.1109/ICECS202256217.2022.9970782","http://dx.doi.org/10.1109/ICECS202256217.2022.9970782")</f>
        <v>http://dx.doi.org/10.1109/ICECS202256217.2022.9970782</v>
      </c>
      <c r="BG30" t="s">
        <v>74</v>
      </c>
      <c r="BH30" t="s">
        <v>74</v>
      </c>
      <c r="BI30" t="s">
        <v>74</v>
      </c>
      <c r="BJ30" t="s">
        <v>74</v>
      </c>
      <c r="BK30" t="s">
        <v>74</v>
      </c>
      <c r="BL30" t="s">
        <v>74</v>
      </c>
      <c r="BM30" t="s">
        <v>74</v>
      </c>
      <c r="BN30" t="s">
        <v>74</v>
      </c>
      <c r="BO30" t="s">
        <v>74</v>
      </c>
      <c r="BP30" t="s">
        <v>74</v>
      </c>
      <c r="BQ30" t="s">
        <v>74</v>
      </c>
      <c r="BR30" t="s">
        <v>74</v>
      </c>
      <c r="BS30" t="s">
        <v>417</v>
      </c>
      <c r="BT30" t="str">
        <f>HYPERLINK("https%3A%2F%2Fwww.webofscience.com%2Fwos%2Fwoscc%2Ffull-record%2FWOS:000913346300006","View Full Record in Web of Science")</f>
        <v>View Full Record in Web of Science</v>
      </c>
    </row>
    <row r="31" spans="1:72" x14ac:dyDescent="0.25">
      <c r="A31" t="s">
        <v>72</v>
      </c>
      <c r="B31" t="s">
        <v>418</v>
      </c>
      <c r="C31" t="s">
        <v>74</v>
      </c>
      <c r="D31" t="s">
        <v>74</v>
      </c>
      <c r="E31" t="s">
        <v>74</v>
      </c>
      <c r="F31" t="s">
        <v>419</v>
      </c>
      <c r="G31" t="s">
        <v>74</v>
      </c>
      <c r="H31" t="s">
        <v>74</v>
      </c>
      <c r="I31" t="s">
        <v>420</v>
      </c>
      <c r="J31" t="s">
        <v>421</v>
      </c>
      <c r="K31" t="s">
        <v>74</v>
      </c>
      <c r="L31" t="s">
        <v>74</v>
      </c>
      <c r="M31" t="s">
        <v>74</v>
      </c>
      <c r="N31" t="s">
        <v>74</v>
      </c>
      <c r="O31" t="s">
        <v>74</v>
      </c>
      <c r="P31" t="s">
        <v>74</v>
      </c>
      <c r="Q31" t="s">
        <v>74</v>
      </c>
      <c r="R31" t="s">
        <v>74</v>
      </c>
      <c r="S31" t="s">
        <v>74</v>
      </c>
      <c r="T31" t="s">
        <v>74</v>
      </c>
      <c r="U31" t="s">
        <v>74</v>
      </c>
      <c r="V31" t="s">
        <v>422</v>
      </c>
      <c r="W31" t="s">
        <v>74</v>
      </c>
      <c r="X31" t="s">
        <v>74</v>
      </c>
      <c r="Y31" t="s">
        <v>74</v>
      </c>
      <c r="Z31" t="s">
        <v>74</v>
      </c>
      <c r="AA31" t="s">
        <v>74</v>
      </c>
      <c r="AB31" t="s">
        <v>74</v>
      </c>
      <c r="AC31" t="s">
        <v>74</v>
      </c>
      <c r="AD31" t="s">
        <v>74</v>
      </c>
      <c r="AE31" t="s">
        <v>74</v>
      </c>
      <c r="AF31" t="s">
        <v>74</v>
      </c>
      <c r="AG31" t="s">
        <v>74</v>
      </c>
      <c r="AH31" t="s">
        <v>74</v>
      </c>
      <c r="AI31" t="s">
        <v>74</v>
      </c>
      <c r="AJ31" t="s">
        <v>74</v>
      </c>
      <c r="AK31" t="s">
        <v>74</v>
      </c>
      <c r="AL31" t="s">
        <v>74</v>
      </c>
      <c r="AM31" t="s">
        <v>74</v>
      </c>
      <c r="AN31" t="s">
        <v>74</v>
      </c>
      <c r="AO31" t="s">
        <v>423</v>
      </c>
      <c r="AP31" t="s">
        <v>424</v>
      </c>
      <c r="AQ31" t="s">
        <v>74</v>
      </c>
      <c r="AR31" t="s">
        <v>74</v>
      </c>
      <c r="AS31" t="s">
        <v>74</v>
      </c>
      <c r="AT31" t="s">
        <v>74</v>
      </c>
      <c r="AU31" t="s">
        <v>74</v>
      </c>
      <c r="AV31" t="s">
        <v>74</v>
      </c>
      <c r="AW31" t="s">
        <v>74</v>
      </c>
      <c r="AX31" t="s">
        <v>74</v>
      </c>
      <c r="AY31" t="s">
        <v>74</v>
      </c>
      <c r="AZ31" t="s">
        <v>74</v>
      </c>
      <c r="BA31" t="s">
        <v>74</v>
      </c>
      <c r="BB31" t="s">
        <v>74</v>
      </c>
      <c r="BC31" t="s">
        <v>74</v>
      </c>
      <c r="BD31" t="s">
        <v>74</v>
      </c>
      <c r="BE31" t="s">
        <v>425</v>
      </c>
      <c r="BF31" t="str">
        <f>HYPERLINK("http://dx.doi.org/10.1109/TSMC.2022.3228849","http://dx.doi.org/10.1109/TSMC.2022.3228849")</f>
        <v>http://dx.doi.org/10.1109/TSMC.2022.3228849</v>
      </c>
      <c r="BG31" t="s">
        <v>74</v>
      </c>
      <c r="BH31" t="s">
        <v>426</v>
      </c>
      <c r="BI31" t="s">
        <v>74</v>
      </c>
      <c r="BJ31" t="s">
        <v>74</v>
      </c>
      <c r="BK31" t="s">
        <v>74</v>
      </c>
      <c r="BL31" t="s">
        <v>74</v>
      </c>
      <c r="BM31" t="s">
        <v>74</v>
      </c>
      <c r="BN31" t="s">
        <v>74</v>
      </c>
      <c r="BO31" t="s">
        <v>74</v>
      </c>
      <c r="BP31" t="s">
        <v>74</v>
      </c>
      <c r="BQ31" t="s">
        <v>74</v>
      </c>
      <c r="BR31" t="s">
        <v>74</v>
      </c>
      <c r="BS31" t="s">
        <v>427</v>
      </c>
      <c r="BT31" t="str">
        <f>HYPERLINK("https%3A%2F%2Fwww.webofscience.com%2Fwos%2Fwoscc%2Ffull-record%2FWOS:000903549100001","View Full Record in Web of Science")</f>
        <v>View Full Record in Web of Science</v>
      </c>
    </row>
    <row r="32" spans="1:72" x14ac:dyDescent="0.25">
      <c r="A32" t="s">
        <v>72</v>
      </c>
      <c r="B32" t="s">
        <v>428</v>
      </c>
      <c r="C32" t="s">
        <v>74</v>
      </c>
      <c r="D32" t="s">
        <v>74</v>
      </c>
      <c r="E32" t="s">
        <v>74</v>
      </c>
      <c r="F32" t="s">
        <v>429</v>
      </c>
      <c r="G32" t="s">
        <v>74</v>
      </c>
      <c r="H32" t="s">
        <v>74</v>
      </c>
      <c r="I32" t="s">
        <v>430</v>
      </c>
      <c r="J32" t="s">
        <v>431</v>
      </c>
      <c r="K32" t="s">
        <v>74</v>
      </c>
      <c r="L32" t="s">
        <v>74</v>
      </c>
      <c r="M32" t="s">
        <v>74</v>
      </c>
      <c r="N32" t="s">
        <v>74</v>
      </c>
      <c r="O32" t="s">
        <v>74</v>
      </c>
      <c r="P32" t="s">
        <v>74</v>
      </c>
      <c r="Q32" t="s">
        <v>74</v>
      </c>
      <c r="R32" t="s">
        <v>74</v>
      </c>
      <c r="S32" t="s">
        <v>74</v>
      </c>
      <c r="T32" t="s">
        <v>74</v>
      </c>
      <c r="U32" t="s">
        <v>74</v>
      </c>
      <c r="V32" t="s">
        <v>432</v>
      </c>
      <c r="W32" t="s">
        <v>74</v>
      </c>
      <c r="X32" t="s">
        <v>74</v>
      </c>
      <c r="Y32" t="s">
        <v>74</v>
      </c>
      <c r="Z32" t="s">
        <v>74</v>
      </c>
      <c r="AA32" t="s">
        <v>74</v>
      </c>
      <c r="AB32" t="s">
        <v>74</v>
      </c>
      <c r="AC32" t="s">
        <v>74</v>
      </c>
      <c r="AD32" t="s">
        <v>74</v>
      </c>
      <c r="AE32" t="s">
        <v>74</v>
      </c>
      <c r="AF32" t="s">
        <v>74</v>
      </c>
      <c r="AG32" t="s">
        <v>74</v>
      </c>
      <c r="AH32" t="s">
        <v>74</v>
      </c>
      <c r="AI32" t="s">
        <v>74</v>
      </c>
      <c r="AJ32" t="s">
        <v>74</v>
      </c>
      <c r="AK32" t="s">
        <v>74</v>
      </c>
      <c r="AL32" t="s">
        <v>74</v>
      </c>
      <c r="AM32" t="s">
        <v>74</v>
      </c>
      <c r="AN32" t="s">
        <v>74</v>
      </c>
      <c r="AO32" t="s">
        <v>433</v>
      </c>
      <c r="AP32" t="s">
        <v>434</v>
      </c>
      <c r="AQ32" t="s">
        <v>74</v>
      </c>
      <c r="AR32" t="s">
        <v>74</v>
      </c>
      <c r="AS32" t="s">
        <v>74</v>
      </c>
      <c r="AT32" t="s">
        <v>435</v>
      </c>
      <c r="AU32">
        <v>2023</v>
      </c>
      <c r="AV32">
        <v>56</v>
      </c>
      <c r="AW32">
        <v>2</v>
      </c>
      <c r="AX32" t="s">
        <v>74</v>
      </c>
      <c r="AY32" t="s">
        <v>74</v>
      </c>
      <c r="AZ32" t="s">
        <v>74</v>
      </c>
      <c r="BA32" t="s">
        <v>74</v>
      </c>
      <c r="BB32">
        <v>137</v>
      </c>
      <c r="BC32">
        <v>142</v>
      </c>
      <c r="BD32" t="s">
        <v>74</v>
      </c>
      <c r="BE32" t="s">
        <v>436</v>
      </c>
      <c r="BF32" t="str">
        <f>HYPERLINK("http://dx.doi.org/10.1109/MC.2022.3227681","http://dx.doi.org/10.1109/MC.2022.3227681")</f>
        <v>http://dx.doi.org/10.1109/MC.2022.3227681</v>
      </c>
      <c r="BG32" t="s">
        <v>74</v>
      </c>
      <c r="BH32" t="s">
        <v>74</v>
      </c>
      <c r="BI32" t="s">
        <v>74</v>
      </c>
      <c r="BJ32" t="s">
        <v>74</v>
      </c>
      <c r="BK32" t="s">
        <v>74</v>
      </c>
      <c r="BL32" t="s">
        <v>74</v>
      </c>
      <c r="BM32" t="s">
        <v>74</v>
      </c>
      <c r="BN32" t="s">
        <v>74</v>
      </c>
      <c r="BO32" t="s">
        <v>74</v>
      </c>
      <c r="BP32" t="s">
        <v>74</v>
      </c>
      <c r="BQ32" t="s">
        <v>74</v>
      </c>
      <c r="BR32" t="s">
        <v>74</v>
      </c>
      <c r="BS32" t="s">
        <v>437</v>
      </c>
      <c r="BT32" t="str">
        <f>HYPERLINK("https%3A%2F%2Fwww.webofscience.com%2Fwos%2Fwoscc%2Ffull-record%2FWOS:000966229100001","View Full Record in Web of Science")</f>
        <v>View Full Record in Web of Science</v>
      </c>
    </row>
    <row r="33" spans="1:72" x14ac:dyDescent="0.25">
      <c r="A33" t="s">
        <v>72</v>
      </c>
      <c r="B33" t="s">
        <v>438</v>
      </c>
      <c r="C33" t="s">
        <v>74</v>
      </c>
      <c r="D33" t="s">
        <v>74</v>
      </c>
      <c r="E33" t="s">
        <v>74</v>
      </c>
      <c r="F33" t="s">
        <v>439</v>
      </c>
      <c r="G33" t="s">
        <v>74</v>
      </c>
      <c r="H33" t="s">
        <v>74</v>
      </c>
      <c r="I33" t="s">
        <v>440</v>
      </c>
      <c r="J33" t="s">
        <v>201</v>
      </c>
      <c r="K33" t="s">
        <v>74</v>
      </c>
      <c r="L33" t="s">
        <v>74</v>
      </c>
      <c r="M33" t="s">
        <v>74</v>
      </c>
      <c r="N33" t="s">
        <v>74</v>
      </c>
      <c r="O33" t="s">
        <v>74</v>
      </c>
      <c r="P33" t="s">
        <v>74</v>
      </c>
      <c r="Q33" t="s">
        <v>74</v>
      </c>
      <c r="R33" t="s">
        <v>74</v>
      </c>
      <c r="S33" t="s">
        <v>74</v>
      </c>
      <c r="T33" t="s">
        <v>74</v>
      </c>
      <c r="U33" t="s">
        <v>74</v>
      </c>
      <c r="V33" t="s">
        <v>441</v>
      </c>
      <c r="W33" t="s">
        <v>74</v>
      </c>
      <c r="X33" t="s">
        <v>74</v>
      </c>
      <c r="Y33" t="s">
        <v>74</v>
      </c>
      <c r="Z33" t="s">
        <v>74</v>
      </c>
      <c r="AA33" t="s">
        <v>442</v>
      </c>
      <c r="AB33" t="s">
        <v>443</v>
      </c>
      <c r="AC33" t="s">
        <v>74</v>
      </c>
      <c r="AD33" t="s">
        <v>74</v>
      </c>
      <c r="AE33" t="s">
        <v>74</v>
      </c>
      <c r="AF33" t="s">
        <v>74</v>
      </c>
      <c r="AG33" t="s">
        <v>74</v>
      </c>
      <c r="AH33" t="s">
        <v>74</v>
      </c>
      <c r="AI33" t="s">
        <v>74</v>
      </c>
      <c r="AJ33" t="s">
        <v>74</v>
      </c>
      <c r="AK33" t="s">
        <v>74</v>
      </c>
      <c r="AL33" t="s">
        <v>74</v>
      </c>
      <c r="AM33" t="s">
        <v>74</v>
      </c>
      <c r="AN33" t="s">
        <v>74</v>
      </c>
      <c r="AO33" t="s">
        <v>205</v>
      </c>
      <c r="AP33" t="s">
        <v>74</v>
      </c>
      <c r="AQ33" t="s">
        <v>74</v>
      </c>
      <c r="AR33" t="s">
        <v>74</v>
      </c>
      <c r="AS33" t="s">
        <v>74</v>
      </c>
      <c r="AT33" t="s">
        <v>74</v>
      </c>
      <c r="AU33">
        <v>2022</v>
      </c>
      <c r="AV33">
        <v>10</v>
      </c>
      <c r="AW33" t="s">
        <v>74</v>
      </c>
      <c r="AX33" t="s">
        <v>74</v>
      </c>
      <c r="AY33" t="s">
        <v>74</v>
      </c>
      <c r="AZ33" t="s">
        <v>74</v>
      </c>
      <c r="BA33" t="s">
        <v>74</v>
      </c>
      <c r="BB33">
        <v>4209</v>
      </c>
      <c r="BC33">
        <v>4251</v>
      </c>
      <c r="BD33" t="s">
        <v>74</v>
      </c>
      <c r="BE33" t="s">
        <v>444</v>
      </c>
      <c r="BF33" t="str">
        <f>HYPERLINK("http://dx.doi.org/10.1109/ACCESS.2021.3140175","http://dx.doi.org/10.1109/ACCESS.2021.3140175")</f>
        <v>http://dx.doi.org/10.1109/ACCESS.2021.3140175</v>
      </c>
      <c r="BG33" t="s">
        <v>74</v>
      </c>
      <c r="BH33" t="s">
        <v>74</v>
      </c>
      <c r="BI33" t="s">
        <v>74</v>
      </c>
      <c r="BJ33" t="s">
        <v>74</v>
      </c>
      <c r="BK33" t="s">
        <v>74</v>
      </c>
      <c r="BL33" t="s">
        <v>74</v>
      </c>
      <c r="BM33" t="s">
        <v>74</v>
      </c>
      <c r="BN33" t="s">
        <v>74</v>
      </c>
      <c r="BO33" t="s">
        <v>74</v>
      </c>
      <c r="BP33" t="s">
        <v>74</v>
      </c>
      <c r="BQ33" t="s">
        <v>74</v>
      </c>
      <c r="BR33" t="s">
        <v>74</v>
      </c>
      <c r="BS33" t="s">
        <v>445</v>
      </c>
      <c r="BT33" t="str">
        <f>HYPERLINK("https%3A%2F%2Fwww.webofscience.com%2Fwos%2Fwoscc%2Ffull-record%2FWOS:000744490400001","View Full Record in Web of Science")</f>
        <v>View Full Record in Web of Science</v>
      </c>
    </row>
    <row r="34" spans="1:72" x14ac:dyDescent="0.25">
      <c r="A34" t="s">
        <v>72</v>
      </c>
      <c r="B34" t="s">
        <v>446</v>
      </c>
      <c r="C34" t="s">
        <v>74</v>
      </c>
      <c r="D34" t="s">
        <v>74</v>
      </c>
      <c r="E34" t="s">
        <v>74</v>
      </c>
      <c r="F34" t="s">
        <v>447</v>
      </c>
      <c r="G34" t="s">
        <v>74</v>
      </c>
      <c r="H34" t="s">
        <v>74</v>
      </c>
      <c r="I34" t="s">
        <v>448</v>
      </c>
      <c r="J34" t="s">
        <v>449</v>
      </c>
      <c r="K34" t="s">
        <v>74</v>
      </c>
      <c r="L34" t="s">
        <v>74</v>
      </c>
      <c r="M34" t="s">
        <v>74</v>
      </c>
      <c r="N34" t="s">
        <v>74</v>
      </c>
      <c r="O34" t="s">
        <v>74</v>
      </c>
      <c r="P34" t="s">
        <v>74</v>
      </c>
      <c r="Q34" t="s">
        <v>74</v>
      </c>
      <c r="R34" t="s">
        <v>74</v>
      </c>
      <c r="S34" t="s">
        <v>74</v>
      </c>
      <c r="T34" t="s">
        <v>74</v>
      </c>
      <c r="U34" t="s">
        <v>74</v>
      </c>
      <c r="V34" t="s">
        <v>450</v>
      </c>
      <c r="W34" t="s">
        <v>74</v>
      </c>
      <c r="X34" t="s">
        <v>74</v>
      </c>
      <c r="Y34" t="s">
        <v>74</v>
      </c>
      <c r="Z34" t="s">
        <v>74</v>
      </c>
      <c r="AA34" t="s">
        <v>451</v>
      </c>
      <c r="AB34" t="s">
        <v>452</v>
      </c>
      <c r="AC34" t="s">
        <v>74</v>
      </c>
      <c r="AD34" t="s">
        <v>74</v>
      </c>
      <c r="AE34" t="s">
        <v>74</v>
      </c>
      <c r="AF34" t="s">
        <v>74</v>
      </c>
      <c r="AG34" t="s">
        <v>74</v>
      </c>
      <c r="AH34" t="s">
        <v>74</v>
      </c>
      <c r="AI34" t="s">
        <v>74</v>
      </c>
      <c r="AJ34" t="s">
        <v>74</v>
      </c>
      <c r="AK34" t="s">
        <v>74</v>
      </c>
      <c r="AL34" t="s">
        <v>74</v>
      </c>
      <c r="AM34" t="s">
        <v>74</v>
      </c>
      <c r="AN34" t="s">
        <v>74</v>
      </c>
      <c r="AO34" t="s">
        <v>74</v>
      </c>
      <c r="AP34" t="s">
        <v>453</v>
      </c>
      <c r="AQ34" t="s">
        <v>74</v>
      </c>
      <c r="AR34" t="s">
        <v>74</v>
      </c>
      <c r="AS34" t="s">
        <v>74</v>
      </c>
      <c r="AT34" t="s">
        <v>454</v>
      </c>
      <c r="AU34">
        <v>2022</v>
      </c>
      <c r="AV34">
        <v>12</v>
      </c>
      <c r="AW34" t="s">
        <v>74</v>
      </c>
      <c r="AX34" t="s">
        <v>74</v>
      </c>
      <c r="AY34" t="s">
        <v>74</v>
      </c>
      <c r="AZ34" t="s">
        <v>74</v>
      </c>
      <c r="BA34" t="s">
        <v>74</v>
      </c>
      <c r="BB34" t="s">
        <v>74</v>
      </c>
      <c r="BC34" t="s">
        <v>74</v>
      </c>
      <c r="BD34">
        <v>60</v>
      </c>
      <c r="BE34" t="s">
        <v>455</v>
      </c>
      <c r="BF34" t="str">
        <f>HYPERLINK("http://dx.doi.org/10.22967/HCIS.2022.12.060","http://dx.doi.org/10.22967/HCIS.2022.12.060")</f>
        <v>http://dx.doi.org/10.22967/HCIS.2022.12.060</v>
      </c>
      <c r="BG34" t="s">
        <v>74</v>
      </c>
      <c r="BH34" t="s">
        <v>74</v>
      </c>
      <c r="BI34" t="s">
        <v>74</v>
      </c>
      <c r="BJ34" t="s">
        <v>74</v>
      </c>
      <c r="BK34" t="s">
        <v>74</v>
      </c>
      <c r="BL34" t="s">
        <v>74</v>
      </c>
      <c r="BM34" t="s">
        <v>74</v>
      </c>
      <c r="BN34" t="s">
        <v>74</v>
      </c>
      <c r="BO34" t="s">
        <v>74</v>
      </c>
      <c r="BP34" t="s">
        <v>74</v>
      </c>
      <c r="BQ34" t="s">
        <v>74</v>
      </c>
      <c r="BR34" t="s">
        <v>74</v>
      </c>
      <c r="BS34" t="s">
        <v>456</v>
      </c>
      <c r="BT34" t="str">
        <f>HYPERLINK("https%3A%2F%2Fwww.webofscience.com%2Fwos%2Fwoscc%2Ffull-record%2FWOS:000922629500001","View Full Record in Web of Science")</f>
        <v>View Full Record in Web of Science</v>
      </c>
    </row>
    <row r="35" spans="1:72" x14ac:dyDescent="0.25">
      <c r="A35" t="s">
        <v>72</v>
      </c>
      <c r="B35" t="s">
        <v>457</v>
      </c>
      <c r="C35" t="s">
        <v>74</v>
      </c>
      <c r="D35" t="s">
        <v>74</v>
      </c>
      <c r="E35" t="s">
        <v>74</v>
      </c>
      <c r="F35" t="s">
        <v>458</v>
      </c>
      <c r="G35" t="s">
        <v>74</v>
      </c>
      <c r="H35" t="s">
        <v>74</v>
      </c>
      <c r="I35" t="s">
        <v>459</v>
      </c>
      <c r="J35" t="s">
        <v>460</v>
      </c>
      <c r="K35" t="s">
        <v>74</v>
      </c>
      <c r="L35" t="s">
        <v>74</v>
      </c>
      <c r="M35" t="s">
        <v>74</v>
      </c>
      <c r="N35" t="s">
        <v>74</v>
      </c>
      <c r="O35" t="s">
        <v>74</v>
      </c>
      <c r="P35" t="s">
        <v>74</v>
      </c>
      <c r="Q35" t="s">
        <v>74</v>
      </c>
      <c r="R35" t="s">
        <v>74</v>
      </c>
      <c r="S35" t="s">
        <v>74</v>
      </c>
      <c r="T35" t="s">
        <v>74</v>
      </c>
      <c r="U35" t="s">
        <v>74</v>
      </c>
      <c r="V35" t="s">
        <v>461</v>
      </c>
      <c r="W35" t="s">
        <v>74</v>
      </c>
      <c r="X35" t="s">
        <v>74</v>
      </c>
      <c r="Y35" t="s">
        <v>74</v>
      </c>
      <c r="Z35" t="s">
        <v>74</v>
      </c>
      <c r="AA35" t="s">
        <v>462</v>
      </c>
      <c r="AB35" t="s">
        <v>463</v>
      </c>
      <c r="AC35" t="s">
        <v>74</v>
      </c>
      <c r="AD35" t="s">
        <v>74</v>
      </c>
      <c r="AE35" t="s">
        <v>74</v>
      </c>
      <c r="AF35" t="s">
        <v>74</v>
      </c>
      <c r="AG35" t="s">
        <v>74</v>
      </c>
      <c r="AH35" t="s">
        <v>74</v>
      </c>
      <c r="AI35" t="s">
        <v>74</v>
      </c>
      <c r="AJ35" t="s">
        <v>74</v>
      </c>
      <c r="AK35" t="s">
        <v>74</v>
      </c>
      <c r="AL35" t="s">
        <v>74</v>
      </c>
      <c r="AM35" t="s">
        <v>74</v>
      </c>
      <c r="AN35" t="s">
        <v>74</v>
      </c>
      <c r="AO35" t="s">
        <v>74</v>
      </c>
      <c r="AP35" t="s">
        <v>464</v>
      </c>
      <c r="AQ35" t="s">
        <v>74</v>
      </c>
      <c r="AR35" t="s">
        <v>74</v>
      </c>
      <c r="AS35" t="s">
        <v>74</v>
      </c>
      <c r="AT35" t="s">
        <v>465</v>
      </c>
      <c r="AU35">
        <v>2022</v>
      </c>
      <c r="AV35">
        <v>14</v>
      </c>
      <c r="AW35">
        <v>23</v>
      </c>
      <c r="AX35" t="s">
        <v>74</v>
      </c>
      <c r="AY35" t="s">
        <v>74</v>
      </c>
      <c r="AZ35" t="s">
        <v>74</v>
      </c>
      <c r="BA35" t="s">
        <v>74</v>
      </c>
      <c r="BB35" t="s">
        <v>74</v>
      </c>
      <c r="BC35" t="s">
        <v>74</v>
      </c>
      <c r="BD35">
        <v>15805</v>
      </c>
      <c r="BE35" t="s">
        <v>466</v>
      </c>
      <c r="BF35" t="str">
        <f>HYPERLINK("http://dx.doi.org/10.3390/su142315805","http://dx.doi.org/10.3390/su142315805")</f>
        <v>http://dx.doi.org/10.3390/su142315805</v>
      </c>
      <c r="BG35" t="s">
        <v>74</v>
      </c>
      <c r="BH35" t="s">
        <v>74</v>
      </c>
      <c r="BI35" t="s">
        <v>74</v>
      </c>
      <c r="BJ35" t="s">
        <v>74</v>
      </c>
      <c r="BK35" t="s">
        <v>74</v>
      </c>
      <c r="BL35" t="s">
        <v>74</v>
      </c>
      <c r="BM35" t="s">
        <v>74</v>
      </c>
      <c r="BN35" t="s">
        <v>74</v>
      </c>
      <c r="BO35" t="s">
        <v>74</v>
      </c>
      <c r="BP35" t="s">
        <v>74</v>
      </c>
      <c r="BQ35" t="s">
        <v>74</v>
      </c>
      <c r="BR35" t="s">
        <v>74</v>
      </c>
      <c r="BS35" t="s">
        <v>467</v>
      </c>
      <c r="BT35" t="str">
        <f>HYPERLINK("https%3A%2F%2Fwww.webofscience.com%2Fwos%2Fwoscc%2Ffull-record%2FWOS:000896054600001","View Full Record in Web of Science")</f>
        <v>View Full Record in Web of Science</v>
      </c>
    </row>
    <row r="36" spans="1:72" x14ac:dyDescent="0.25">
      <c r="A36" t="s">
        <v>84</v>
      </c>
      <c r="B36" t="s">
        <v>468</v>
      </c>
      <c r="C36" t="s">
        <v>74</v>
      </c>
      <c r="D36" t="s">
        <v>74</v>
      </c>
      <c r="E36" t="s">
        <v>86</v>
      </c>
      <c r="F36" t="s">
        <v>469</v>
      </c>
      <c r="G36" t="s">
        <v>74</v>
      </c>
      <c r="H36" t="s">
        <v>74</v>
      </c>
      <c r="I36" t="s">
        <v>470</v>
      </c>
      <c r="J36" t="s">
        <v>471</v>
      </c>
      <c r="K36" t="s">
        <v>472</v>
      </c>
      <c r="L36" t="s">
        <v>74</v>
      </c>
      <c r="M36" t="s">
        <v>74</v>
      </c>
      <c r="N36" t="s">
        <v>74</v>
      </c>
      <c r="O36" t="s">
        <v>473</v>
      </c>
      <c r="P36" t="s">
        <v>474</v>
      </c>
      <c r="Q36" t="s">
        <v>475</v>
      </c>
      <c r="R36" t="s">
        <v>476</v>
      </c>
      <c r="S36" t="s">
        <v>74</v>
      </c>
      <c r="T36" t="s">
        <v>74</v>
      </c>
      <c r="U36" t="s">
        <v>74</v>
      </c>
      <c r="V36" t="s">
        <v>477</v>
      </c>
      <c r="W36" t="s">
        <v>74</v>
      </c>
      <c r="X36" t="s">
        <v>74</v>
      </c>
      <c r="Y36" t="s">
        <v>74</v>
      </c>
      <c r="Z36" t="s">
        <v>74</v>
      </c>
      <c r="AA36" t="s">
        <v>478</v>
      </c>
      <c r="AB36" t="s">
        <v>479</v>
      </c>
      <c r="AC36" t="s">
        <v>74</v>
      </c>
      <c r="AD36" t="s">
        <v>74</v>
      </c>
      <c r="AE36" t="s">
        <v>74</v>
      </c>
      <c r="AF36" t="s">
        <v>74</v>
      </c>
      <c r="AG36" t="s">
        <v>74</v>
      </c>
      <c r="AH36" t="s">
        <v>74</v>
      </c>
      <c r="AI36" t="s">
        <v>74</v>
      </c>
      <c r="AJ36" t="s">
        <v>74</v>
      </c>
      <c r="AK36" t="s">
        <v>74</v>
      </c>
      <c r="AL36" t="s">
        <v>74</v>
      </c>
      <c r="AM36" t="s">
        <v>74</v>
      </c>
      <c r="AN36" t="s">
        <v>74</v>
      </c>
      <c r="AO36" t="s">
        <v>480</v>
      </c>
      <c r="AP36" t="s">
        <v>74</v>
      </c>
      <c r="AQ36" t="s">
        <v>481</v>
      </c>
      <c r="AR36" t="s">
        <v>74</v>
      </c>
      <c r="AS36" t="s">
        <v>74</v>
      </c>
      <c r="AT36" t="s">
        <v>74</v>
      </c>
      <c r="AU36">
        <v>2022</v>
      </c>
      <c r="AV36" t="s">
        <v>74</v>
      </c>
      <c r="AW36" t="s">
        <v>74</v>
      </c>
      <c r="AX36" t="s">
        <v>74</v>
      </c>
      <c r="AY36" t="s">
        <v>74</v>
      </c>
      <c r="AZ36" t="s">
        <v>74</v>
      </c>
      <c r="BA36" t="s">
        <v>74</v>
      </c>
      <c r="BB36" t="s">
        <v>74</v>
      </c>
      <c r="BC36" t="s">
        <v>74</v>
      </c>
      <c r="BD36" t="s">
        <v>74</v>
      </c>
      <c r="BE36" t="s">
        <v>482</v>
      </c>
      <c r="BF36" t="str">
        <f>HYPERLINK("http://dx.doi.org/10.1109/ENC56672.2022.9882956","http://dx.doi.org/10.1109/ENC56672.2022.9882956")</f>
        <v>http://dx.doi.org/10.1109/ENC56672.2022.9882956</v>
      </c>
      <c r="BG36" t="s">
        <v>74</v>
      </c>
      <c r="BH36" t="s">
        <v>74</v>
      </c>
      <c r="BI36" t="s">
        <v>74</v>
      </c>
      <c r="BJ36" t="s">
        <v>74</v>
      </c>
      <c r="BK36" t="s">
        <v>74</v>
      </c>
      <c r="BL36" t="s">
        <v>74</v>
      </c>
      <c r="BM36" t="s">
        <v>74</v>
      </c>
      <c r="BN36" t="s">
        <v>74</v>
      </c>
      <c r="BO36" t="s">
        <v>74</v>
      </c>
      <c r="BP36" t="s">
        <v>74</v>
      </c>
      <c r="BQ36" t="s">
        <v>74</v>
      </c>
      <c r="BR36" t="s">
        <v>74</v>
      </c>
      <c r="BS36" t="s">
        <v>483</v>
      </c>
      <c r="BT36" t="str">
        <f>HYPERLINK("https%3A%2F%2Fwww.webofscience.com%2Fwos%2Fwoscc%2Ffull-record%2FWOS:000861700300046","View Full Record in Web of Science")</f>
        <v>View Full Record in Web of Science</v>
      </c>
    </row>
    <row r="37" spans="1:72" x14ac:dyDescent="0.25">
      <c r="A37" t="s">
        <v>72</v>
      </c>
      <c r="B37" t="s">
        <v>484</v>
      </c>
      <c r="C37" t="s">
        <v>74</v>
      </c>
      <c r="D37" t="s">
        <v>74</v>
      </c>
      <c r="E37" t="s">
        <v>74</v>
      </c>
      <c r="F37" t="s">
        <v>485</v>
      </c>
      <c r="G37" t="s">
        <v>74</v>
      </c>
      <c r="H37" t="s">
        <v>74</v>
      </c>
      <c r="I37" t="s">
        <v>486</v>
      </c>
      <c r="J37" t="s">
        <v>487</v>
      </c>
      <c r="K37" t="s">
        <v>74</v>
      </c>
      <c r="L37" t="s">
        <v>74</v>
      </c>
      <c r="M37" t="s">
        <v>74</v>
      </c>
      <c r="N37" t="s">
        <v>74</v>
      </c>
      <c r="O37" t="s">
        <v>74</v>
      </c>
      <c r="P37" t="s">
        <v>74</v>
      </c>
      <c r="Q37" t="s">
        <v>74</v>
      </c>
      <c r="R37" t="s">
        <v>74</v>
      </c>
      <c r="S37" t="s">
        <v>74</v>
      </c>
      <c r="T37" t="s">
        <v>74</v>
      </c>
      <c r="U37" t="s">
        <v>74</v>
      </c>
      <c r="V37" t="s">
        <v>488</v>
      </c>
      <c r="W37" t="s">
        <v>74</v>
      </c>
      <c r="X37" t="s">
        <v>74</v>
      </c>
      <c r="Y37" t="s">
        <v>74</v>
      </c>
      <c r="Z37" t="s">
        <v>74</v>
      </c>
      <c r="AA37" t="s">
        <v>74</v>
      </c>
      <c r="AB37" t="s">
        <v>74</v>
      </c>
      <c r="AC37" t="s">
        <v>74</v>
      </c>
      <c r="AD37" t="s">
        <v>74</v>
      </c>
      <c r="AE37" t="s">
        <v>74</v>
      </c>
      <c r="AF37" t="s">
        <v>74</v>
      </c>
      <c r="AG37" t="s">
        <v>74</v>
      </c>
      <c r="AH37" t="s">
        <v>74</v>
      </c>
      <c r="AI37" t="s">
        <v>74</v>
      </c>
      <c r="AJ37" t="s">
        <v>74</v>
      </c>
      <c r="AK37" t="s">
        <v>74</v>
      </c>
      <c r="AL37" t="s">
        <v>74</v>
      </c>
      <c r="AM37" t="s">
        <v>74</v>
      </c>
      <c r="AN37" t="s">
        <v>74</v>
      </c>
      <c r="AO37" t="s">
        <v>489</v>
      </c>
      <c r="AP37" t="s">
        <v>490</v>
      </c>
      <c r="AQ37" t="s">
        <v>74</v>
      </c>
      <c r="AR37" t="s">
        <v>74</v>
      </c>
      <c r="AS37" t="s">
        <v>74</v>
      </c>
      <c r="AT37" t="s">
        <v>74</v>
      </c>
      <c r="AU37">
        <v>2022</v>
      </c>
      <c r="AV37">
        <v>21</v>
      </c>
      <c r="AW37">
        <v>8</v>
      </c>
      <c r="AX37" t="s">
        <v>74</v>
      </c>
      <c r="AY37" t="s">
        <v>74</v>
      </c>
      <c r="AZ37" t="s">
        <v>74</v>
      </c>
      <c r="BA37" t="s">
        <v>74</v>
      </c>
      <c r="BB37">
        <v>2231</v>
      </c>
      <c r="BC37">
        <v>2256</v>
      </c>
      <c r="BD37" t="s">
        <v>74</v>
      </c>
      <c r="BE37" t="s">
        <v>491</v>
      </c>
      <c r="BF37" t="str">
        <f>HYPERLINK("http://dx.doi.org/10.13052/jwe1540-9589.2181","http://dx.doi.org/10.13052/jwe1540-9589.2181")</f>
        <v>http://dx.doi.org/10.13052/jwe1540-9589.2181</v>
      </c>
      <c r="BG37" t="s">
        <v>74</v>
      </c>
      <c r="BH37" t="s">
        <v>74</v>
      </c>
      <c r="BI37" t="s">
        <v>74</v>
      </c>
      <c r="BJ37" t="s">
        <v>74</v>
      </c>
      <c r="BK37" t="s">
        <v>74</v>
      </c>
      <c r="BL37" t="s">
        <v>74</v>
      </c>
      <c r="BM37" t="s">
        <v>74</v>
      </c>
      <c r="BN37" t="s">
        <v>74</v>
      </c>
      <c r="BO37" t="s">
        <v>74</v>
      </c>
      <c r="BP37" t="s">
        <v>74</v>
      </c>
      <c r="BQ37" t="s">
        <v>74</v>
      </c>
      <c r="BR37" t="s">
        <v>74</v>
      </c>
      <c r="BS37" t="s">
        <v>492</v>
      </c>
      <c r="BT37" t="str">
        <f>HYPERLINK("https%3A%2F%2Fwww.webofscience.com%2Fwos%2Fwoscc%2Ffull-record%2FWOS:000959775000001","View Full Record in Web of Science")</f>
        <v>View Full Record in Web of Science</v>
      </c>
    </row>
    <row r="38" spans="1:72" x14ac:dyDescent="0.25">
      <c r="A38" t="s">
        <v>72</v>
      </c>
      <c r="B38" t="s">
        <v>493</v>
      </c>
      <c r="C38" t="s">
        <v>74</v>
      </c>
      <c r="D38" t="s">
        <v>74</v>
      </c>
      <c r="E38" t="s">
        <v>74</v>
      </c>
      <c r="F38" t="s">
        <v>494</v>
      </c>
      <c r="G38" t="s">
        <v>74</v>
      </c>
      <c r="H38" t="s">
        <v>74</v>
      </c>
      <c r="I38" t="s">
        <v>495</v>
      </c>
      <c r="J38" t="s">
        <v>201</v>
      </c>
      <c r="K38" t="s">
        <v>74</v>
      </c>
      <c r="L38" t="s">
        <v>74</v>
      </c>
      <c r="M38" t="s">
        <v>74</v>
      </c>
      <c r="N38" t="s">
        <v>74</v>
      </c>
      <c r="O38" t="s">
        <v>74</v>
      </c>
      <c r="P38" t="s">
        <v>74</v>
      </c>
      <c r="Q38" t="s">
        <v>74</v>
      </c>
      <c r="R38" t="s">
        <v>74</v>
      </c>
      <c r="S38" t="s">
        <v>74</v>
      </c>
      <c r="T38" t="s">
        <v>74</v>
      </c>
      <c r="U38" t="s">
        <v>74</v>
      </c>
      <c r="V38" t="s">
        <v>496</v>
      </c>
      <c r="W38" t="s">
        <v>74</v>
      </c>
      <c r="X38" t="s">
        <v>74</v>
      </c>
      <c r="Y38" t="s">
        <v>74</v>
      </c>
      <c r="Z38" t="s">
        <v>74</v>
      </c>
      <c r="AA38" t="s">
        <v>497</v>
      </c>
      <c r="AB38" t="s">
        <v>498</v>
      </c>
      <c r="AC38" t="s">
        <v>74</v>
      </c>
      <c r="AD38" t="s">
        <v>74</v>
      </c>
      <c r="AE38" t="s">
        <v>74</v>
      </c>
      <c r="AF38" t="s">
        <v>74</v>
      </c>
      <c r="AG38" t="s">
        <v>74</v>
      </c>
      <c r="AH38" t="s">
        <v>74</v>
      </c>
      <c r="AI38" t="s">
        <v>74</v>
      </c>
      <c r="AJ38" t="s">
        <v>74</v>
      </c>
      <c r="AK38" t="s">
        <v>74</v>
      </c>
      <c r="AL38" t="s">
        <v>74</v>
      </c>
      <c r="AM38" t="s">
        <v>74</v>
      </c>
      <c r="AN38" t="s">
        <v>74</v>
      </c>
      <c r="AO38" t="s">
        <v>205</v>
      </c>
      <c r="AP38" t="s">
        <v>74</v>
      </c>
      <c r="AQ38" t="s">
        <v>74</v>
      </c>
      <c r="AR38" t="s">
        <v>74</v>
      </c>
      <c r="AS38" t="s">
        <v>74</v>
      </c>
      <c r="AT38" t="s">
        <v>74</v>
      </c>
      <c r="AU38">
        <v>2023</v>
      </c>
      <c r="AV38">
        <v>11</v>
      </c>
      <c r="AW38" t="s">
        <v>74</v>
      </c>
      <c r="AX38" t="s">
        <v>74</v>
      </c>
      <c r="AY38" t="s">
        <v>74</v>
      </c>
      <c r="AZ38" t="s">
        <v>74</v>
      </c>
      <c r="BA38" t="s">
        <v>74</v>
      </c>
      <c r="BB38">
        <v>25502</v>
      </c>
      <c r="BC38">
        <v>25530</v>
      </c>
      <c r="BD38" t="s">
        <v>74</v>
      </c>
      <c r="BE38" t="s">
        <v>499</v>
      </c>
      <c r="BF38" t="str">
        <f>HYPERLINK("http://dx.doi.org/10.1109/ACCESS.2023.3255510","http://dx.doi.org/10.1109/ACCESS.2023.3255510")</f>
        <v>http://dx.doi.org/10.1109/ACCESS.2023.3255510</v>
      </c>
      <c r="BG38" t="s">
        <v>74</v>
      </c>
      <c r="BH38" t="s">
        <v>74</v>
      </c>
      <c r="BI38" t="s">
        <v>74</v>
      </c>
      <c r="BJ38" t="s">
        <v>74</v>
      </c>
      <c r="BK38" t="s">
        <v>74</v>
      </c>
      <c r="BL38" t="s">
        <v>74</v>
      </c>
      <c r="BM38" t="s">
        <v>74</v>
      </c>
      <c r="BN38" t="s">
        <v>74</v>
      </c>
      <c r="BO38" t="s">
        <v>74</v>
      </c>
      <c r="BP38" t="s">
        <v>74</v>
      </c>
      <c r="BQ38" t="s">
        <v>74</v>
      </c>
      <c r="BR38" t="s">
        <v>74</v>
      </c>
      <c r="BS38" t="s">
        <v>500</v>
      </c>
      <c r="BT38" t="str">
        <f>HYPERLINK("https%3A%2F%2Fwww.webofscience.com%2Fwos%2Fwoscc%2Ffull-record%2FWOS:000953831100001","View Full Record in Web of Science")</f>
        <v>View Full Record in Web of Science</v>
      </c>
    </row>
    <row r="39" spans="1:72" x14ac:dyDescent="0.25">
      <c r="A39" t="s">
        <v>72</v>
      </c>
      <c r="B39" t="s">
        <v>501</v>
      </c>
      <c r="C39" t="s">
        <v>74</v>
      </c>
      <c r="D39" t="s">
        <v>74</v>
      </c>
      <c r="E39" t="s">
        <v>74</v>
      </c>
      <c r="F39" t="s">
        <v>502</v>
      </c>
      <c r="G39" t="s">
        <v>74</v>
      </c>
      <c r="H39" t="s">
        <v>74</v>
      </c>
      <c r="I39" t="s">
        <v>503</v>
      </c>
      <c r="J39" t="s">
        <v>504</v>
      </c>
      <c r="K39" t="s">
        <v>74</v>
      </c>
      <c r="L39" t="s">
        <v>74</v>
      </c>
      <c r="M39" t="s">
        <v>74</v>
      </c>
      <c r="N39" t="s">
        <v>74</v>
      </c>
      <c r="O39" t="s">
        <v>74</v>
      </c>
      <c r="P39" t="s">
        <v>74</v>
      </c>
      <c r="Q39" t="s">
        <v>74</v>
      </c>
      <c r="R39" t="s">
        <v>74</v>
      </c>
      <c r="S39" t="s">
        <v>74</v>
      </c>
      <c r="T39" t="s">
        <v>74</v>
      </c>
      <c r="U39" t="s">
        <v>74</v>
      </c>
      <c r="V39" t="s">
        <v>74</v>
      </c>
      <c r="W39" t="s">
        <v>74</v>
      </c>
      <c r="X39" t="s">
        <v>74</v>
      </c>
      <c r="Y39" t="s">
        <v>74</v>
      </c>
      <c r="Z39" t="s">
        <v>74</v>
      </c>
      <c r="AA39" t="s">
        <v>74</v>
      </c>
      <c r="AB39" t="s">
        <v>505</v>
      </c>
      <c r="AC39" t="s">
        <v>74</v>
      </c>
      <c r="AD39" t="s">
        <v>74</v>
      </c>
      <c r="AE39" t="s">
        <v>74</v>
      </c>
      <c r="AF39" t="s">
        <v>74</v>
      </c>
      <c r="AG39" t="s">
        <v>74</v>
      </c>
      <c r="AH39" t="s">
        <v>74</v>
      </c>
      <c r="AI39" t="s">
        <v>74</v>
      </c>
      <c r="AJ39" t="s">
        <v>74</v>
      </c>
      <c r="AK39" t="s">
        <v>74</v>
      </c>
      <c r="AL39" t="s">
        <v>74</v>
      </c>
      <c r="AM39" t="s">
        <v>74</v>
      </c>
      <c r="AN39" t="s">
        <v>74</v>
      </c>
      <c r="AO39" t="s">
        <v>506</v>
      </c>
      <c r="AP39" t="s">
        <v>507</v>
      </c>
      <c r="AQ39" t="s">
        <v>74</v>
      </c>
      <c r="AR39" t="s">
        <v>74</v>
      </c>
      <c r="AS39" t="s">
        <v>74</v>
      </c>
      <c r="AT39" t="s">
        <v>366</v>
      </c>
      <c r="AU39">
        <v>2023</v>
      </c>
      <c r="AV39">
        <v>12</v>
      </c>
      <c r="AW39">
        <v>1</v>
      </c>
      <c r="AX39" t="s">
        <v>74</v>
      </c>
      <c r="AY39" t="s">
        <v>74</v>
      </c>
      <c r="AZ39" t="s">
        <v>74</v>
      </c>
      <c r="BA39" t="s">
        <v>74</v>
      </c>
      <c r="BB39" t="s">
        <v>74</v>
      </c>
      <c r="BC39" t="s">
        <v>74</v>
      </c>
      <c r="BD39">
        <v>100917</v>
      </c>
      <c r="BE39" t="s">
        <v>508</v>
      </c>
      <c r="BF39" t="str">
        <f>HYPERLINK("http://dx.doi.org/10.1016/j.imr.2022.100917","http://dx.doi.org/10.1016/j.imr.2022.100917")</f>
        <v>http://dx.doi.org/10.1016/j.imr.2022.100917</v>
      </c>
      <c r="BG39" t="s">
        <v>74</v>
      </c>
      <c r="BH39" t="s">
        <v>151</v>
      </c>
      <c r="BI39" t="s">
        <v>74</v>
      </c>
      <c r="BJ39" t="s">
        <v>74</v>
      </c>
      <c r="BK39" t="s">
        <v>74</v>
      </c>
      <c r="BL39" t="s">
        <v>74</v>
      </c>
      <c r="BM39" t="s">
        <v>74</v>
      </c>
      <c r="BN39">
        <v>36691642</v>
      </c>
      <c r="BO39" t="s">
        <v>74</v>
      </c>
      <c r="BP39" t="s">
        <v>74</v>
      </c>
      <c r="BQ39" t="s">
        <v>74</v>
      </c>
      <c r="BR39" t="s">
        <v>74</v>
      </c>
      <c r="BS39" t="s">
        <v>509</v>
      </c>
      <c r="BT39" t="str">
        <f>HYPERLINK("https%3A%2F%2Fwww.webofscience.com%2Fwos%2Fwoscc%2Ffull-record%2FWOS:000923989300001","View Full Record in Web of Science")</f>
        <v>View Full Record in Web of Science</v>
      </c>
    </row>
    <row r="40" spans="1:72" x14ac:dyDescent="0.25">
      <c r="A40" t="s">
        <v>72</v>
      </c>
      <c r="B40" t="s">
        <v>510</v>
      </c>
      <c r="C40" t="s">
        <v>74</v>
      </c>
      <c r="D40" t="s">
        <v>74</v>
      </c>
      <c r="E40" t="s">
        <v>74</v>
      </c>
      <c r="F40" t="s">
        <v>511</v>
      </c>
      <c r="G40" t="s">
        <v>74</v>
      </c>
      <c r="H40" t="s">
        <v>74</v>
      </c>
      <c r="I40" t="s">
        <v>512</v>
      </c>
      <c r="J40" t="s">
        <v>513</v>
      </c>
      <c r="K40" t="s">
        <v>74</v>
      </c>
      <c r="L40" t="s">
        <v>74</v>
      </c>
      <c r="M40" t="s">
        <v>74</v>
      </c>
      <c r="N40" t="s">
        <v>74</v>
      </c>
      <c r="O40" t="s">
        <v>74</v>
      </c>
      <c r="P40" t="s">
        <v>74</v>
      </c>
      <c r="Q40" t="s">
        <v>74</v>
      </c>
      <c r="R40" t="s">
        <v>74</v>
      </c>
      <c r="S40" t="s">
        <v>74</v>
      </c>
      <c r="T40" t="s">
        <v>74</v>
      </c>
      <c r="U40" t="s">
        <v>74</v>
      </c>
      <c r="V40" t="s">
        <v>514</v>
      </c>
      <c r="W40" t="s">
        <v>74</v>
      </c>
      <c r="X40" t="s">
        <v>74</v>
      </c>
      <c r="Y40" t="s">
        <v>74</v>
      </c>
      <c r="Z40" t="s">
        <v>74</v>
      </c>
      <c r="AA40" t="s">
        <v>515</v>
      </c>
      <c r="AB40" t="s">
        <v>516</v>
      </c>
      <c r="AC40" t="s">
        <v>74</v>
      </c>
      <c r="AD40" t="s">
        <v>74</v>
      </c>
      <c r="AE40" t="s">
        <v>74</v>
      </c>
      <c r="AF40" t="s">
        <v>74</v>
      </c>
      <c r="AG40" t="s">
        <v>74</v>
      </c>
      <c r="AH40" t="s">
        <v>74</v>
      </c>
      <c r="AI40" t="s">
        <v>74</v>
      </c>
      <c r="AJ40" t="s">
        <v>74</v>
      </c>
      <c r="AK40" t="s">
        <v>74</v>
      </c>
      <c r="AL40" t="s">
        <v>74</v>
      </c>
      <c r="AM40" t="s">
        <v>74</v>
      </c>
      <c r="AN40" t="s">
        <v>74</v>
      </c>
      <c r="AO40" t="s">
        <v>74</v>
      </c>
      <c r="AP40" t="s">
        <v>517</v>
      </c>
      <c r="AQ40" t="s">
        <v>74</v>
      </c>
      <c r="AR40" t="s">
        <v>74</v>
      </c>
      <c r="AS40" t="s">
        <v>74</v>
      </c>
      <c r="AT40" t="s">
        <v>435</v>
      </c>
      <c r="AU40">
        <v>2023</v>
      </c>
      <c r="AV40">
        <v>11</v>
      </c>
      <c r="AW40">
        <v>4</v>
      </c>
      <c r="AX40" t="s">
        <v>74</v>
      </c>
      <c r="AY40" t="s">
        <v>74</v>
      </c>
      <c r="AZ40" t="s">
        <v>74</v>
      </c>
      <c r="BA40" t="s">
        <v>74</v>
      </c>
      <c r="BB40" t="s">
        <v>74</v>
      </c>
      <c r="BC40" t="s">
        <v>74</v>
      </c>
      <c r="BD40">
        <v>941</v>
      </c>
      <c r="BE40" t="s">
        <v>518</v>
      </c>
      <c r="BF40" t="str">
        <f>HYPERLINK("http://dx.doi.org/10.3390/math11040941","http://dx.doi.org/10.3390/math11040941")</f>
        <v>http://dx.doi.org/10.3390/math11040941</v>
      </c>
      <c r="BG40" t="s">
        <v>74</v>
      </c>
      <c r="BH40" t="s">
        <v>74</v>
      </c>
      <c r="BI40" t="s">
        <v>74</v>
      </c>
      <c r="BJ40" t="s">
        <v>74</v>
      </c>
      <c r="BK40" t="s">
        <v>74</v>
      </c>
      <c r="BL40" t="s">
        <v>74</v>
      </c>
      <c r="BM40" t="s">
        <v>74</v>
      </c>
      <c r="BN40" t="s">
        <v>74</v>
      </c>
      <c r="BO40" t="s">
        <v>74</v>
      </c>
      <c r="BP40" t="s">
        <v>74</v>
      </c>
      <c r="BQ40" t="s">
        <v>74</v>
      </c>
      <c r="BR40" t="s">
        <v>74</v>
      </c>
      <c r="BS40" t="s">
        <v>519</v>
      </c>
      <c r="BT40" t="str">
        <f>HYPERLINK("https%3A%2F%2Fwww.webofscience.com%2Fwos%2Fwoscc%2Ffull-record%2FWOS:000941569100001","View Full Record in Web of Science")</f>
        <v>View Full Record in Web of Science</v>
      </c>
    </row>
    <row r="41" spans="1:72" x14ac:dyDescent="0.25">
      <c r="A41" t="s">
        <v>72</v>
      </c>
      <c r="B41" t="s">
        <v>520</v>
      </c>
      <c r="C41" t="s">
        <v>74</v>
      </c>
      <c r="D41" t="s">
        <v>74</v>
      </c>
      <c r="E41" t="s">
        <v>74</v>
      </c>
      <c r="F41" t="s">
        <v>521</v>
      </c>
      <c r="G41" t="s">
        <v>74</v>
      </c>
      <c r="H41" t="s">
        <v>74</v>
      </c>
      <c r="I41" t="s">
        <v>522</v>
      </c>
      <c r="J41" t="s">
        <v>523</v>
      </c>
      <c r="K41" t="s">
        <v>74</v>
      </c>
      <c r="L41" t="s">
        <v>74</v>
      </c>
      <c r="M41" t="s">
        <v>74</v>
      </c>
      <c r="N41" t="s">
        <v>74</v>
      </c>
      <c r="O41" t="s">
        <v>74</v>
      </c>
      <c r="P41" t="s">
        <v>74</v>
      </c>
      <c r="Q41" t="s">
        <v>74</v>
      </c>
      <c r="R41" t="s">
        <v>74</v>
      </c>
      <c r="S41" t="s">
        <v>74</v>
      </c>
      <c r="T41" t="s">
        <v>74</v>
      </c>
      <c r="U41" t="s">
        <v>74</v>
      </c>
      <c r="V41" t="s">
        <v>524</v>
      </c>
      <c r="W41" t="s">
        <v>74</v>
      </c>
      <c r="X41" t="s">
        <v>74</v>
      </c>
      <c r="Y41" t="s">
        <v>74</v>
      </c>
      <c r="Z41" t="s">
        <v>74</v>
      </c>
      <c r="AA41" t="s">
        <v>74</v>
      </c>
      <c r="AB41" t="s">
        <v>525</v>
      </c>
      <c r="AC41" t="s">
        <v>74</v>
      </c>
      <c r="AD41" t="s">
        <v>74</v>
      </c>
      <c r="AE41" t="s">
        <v>74</v>
      </c>
      <c r="AF41" t="s">
        <v>74</v>
      </c>
      <c r="AG41" t="s">
        <v>74</v>
      </c>
      <c r="AH41" t="s">
        <v>74</v>
      </c>
      <c r="AI41" t="s">
        <v>74</v>
      </c>
      <c r="AJ41" t="s">
        <v>74</v>
      </c>
      <c r="AK41" t="s">
        <v>74</v>
      </c>
      <c r="AL41" t="s">
        <v>74</v>
      </c>
      <c r="AM41" t="s">
        <v>74</v>
      </c>
      <c r="AN41" t="s">
        <v>74</v>
      </c>
      <c r="AO41" t="s">
        <v>526</v>
      </c>
      <c r="AP41" t="s">
        <v>74</v>
      </c>
      <c r="AQ41" t="s">
        <v>74</v>
      </c>
      <c r="AR41" t="s">
        <v>74</v>
      </c>
      <c r="AS41" t="s">
        <v>74</v>
      </c>
      <c r="AT41" t="s">
        <v>299</v>
      </c>
      <c r="AU41">
        <v>2022</v>
      </c>
      <c r="AV41">
        <v>15</v>
      </c>
      <c r="AW41">
        <v>6</v>
      </c>
      <c r="AX41" t="s">
        <v>74</v>
      </c>
      <c r="AY41" t="s">
        <v>74</v>
      </c>
      <c r="AZ41" t="s">
        <v>74</v>
      </c>
      <c r="BA41" t="s">
        <v>74</v>
      </c>
      <c r="BB41">
        <v>685</v>
      </c>
      <c r="BC41">
        <v>696</v>
      </c>
      <c r="BD41" t="s">
        <v>74</v>
      </c>
      <c r="BE41" t="s">
        <v>527</v>
      </c>
      <c r="BF41" t="str">
        <f>HYPERLINK("http://dx.doi.org/10.1109/TLT.2022.3210828","http://dx.doi.org/10.1109/TLT.2022.3210828")</f>
        <v>http://dx.doi.org/10.1109/TLT.2022.3210828</v>
      </c>
      <c r="BG41" t="s">
        <v>74</v>
      </c>
      <c r="BH41" t="s">
        <v>74</v>
      </c>
      <c r="BI41" t="s">
        <v>74</v>
      </c>
      <c r="BJ41" t="s">
        <v>74</v>
      </c>
      <c r="BK41" t="s">
        <v>74</v>
      </c>
      <c r="BL41" t="s">
        <v>74</v>
      </c>
      <c r="BM41" t="s">
        <v>74</v>
      </c>
      <c r="BN41" t="s">
        <v>74</v>
      </c>
      <c r="BO41" t="s">
        <v>74</v>
      </c>
      <c r="BP41" t="s">
        <v>74</v>
      </c>
      <c r="BQ41" t="s">
        <v>74</v>
      </c>
      <c r="BR41" t="s">
        <v>74</v>
      </c>
      <c r="BS41" t="s">
        <v>528</v>
      </c>
      <c r="BT41" t="str">
        <f>HYPERLINK("https%3A%2F%2Fwww.webofscience.com%2Fwos%2Fwoscc%2Ffull-record%2FWOS:000911279300004","View Full Record in Web of Science")</f>
        <v>View Full Record in Web of Science</v>
      </c>
    </row>
    <row r="42" spans="1:72" x14ac:dyDescent="0.25">
      <c r="A42" t="s">
        <v>72</v>
      </c>
      <c r="B42" t="s">
        <v>529</v>
      </c>
      <c r="C42" t="s">
        <v>74</v>
      </c>
      <c r="D42" t="s">
        <v>74</v>
      </c>
      <c r="E42" t="s">
        <v>74</v>
      </c>
      <c r="F42" t="s">
        <v>530</v>
      </c>
      <c r="G42" t="s">
        <v>74</v>
      </c>
      <c r="H42" t="s">
        <v>74</v>
      </c>
      <c r="I42" t="s">
        <v>531</v>
      </c>
      <c r="J42" t="s">
        <v>532</v>
      </c>
      <c r="K42" t="s">
        <v>74</v>
      </c>
      <c r="L42" t="s">
        <v>74</v>
      </c>
      <c r="M42" t="s">
        <v>74</v>
      </c>
      <c r="N42" t="s">
        <v>74</v>
      </c>
      <c r="O42" t="s">
        <v>74</v>
      </c>
      <c r="P42" t="s">
        <v>74</v>
      </c>
      <c r="Q42" t="s">
        <v>74</v>
      </c>
      <c r="R42" t="s">
        <v>74</v>
      </c>
      <c r="S42" t="s">
        <v>74</v>
      </c>
      <c r="T42" t="s">
        <v>74</v>
      </c>
      <c r="U42" t="s">
        <v>74</v>
      </c>
      <c r="V42" t="s">
        <v>533</v>
      </c>
      <c r="W42" t="s">
        <v>74</v>
      </c>
      <c r="X42" t="s">
        <v>74</v>
      </c>
      <c r="Y42" t="s">
        <v>74</v>
      </c>
      <c r="Z42" t="s">
        <v>74</v>
      </c>
      <c r="AA42" t="s">
        <v>74</v>
      </c>
      <c r="AB42" t="s">
        <v>74</v>
      </c>
      <c r="AC42" t="s">
        <v>74</v>
      </c>
      <c r="AD42" t="s">
        <v>74</v>
      </c>
      <c r="AE42" t="s">
        <v>74</v>
      </c>
      <c r="AF42" t="s">
        <v>74</v>
      </c>
      <c r="AG42" t="s">
        <v>74</v>
      </c>
      <c r="AH42" t="s">
        <v>74</v>
      </c>
      <c r="AI42" t="s">
        <v>74</v>
      </c>
      <c r="AJ42" t="s">
        <v>74</v>
      </c>
      <c r="AK42" t="s">
        <v>74</v>
      </c>
      <c r="AL42" t="s">
        <v>74</v>
      </c>
      <c r="AM42" t="s">
        <v>74</v>
      </c>
      <c r="AN42" t="s">
        <v>74</v>
      </c>
      <c r="AO42" t="s">
        <v>534</v>
      </c>
      <c r="AP42" t="s">
        <v>535</v>
      </c>
      <c r="AQ42" t="s">
        <v>74</v>
      </c>
      <c r="AR42" t="s">
        <v>74</v>
      </c>
      <c r="AS42" t="s">
        <v>74</v>
      </c>
      <c r="AT42" t="s">
        <v>536</v>
      </c>
      <c r="AU42">
        <v>2023</v>
      </c>
      <c r="AV42">
        <v>78</v>
      </c>
      <c r="AW42" t="s">
        <v>74</v>
      </c>
      <c r="AX42" t="s">
        <v>74</v>
      </c>
      <c r="AY42" t="s">
        <v>74</v>
      </c>
      <c r="AZ42" t="s">
        <v>74</v>
      </c>
      <c r="BA42" t="s">
        <v>74</v>
      </c>
      <c r="BB42" t="s">
        <v>74</v>
      </c>
      <c r="BC42" t="s">
        <v>74</v>
      </c>
      <c r="BD42">
        <v>102430</v>
      </c>
      <c r="BE42" t="s">
        <v>537</v>
      </c>
      <c r="BF42" t="str">
        <f>HYPERLINK("http://dx.doi.org/10.1016/j.displa.2023.102430","http://dx.doi.org/10.1016/j.displa.2023.102430")</f>
        <v>http://dx.doi.org/10.1016/j.displa.2023.102430</v>
      </c>
      <c r="BG42" t="s">
        <v>74</v>
      </c>
      <c r="BH42" t="s">
        <v>401</v>
      </c>
      <c r="BI42" t="s">
        <v>74</v>
      </c>
      <c r="BJ42" t="s">
        <v>74</v>
      </c>
      <c r="BK42" t="s">
        <v>74</v>
      </c>
      <c r="BL42" t="s">
        <v>74</v>
      </c>
      <c r="BM42" t="s">
        <v>74</v>
      </c>
      <c r="BN42" t="s">
        <v>74</v>
      </c>
      <c r="BO42" t="s">
        <v>74</v>
      </c>
      <c r="BP42" t="s">
        <v>74</v>
      </c>
      <c r="BQ42" t="s">
        <v>74</v>
      </c>
      <c r="BR42" t="s">
        <v>74</v>
      </c>
      <c r="BS42" t="s">
        <v>538</v>
      </c>
      <c r="BT42" t="str">
        <f>HYPERLINK("https%3A%2F%2Fwww.webofscience.com%2Fwos%2Fwoscc%2Ffull-record%2FWOS:000967700700001","View Full Record in Web of Science")</f>
        <v>View Full Record in Web of Science</v>
      </c>
    </row>
    <row r="43" spans="1:72" x14ac:dyDescent="0.25">
      <c r="A43" t="s">
        <v>84</v>
      </c>
      <c r="B43" t="s">
        <v>539</v>
      </c>
      <c r="C43" t="s">
        <v>74</v>
      </c>
      <c r="D43" t="s">
        <v>74</v>
      </c>
      <c r="E43" t="s">
        <v>86</v>
      </c>
      <c r="F43" t="s">
        <v>540</v>
      </c>
      <c r="G43" t="s">
        <v>74</v>
      </c>
      <c r="H43" t="s">
        <v>74</v>
      </c>
      <c r="I43" t="s">
        <v>541</v>
      </c>
      <c r="J43" t="s">
        <v>542</v>
      </c>
      <c r="K43" t="s">
        <v>74</v>
      </c>
      <c r="L43" t="s">
        <v>74</v>
      </c>
      <c r="M43" t="s">
        <v>74</v>
      </c>
      <c r="N43" t="s">
        <v>74</v>
      </c>
      <c r="O43" t="s">
        <v>543</v>
      </c>
      <c r="P43" t="s">
        <v>544</v>
      </c>
      <c r="Q43" t="s">
        <v>545</v>
      </c>
      <c r="R43" t="s">
        <v>546</v>
      </c>
      <c r="S43" t="s">
        <v>547</v>
      </c>
      <c r="T43" t="s">
        <v>74</v>
      </c>
      <c r="U43" t="s">
        <v>74</v>
      </c>
      <c r="V43" t="s">
        <v>548</v>
      </c>
      <c r="W43" t="s">
        <v>74</v>
      </c>
      <c r="X43" t="s">
        <v>74</v>
      </c>
      <c r="Y43" t="s">
        <v>74</v>
      </c>
      <c r="Z43" t="s">
        <v>74</v>
      </c>
      <c r="AA43" t="s">
        <v>74</v>
      </c>
      <c r="AB43" t="s">
        <v>74</v>
      </c>
      <c r="AC43" t="s">
        <v>74</v>
      </c>
      <c r="AD43" t="s">
        <v>74</v>
      </c>
      <c r="AE43" t="s">
        <v>74</v>
      </c>
      <c r="AF43" t="s">
        <v>74</v>
      </c>
      <c r="AG43" t="s">
        <v>74</v>
      </c>
      <c r="AH43" t="s">
        <v>74</v>
      </c>
      <c r="AI43" t="s">
        <v>74</v>
      </c>
      <c r="AJ43" t="s">
        <v>74</v>
      </c>
      <c r="AK43" t="s">
        <v>74</v>
      </c>
      <c r="AL43" t="s">
        <v>74</v>
      </c>
      <c r="AM43" t="s">
        <v>74</v>
      </c>
      <c r="AN43" t="s">
        <v>74</v>
      </c>
      <c r="AO43" t="s">
        <v>74</v>
      </c>
      <c r="AP43" t="s">
        <v>74</v>
      </c>
      <c r="AQ43" t="s">
        <v>549</v>
      </c>
      <c r="AR43" t="s">
        <v>74</v>
      </c>
      <c r="AS43" t="s">
        <v>74</v>
      </c>
      <c r="AT43" t="s">
        <v>74</v>
      </c>
      <c r="AU43">
        <v>2022</v>
      </c>
      <c r="AV43" t="s">
        <v>74</v>
      </c>
      <c r="AW43" t="s">
        <v>74</v>
      </c>
      <c r="AX43" t="s">
        <v>74</v>
      </c>
      <c r="AY43" t="s">
        <v>74</v>
      </c>
      <c r="AZ43" t="s">
        <v>74</v>
      </c>
      <c r="BA43" t="s">
        <v>74</v>
      </c>
      <c r="BB43" t="s">
        <v>74</v>
      </c>
      <c r="BC43" t="s">
        <v>74</v>
      </c>
      <c r="BD43" t="s">
        <v>74</v>
      </c>
      <c r="BE43" t="s">
        <v>550</v>
      </c>
      <c r="BF43" t="str">
        <f>HYPERLINK("http://dx.doi.org/10.1109/TAEE54169.2022.9840630","http://dx.doi.org/10.1109/TAEE54169.2022.9840630")</f>
        <v>http://dx.doi.org/10.1109/TAEE54169.2022.9840630</v>
      </c>
      <c r="BG43" t="s">
        <v>74</v>
      </c>
      <c r="BH43" t="s">
        <v>74</v>
      </c>
      <c r="BI43" t="s">
        <v>74</v>
      </c>
      <c r="BJ43" t="s">
        <v>74</v>
      </c>
      <c r="BK43" t="s">
        <v>74</v>
      </c>
      <c r="BL43" t="s">
        <v>74</v>
      </c>
      <c r="BM43" t="s">
        <v>74</v>
      </c>
      <c r="BN43" t="s">
        <v>74</v>
      </c>
      <c r="BO43" t="s">
        <v>74</v>
      </c>
      <c r="BP43" t="s">
        <v>74</v>
      </c>
      <c r="BQ43" t="s">
        <v>74</v>
      </c>
      <c r="BR43" t="s">
        <v>74</v>
      </c>
      <c r="BS43" t="s">
        <v>551</v>
      </c>
      <c r="BT43" t="str">
        <f>HYPERLINK("https%3A%2F%2Fwww.webofscience.com%2Fwos%2Fwoscc%2Ffull-record%2FWOS:000855992700057","View Full Record in Web of Science")</f>
        <v>View Full Record in Web of Science</v>
      </c>
    </row>
    <row r="44" spans="1:72" x14ac:dyDescent="0.25">
      <c r="A44" t="s">
        <v>84</v>
      </c>
      <c r="B44" t="s">
        <v>552</v>
      </c>
      <c r="C44" t="s">
        <v>74</v>
      </c>
      <c r="D44" t="s">
        <v>553</v>
      </c>
      <c r="E44" t="s">
        <v>74</v>
      </c>
      <c r="F44" t="s">
        <v>554</v>
      </c>
      <c r="G44" t="s">
        <v>74</v>
      </c>
      <c r="H44" t="s">
        <v>74</v>
      </c>
      <c r="I44" t="s">
        <v>555</v>
      </c>
      <c r="J44" t="s">
        <v>556</v>
      </c>
      <c r="K44" t="s">
        <v>158</v>
      </c>
      <c r="L44" t="s">
        <v>74</v>
      </c>
      <c r="M44" t="s">
        <v>74</v>
      </c>
      <c r="N44" t="s">
        <v>74</v>
      </c>
      <c r="O44" t="s">
        <v>557</v>
      </c>
      <c r="P44" t="s">
        <v>288</v>
      </c>
      <c r="Q44" t="s">
        <v>558</v>
      </c>
      <c r="R44" t="s">
        <v>74</v>
      </c>
      <c r="S44" t="s">
        <v>74</v>
      </c>
      <c r="T44" t="s">
        <v>74</v>
      </c>
      <c r="U44" t="s">
        <v>74</v>
      </c>
      <c r="V44" t="s">
        <v>559</v>
      </c>
      <c r="W44" t="s">
        <v>74</v>
      </c>
      <c r="X44" t="s">
        <v>74</v>
      </c>
      <c r="Y44" t="s">
        <v>74</v>
      </c>
      <c r="Z44" t="s">
        <v>74</v>
      </c>
      <c r="AA44" t="s">
        <v>74</v>
      </c>
      <c r="AB44" t="s">
        <v>74</v>
      </c>
      <c r="AC44" t="s">
        <v>74</v>
      </c>
      <c r="AD44" t="s">
        <v>74</v>
      </c>
      <c r="AE44" t="s">
        <v>74</v>
      </c>
      <c r="AF44" t="s">
        <v>74</v>
      </c>
      <c r="AG44" t="s">
        <v>74</v>
      </c>
      <c r="AH44" t="s">
        <v>74</v>
      </c>
      <c r="AI44" t="s">
        <v>74</v>
      </c>
      <c r="AJ44" t="s">
        <v>74</v>
      </c>
      <c r="AK44" t="s">
        <v>74</v>
      </c>
      <c r="AL44" t="s">
        <v>74</v>
      </c>
      <c r="AM44" t="s">
        <v>74</v>
      </c>
      <c r="AN44" t="s">
        <v>74</v>
      </c>
      <c r="AO44" t="s">
        <v>164</v>
      </c>
      <c r="AP44" t="s">
        <v>165</v>
      </c>
      <c r="AQ44" t="s">
        <v>560</v>
      </c>
      <c r="AR44" t="s">
        <v>74</v>
      </c>
      <c r="AS44" t="s">
        <v>74</v>
      </c>
      <c r="AT44" t="s">
        <v>74</v>
      </c>
      <c r="AU44">
        <v>2022</v>
      </c>
      <c r="AV44">
        <v>13522</v>
      </c>
      <c r="AW44" t="s">
        <v>74</v>
      </c>
      <c r="AX44" t="s">
        <v>74</v>
      </c>
      <c r="AY44" t="s">
        <v>74</v>
      </c>
      <c r="AZ44" t="s">
        <v>74</v>
      </c>
      <c r="BA44" t="s">
        <v>74</v>
      </c>
      <c r="BB44">
        <v>397</v>
      </c>
      <c r="BC44">
        <v>406</v>
      </c>
      <c r="BD44" t="s">
        <v>74</v>
      </c>
      <c r="BE44" t="s">
        <v>561</v>
      </c>
      <c r="BF44" t="str">
        <f>HYPERLINK("http://dx.doi.org/10.1007/978-3-031-21704-3_26","http://dx.doi.org/10.1007/978-3-031-21704-3_26")</f>
        <v>http://dx.doi.org/10.1007/978-3-031-21704-3_26</v>
      </c>
      <c r="BG44" t="s">
        <v>74</v>
      </c>
      <c r="BH44" t="s">
        <v>74</v>
      </c>
      <c r="BI44" t="s">
        <v>74</v>
      </c>
      <c r="BJ44" t="s">
        <v>74</v>
      </c>
      <c r="BK44" t="s">
        <v>74</v>
      </c>
      <c r="BL44" t="s">
        <v>74</v>
      </c>
      <c r="BM44" t="s">
        <v>74</v>
      </c>
      <c r="BN44" t="s">
        <v>74</v>
      </c>
      <c r="BO44" t="s">
        <v>74</v>
      </c>
      <c r="BP44" t="s">
        <v>74</v>
      </c>
      <c r="BQ44" t="s">
        <v>74</v>
      </c>
      <c r="BR44" t="s">
        <v>74</v>
      </c>
      <c r="BS44" t="s">
        <v>562</v>
      </c>
      <c r="BT44" t="str">
        <f>HYPERLINK("https%3A%2F%2Fwww.webofscience.com%2Fwos%2Fwoscc%2Ffull-record%2FWOS:000937041100026","View Full Record in Web of Science")</f>
        <v>View Full Record in Web of Science</v>
      </c>
    </row>
    <row r="45" spans="1:72" x14ac:dyDescent="0.25">
      <c r="A45" t="s">
        <v>72</v>
      </c>
      <c r="B45" t="s">
        <v>563</v>
      </c>
      <c r="C45" t="s">
        <v>74</v>
      </c>
      <c r="D45" t="s">
        <v>74</v>
      </c>
      <c r="E45" t="s">
        <v>74</v>
      </c>
      <c r="F45" t="s">
        <v>564</v>
      </c>
      <c r="G45" t="s">
        <v>74</v>
      </c>
      <c r="H45" t="s">
        <v>74</v>
      </c>
      <c r="I45" t="s">
        <v>565</v>
      </c>
      <c r="J45" t="s">
        <v>305</v>
      </c>
      <c r="K45" t="s">
        <v>74</v>
      </c>
      <c r="L45" t="s">
        <v>74</v>
      </c>
      <c r="M45" t="s">
        <v>74</v>
      </c>
      <c r="N45" t="s">
        <v>74</v>
      </c>
      <c r="O45" t="s">
        <v>74</v>
      </c>
      <c r="P45" t="s">
        <v>74</v>
      </c>
      <c r="Q45" t="s">
        <v>74</v>
      </c>
      <c r="R45" t="s">
        <v>74</v>
      </c>
      <c r="S45" t="s">
        <v>74</v>
      </c>
      <c r="T45" t="s">
        <v>74</v>
      </c>
      <c r="U45" t="s">
        <v>74</v>
      </c>
      <c r="V45" t="s">
        <v>566</v>
      </c>
      <c r="W45" t="s">
        <v>74</v>
      </c>
      <c r="X45" t="s">
        <v>74</v>
      </c>
      <c r="Y45" t="s">
        <v>74</v>
      </c>
      <c r="Z45" t="s">
        <v>74</v>
      </c>
      <c r="AA45" t="s">
        <v>567</v>
      </c>
      <c r="AB45" t="s">
        <v>74</v>
      </c>
      <c r="AC45" t="s">
        <v>74</v>
      </c>
      <c r="AD45" t="s">
        <v>74</v>
      </c>
      <c r="AE45" t="s">
        <v>74</v>
      </c>
      <c r="AF45" t="s">
        <v>74</v>
      </c>
      <c r="AG45" t="s">
        <v>74</v>
      </c>
      <c r="AH45" t="s">
        <v>74</v>
      </c>
      <c r="AI45" t="s">
        <v>74</v>
      </c>
      <c r="AJ45" t="s">
        <v>74</v>
      </c>
      <c r="AK45" t="s">
        <v>74</v>
      </c>
      <c r="AL45" t="s">
        <v>74</v>
      </c>
      <c r="AM45" t="s">
        <v>74</v>
      </c>
      <c r="AN45" t="s">
        <v>74</v>
      </c>
      <c r="AO45" t="s">
        <v>307</v>
      </c>
      <c r="AP45" t="s">
        <v>308</v>
      </c>
      <c r="AQ45" t="s">
        <v>74</v>
      </c>
      <c r="AR45" t="s">
        <v>74</v>
      </c>
      <c r="AS45" t="s">
        <v>74</v>
      </c>
      <c r="AT45" t="s">
        <v>309</v>
      </c>
      <c r="AU45">
        <v>2022</v>
      </c>
      <c r="AV45">
        <v>24</v>
      </c>
      <c r="AW45">
        <v>6</v>
      </c>
      <c r="AX45" t="s">
        <v>74</v>
      </c>
      <c r="AY45" t="s">
        <v>74</v>
      </c>
      <c r="AZ45" t="s">
        <v>74</v>
      </c>
      <c r="BA45" t="s">
        <v>74</v>
      </c>
      <c r="BB45">
        <v>27</v>
      </c>
      <c r="BC45">
        <v>33</v>
      </c>
      <c r="BD45" t="s">
        <v>74</v>
      </c>
      <c r="BE45" t="s">
        <v>568</v>
      </c>
      <c r="BF45" t="str">
        <f>HYPERLINK("http://dx.doi.org/10.1109/MITP.2022.3203820","http://dx.doi.org/10.1109/MITP.2022.3203820")</f>
        <v>http://dx.doi.org/10.1109/MITP.2022.3203820</v>
      </c>
      <c r="BG45" t="s">
        <v>74</v>
      </c>
      <c r="BH45" t="s">
        <v>74</v>
      </c>
      <c r="BI45" t="s">
        <v>74</v>
      </c>
      <c r="BJ45" t="s">
        <v>74</v>
      </c>
      <c r="BK45" t="s">
        <v>74</v>
      </c>
      <c r="BL45" t="s">
        <v>74</v>
      </c>
      <c r="BM45" t="s">
        <v>74</v>
      </c>
      <c r="BN45" t="s">
        <v>74</v>
      </c>
      <c r="BO45" t="s">
        <v>74</v>
      </c>
      <c r="BP45" t="s">
        <v>74</v>
      </c>
      <c r="BQ45" t="s">
        <v>74</v>
      </c>
      <c r="BR45" t="s">
        <v>74</v>
      </c>
      <c r="BS45" t="s">
        <v>569</v>
      </c>
      <c r="BT45" t="str">
        <f>HYPERLINK("https%3A%2F%2Fwww.webofscience.com%2Fwos%2Fwoscc%2Ffull-record%2FWOS:000917257500007","View Full Record in Web of Science")</f>
        <v>View Full Record in Web of Science</v>
      </c>
    </row>
    <row r="46" spans="1:72" x14ac:dyDescent="0.25">
      <c r="A46" t="s">
        <v>72</v>
      </c>
      <c r="B46" t="s">
        <v>570</v>
      </c>
      <c r="C46" t="s">
        <v>74</v>
      </c>
      <c r="D46" t="s">
        <v>74</v>
      </c>
      <c r="E46" t="s">
        <v>74</v>
      </c>
      <c r="F46" t="s">
        <v>571</v>
      </c>
      <c r="G46" t="s">
        <v>74</v>
      </c>
      <c r="H46" t="s">
        <v>74</v>
      </c>
      <c r="I46" t="s">
        <v>572</v>
      </c>
      <c r="J46" t="s">
        <v>573</v>
      </c>
      <c r="K46" t="s">
        <v>74</v>
      </c>
      <c r="L46" t="s">
        <v>74</v>
      </c>
      <c r="M46" t="s">
        <v>74</v>
      </c>
      <c r="N46" t="s">
        <v>74</v>
      </c>
      <c r="O46" t="s">
        <v>74</v>
      </c>
      <c r="P46" t="s">
        <v>74</v>
      </c>
      <c r="Q46" t="s">
        <v>74</v>
      </c>
      <c r="R46" t="s">
        <v>74</v>
      </c>
      <c r="S46" t="s">
        <v>74</v>
      </c>
      <c r="T46" t="s">
        <v>74</v>
      </c>
      <c r="U46" t="s">
        <v>74</v>
      </c>
      <c r="V46" t="s">
        <v>574</v>
      </c>
      <c r="W46" t="s">
        <v>74</v>
      </c>
      <c r="X46" t="s">
        <v>74</v>
      </c>
      <c r="Y46" t="s">
        <v>74</v>
      </c>
      <c r="Z46" t="s">
        <v>74</v>
      </c>
      <c r="AA46" t="s">
        <v>575</v>
      </c>
      <c r="AB46" t="s">
        <v>576</v>
      </c>
      <c r="AC46" t="s">
        <v>74</v>
      </c>
      <c r="AD46" t="s">
        <v>74</v>
      </c>
      <c r="AE46" t="s">
        <v>74</v>
      </c>
      <c r="AF46" t="s">
        <v>74</v>
      </c>
      <c r="AG46" t="s">
        <v>74</v>
      </c>
      <c r="AH46" t="s">
        <v>74</v>
      </c>
      <c r="AI46" t="s">
        <v>74</v>
      </c>
      <c r="AJ46" t="s">
        <v>74</v>
      </c>
      <c r="AK46" t="s">
        <v>74</v>
      </c>
      <c r="AL46" t="s">
        <v>74</v>
      </c>
      <c r="AM46" t="s">
        <v>74</v>
      </c>
      <c r="AN46" t="s">
        <v>74</v>
      </c>
      <c r="AO46" t="s">
        <v>577</v>
      </c>
      <c r="AP46" t="s">
        <v>578</v>
      </c>
      <c r="AQ46" t="s">
        <v>74</v>
      </c>
      <c r="AR46" t="s">
        <v>74</v>
      </c>
      <c r="AS46" t="s">
        <v>74</v>
      </c>
      <c r="AT46" t="s">
        <v>175</v>
      </c>
      <c r="AU46">
        <v>2023</v>
      </c>
      <c r="AV46">
        <v>72</v>
      </c>
      <c r="AW46">
        <v>1</v>
      </c>
      <c r="AX46" t="s">
        <v>74</v>
      </c>
      <c r="AY46" t="s">
        <v>74</v>
      </c>
      <c r="AZ46" t="s">
        <v>74</v>
      </c>
      <c r="BA46" t="s">
        <v>74</v>
      </c>
      <c r="BB46">
        <v>1084</v>
      </c>
      <c r="BC46">
        <v>1100</v>
      </c>
      <c r="BD46" t="s">
        <v>74</v>
      </c>
      <c r="BE46" t="s">
        <v>579</v>
      </c>
      <c r="BF46" t="str">
        <f>HYPERLINK("http://dx.doi.org/10.1109/TVT.2022.3204839","http://dx.doi.org/10.1109/TVT.2022.3204839")</f>
        <v>http://dx.doi.org/10.1109/TVT.2022.3204839</v>
      </c>
      <c r="BG46" t="s">
        <v>74</v>
      </c>
      <c r="BH46" t="s">
        <v>74</v>
      </c>
      <c r="BI46" t="s">
        <v>74</v>
      </c>
      <c r="BJ46" t="s">
        <v>74</v>
      </c>
      <c r="BK46" t="s">
        <v>74</v>
      </c>
      <c r="BL46" t="s">
        <v>74</v>
      </c>
      <c r="BM46" t="s">
        <v>74</v>
      </c>
      <c r="BN46" t="s">
        <v>74</v>
      </c>
      <c r="BO46" t="s">
        <v>74</v>
      </c>
      <c r="BP46" t="s">
        <v>74</v>
      </c>
      <c r="BQ46" t="s">
        <v>74</v>
      </c>
      <c r="BR46" t="s">
        <v>74</v>
      </c>
      <c r="BS46" t="s">
        <v>580</v>
      </c>
      <c r="BT46" t="str">
        <f>HYPERLINK("https%3A%2F%2Fwww.webofscience.com%2Fwos%2Fwoscc%2Ffull-record%2FWOS:000967074200001","View Full Record in Web of Science")</f>
        <v>View Full Record in Web of Science</v>
      </c>
    </row>
    <row r="47" spans="1:72" x14ac:dyDescent="0.25">
      <c r="A47" t="s">
        <v>72</v>
      </c>
      <c r="B47" t="s">
        <v>581</v>
      </c>
      <c r="C47" t="s">
        <v>74</v>
      </c>
      <c r="D47" t="s">
        <v>74</v>
      </c>
      <c r="E47" t="s">
        <v>74</v>
      </c>
      <c r="F47" t="s">
        <v>582</v>
      </c>
      <c r="G47" t="s">
        <v>74</v>
      </c>
      <c r="H47" t="s">
        <v>74</v>
      </c>
      <c r="I47" t="s">
        <v>583</v>
      </c>
      <c r="J47" t="s">
        <v>352</v>
      </c>
      <c r="K47" t="s">
        <v>74</v>
      </c>
      <c r="L47" t="s">
        <v>74</v>
      </c>
      <c r="M47" t="s">
        <v>74</v>
      </c>
      <c r="N47" t="s">
        <v>74</v>
      </c>
      <c r="O47" t="s">
        <v>74</v>
      </c>
      <c r="P47" t="s">
        <v>74</v>
      </c>
      <c r="Q47" t="s">
        <v>74</v>
      </c>
      <c r="R47" t="s">
        <v>74</v>
      </c>
      <c r="S47" t="s">
        <v>74</v>
      </c>
      <c r="T47" t="s">
        <v>74</v>
      </c>
      <c r="U47" t="s">
        <v>74</v>
      </c>
      <c r="V47" t="s">
        <v>584</v>
      </c>
      <c r="W47" t="s">
        <v>74</v>
      </c>
      <c r="X47" t="s">
        <v>74</v>
      </c>
      <c r="Y47" t="s">
        <v>74</v>
      </c>
      <c r="Z47" t="s">
        <v>74</v>
      </c>
      <c r="AA47" t="s">
        <v>585</v>
      </c>
      <c r="AB47" t="s">
        <v>586</v>
      </c>
      <c r="AC47" t="s">
        <v>74</v>
      </c>
      <c r="AD47" t="s">
        <v>74</v>
      </c>
      <c r="AE47" t="s">
        <v>74</v>
      </c>
      <c r="AF47" t="s">
        <v>74</v>
      </c>
      <c r="AG47" t="s">
        <v>74</v>
      </c>
      <c r="AH47" t="s">
        <v>74</v>
      </c>
      <c r="AI47" t="s">
        <v>74</v>
      </c>
      <c r="AJ47" t="s">
        <v>74</v>
      </c>
      <c r="AK47" t="s">
        <v>74</v>
      </c>
      <c r="AL47" t="s">
        <v>74</v>
      </c>
      <c r="AM47" t="s">
        <v>74</v>
      </c>
      <c r="AN47" t="s">
        <v>74</v>
      </c>
      <c r="AO47" t="s">
        <v>74</v>
      </c>
      <c r="AP47" t="s">
        <v>356</v>
      </c>
      <c r="AQ47" t="s">
        <v>74</v>
      </c>
      <c r="AR47" t="s">
        <v>74</v>
      </c>
      <c r="AS47" t="s">
        <v>74</v>
      </c>
      <c r="AT47" t="s">
        <v>74</v>
      </c>
      <c r="AU47">
        <v>2023</v>
      </c>
      <c r="AV47">
        <v>25</v>
      </c>
      <c r="AW47">
        <v>1</v>
      </c>
      <c r="AX47" t="s">
        <v>74</v>
      </c>
      <c r="AY47" t="s">
        <v>74</v>
      </c>
      <c r="AZ47" t="s">
        <v>74</v>
      </c>
      <c r="BA47" t="s">
        <v>74</v>
      </c>
      <c r="BB47">
        <v>656</v>
      </c>
      <c r="BC47">
        <v>700</v>
      </c>
      <c r="BD47" t="s">
        <v>74</v>
      </c>
      <c r="BE47" t="s">
        <v>587</v>
      </c>
      <c r="BF47" t="str">
        <f>HYPERLINK("http://dx.doi.org/10.1109/COMST.2022.3221119","http://dx.doi.org/10.1109/COMST.2022.3221119")</f>
        <v>http://dx.doi.org/10.1109/COMST.2022.3221119</v>
      </c>
      <c r="BG47" t="s">
        <v>74</v>
      </c>
      <c r="BH47" t="s">
        <v>74</v>
      </c>
      <c r="BI47" t="s">
        <v>74</v>
      </c>
      <c r="BJ47" t="s">
        <v>74</v>
      </c>
      <c r="BK47" t="s">
        <v>74</v>
      </c>
      <c r="BL47" t="s">
        <v>74</v>
      </c>
      <c r="BM47" t="s">
        <v>74</v>
      </c>
      <c r="BN47" t="s">
        <v>74</v>
      </c>
      <c r="BO47" t="s">
        <v>74</v>
      </c>
      <c r="BP47" t="s">
        <v>74</v>
      </c>
      <c r="BQ47" t="s">
        <v>74</v>
      </c>
      <c r="BR47" t="s">
        <v>74</v>
      </c>
      <c r="BS47" t="s">
        <v>588</v>
      </c>
      <c r="BT47" t="str">
        <f>HYPERLINK("https%3A%2F%2Fwww.webofscience.com%2Fwos%2Fwoscc%2Ffull-record%2FWOS:000942531300022","View Full Record in Web of Science")</f>
        <v>View Full Record in Web of Science</v>
      </c>
    </row>
    <row r="48" spans="1:72" x14ac:dyDescent="0.25">
      <c r="A48" t="s">
        <v>72</v>
      </c>
      <c r="B48" t="s">
        <v>589</v>
      </c>
      <c r="C48" t="s">
        <v>74</v>
      </c>
      <c r="D48" t="s">
        <v>74</v>
      </c>
      <c r="E48" t="s">
        <v>74</v>
      </c>
      <c r="F48" t="s">
        <v>590</v>
      </c>
      <c r="G48" t="s">
        <v>74</v>
      </c>
      <c r="H48" t="s">
        <v>74</v>
      </c>
      <c r="I48" t="s">
        <v>591</v>
      </c>
      <c r="J48" t="s">
        <v>449</v>
      </c>
      <c r="K48" t="s">
        <v>74</v>
      </c>
      <c r="L48" t="s">
        <v>74</v>
      </c>
      <c r="M48" t="s">
        <v>74</v>
      </c>
      <c r="N48" t="s">
        <v>74</v>
      </c>
      <c r="O48" t="s">
        <v>74</v>
      </c>
      <c r="P48" t="s">
        <v>74</v>
      </c>
      <c r="Q48" t="s">
        <v>74</v>
      </c>
      <c r="R48" t="s">
        <v>74</v>
      </c>
      <c r="S48" t="s">
        <v>74</v>
      </c>
      <c r="T48" t="s">
        <v>74</v>
      </c>
      <c r="U48" t="s">
        <v>74</v>
      </c>
      <c r="V48" t="s">
        <v>592</v>
      </c>
      <c r="W48" t="s">
        <v>74</v>
      </c>
      <c r="X48" t="s">
        <v>74</v>
      </c>
      <c r="Y48" t="s">
        <v>74</v>
      </c>
      <c r="Z48" t="s">
        <v>74</v>
      </c>
      <c r="AA48" t="s">
        <v>74</v>
      </c>
      <c r="AB48" t="s">
        <v>74</v>
      </c>
      <c r="AC48" t="s">
        <v>74</v>
      </c>
      <c r="AD48" t="s">
        <v>74</v>
      </c>
      <c r="AE48" t="s">
        <v>74</v>
      </c>
      <c r="AF48" t="s">
        <v>74</v>
      </c>
      <c r="AG48" t="s">
        <v>74</v>
      </c>
      <c r="AH48" t="s">
        <v>74</v>
      </c>
      <c r="AI48" t="s">
        <v>74</v>
      </c>
      <c r="AJ48" t="s">
        <v>74</v>
      </c>
      <c r="AK48" t="s">
        <v>74</v>
      </c>
      <c r="AL48" t="s">
        <v>74</v>
      </c>
      <c r="AM48" t="s">
        <v>74</v>
      </c>
      <c r="AN48" t="s">
        <v>74</v>
      </c>
      <c r="AO48" t="s">
        <v>74</v>
      </c>
      <c r="AP48" t="s">
        <v>453</v>
      </c>
      <c r="AQ48" t="s">
        <v>74</v>
      </c>
      <c r="AR48" t="s">
        <v>74</v>
      </c>
      <c r="AS48" t="s">
        <v>74</v>
      </c>
      <c r="AT48" t="s">
        <v>593</v>
      </c>
      <c r="AU48">
        <v>2022</v>
      </c>
      <c r="AV48">
        <v>12</v>
      </c>
      <c r="AW48" t="s">
        <v>74</v>
      </c>
      <c r="AX48" t="s">
        <v>74</v>
      </c>
      <c r="AY48" t="s">
        <v>74</v>
      </c>
      <c r="AZ48" t="s">
        <v>74</v>
      </c>
      <c r="BA48" t="s">
        <v>74</v>
      </c>
      <c r="BB48" t="s">
        <v>74</v>
      </c>
      <c r="BC48" t="s">
        <v>74</v>
      </c>
      <c r="BD48" t="s">
        <v>74</v>
      </c>
      <c r="BE48" t="s">
        <v>594</v>
      </c>
      <c r="BF48" t="str">
        <f>HYPERLINK("http://dx.doi.org/10.22967/HCIS.2022.12.042","http://dx.doi.org/10.22967/HCIS.2022.12.042")</f>
        <v>http://dx.doi.org/10.22967/HCIS.2022.12.042</v>
      </c>
      <c r="BG48" t="s">
        <v>74</v>
      </c>
      <c r="BH48" t="s">
        <v>74</v>
      </c>
      <c r="BI48" t="s">
        <v>74</v>
      </c>
      <c r="BJ48" t="s">
        <v>74</v>
      </c>
      <c r="BK48" t="s">
        <v>74</v>
      </c>
      <c r="BL48" t="s">
        <v>74</v>
      </c>
      <c r="BM48" t="s">
        <v>74</v>
      </c>
      <c r="BN48" t="s">
        <v>74</v>
      </c>
      <c r="BO48" t="s">
        <v>74</v>
      </c>
      <c r="BP48" t="s">
        <v>74</v>
      </c>
      <c r="BQ48" t="s">
        <v>74</v>
      </c>
      <c r="BR48" t="s">
        <v>74</v>
      </c>
      <c r="BS48" t="s">
        <v>595</v>
      </c>
      <c r="BT48" t="str">
        <f>HYPERLINK("https%3A%2F%2Fwww.webofscience.com%2Fwos%2Fwoscc%2Ffull-record%2FWOS:000854915200001","View Full Record in Web of Science")</f>
        <v>View Full Record in Web of Science</v>
      </c>
    </row>
    <row r="49" spans="1:72" x14ac:dyDescent="0.25">
      <c r="A49" t="s">
        <v>72</v>
      </c>
      <c r="B49" t="s">
        <v>428</v>
      </c>
      <c r="C49" t="s">
        <v>74</v>
      </c>
      <c r="D49" t="s">
        <v>74</v>
      </c>
      <c r="E49" t="s">
        <v>74</v>
      </c>
      <c r="F49" t="s">
        <v>429</v>
      </c>
      <c r="G49" t="s">
        <v>74</v>
      </c>
      <c r="H49" t="s">
        <v>74</v>
      </c>
      <c r="I49" t="s">
        <v>596</v>
      </c>
      <c r="J49" t="s">
        <v>305</v>
      </c>
      <c r="K49" t="s">
        <v>74</v>
      </c>
      <c r="L49" t="s">
        <v>74</v>
      </c>
      <c r="M49" t="s">
        <v>74</v>
      </c>
      <c r="N49" t="s">
        <v>74</v>
      </c>
      <c r="O49" t="s">
        <v>74</v>
      </c>
      <c r="P49" t="s">
        <v>74</v>
      </c>
      <c r="Q49" t="s">
        <v>74</v>
      </c>
      <c r="R49" t="s">
        <v>74</v>
      </c>
      <c r="S49" t="s">
        <v>74</v>
      </c>
      <c r="T49" t="s">
        <v>74</v>
      </c>
      <c r="U49" t="s">
        <v>74</v>
      </c>
      <c r="V49" t="s">
        <v>597</v>
      </c>
      <c r="W49" t="s">
        <v>74</v>
      </c>
      <c r="X49" t="s">
        <v>74</v>
      </c>
      <c r="Y49" t="s">
        <v>74</v>
      </c>
      <c r="Z49" t="s">
        <v>74</v>
      </c>
      <c r="AA49" t="s">
        <v>74</v>
      </c>
      <c r="AB49" t="s">
        <v>74</v>
      </c>
      <c r="AC49" t="s">
        <v>74</v>
      </c>
      <c r="AD49" t="s">
        <v>74</v>
      </c>
      <c r="AE49" t="s">
        <v>74</v>
      </c>
      <c r="AF49" t="s">
        <v>74</v>
      </c>
      <c r="AG49" t="s">
        <v>74</v>
      </c>
      <c r="AH49" t="s">
        <v>74</v>
      </c>
      <c r="AI49" t="s">
        <v>74</v>
      </c>
      <c r="AJ49" t="s">
        <v>74</v>
      </c>
      <c r="AK49" t="s">
        <v>74</v>
      </c>
      <c r="AL49" t="s">
        <v>74</v>
      </c>
      <c r="AM49" t="s">
        <v>74</v>
      </c>
      <c r="AN49" t="s">
        <v>74</v>
      </c>
      <c r="AO49" t="s">
        <v>307</v>
      </c>
      <c r="AP49" t="s">
        <v>308</v>
      </c>
      <c r="AQ49" t="s">
        <v>74</v>
      </c>
      <c r="AR49" t="s">
        <v>74</v>
      </c>
      <c r="AS49" t="s">
        <v>74</v>
      </c>
      <c r="AT49" t="s">
        <v>598</v>
      </c>
      <c r="AU49">
        <v>2022</v>
      </c>
      <c r="AV49">
        <v>24</v>
      </c>
      <c r="AW49">
        <v>4</v>
      </c>
      <c r="AX49" t="s">
        <v>74</v>
      </c>
      <c r="AY49" t="s">
        <v>74</v>
      </c>
      <c r="AZ49" t="s">
        <v>74</v>
      </c>
      <c r="BA49" t="s">
        <v>74</v>
      </c>
      <c r="BB49">
        <v>66</v>
      </c>
      <c r="BC49">
        <v>69</v>
      </c>
      <c r="BD49" t="s">
        <v>74</v>
      </c>
      <c r="BE49" t="s">
        <v>599</v>
      </c>
      <c r="BF49" t="str">
        <f>HYPERLINK("http://dx.doi.org/10.1109/MITP.2022.3174744","http://dx.doi.org/10.1109/MITP.2022.3174744")</f>
        <v>http://dx.doi.org/10.1109/MITP.2022.3174744</v>
      </c>
      <c r="BG49" t="s">
        <v>74</v>
      </c>
      <c r="BH49" t="s">
        <v>74</v>
      </c>
      <c r="BI49" t="s">
        <v>74</v>
      </c>
      <c r="BJ49" t="s">
        <v>74</v>
      </c>
      <c r="BK49" t="s">
        <v>74</v>
      </c>
      <c r="BL49" t="s">
        <v>74</v>
      </c>
      <c r="BM49" t="s">
        <v>74</v>
      </c>
      <c r="BN49" t="s">
        <v>74</v>
      </c>
      <c r="BO49" t="s">
        <v>74</v>
      </c>
      <c r="BP49" t="s">
        <v>74</v>
      </c>
      <c r="BQ49" t="s">
        <v>74</v>
      </c>
      <c r="BR49" t="s">
        <v>74</v>
      </c>
      <c r="BS49" t="s">
        <v>600</v>
      </c>
      <c r="BT49" t="str">
        <f>HYPERLINK("https%3A%2F%2Fwww.webofscience.com%2Fwos%2Fwoscc%2Ffull-record%2FWOS:000856113700010","View Full Record in Web of Science")</f>
        <v>View Full Record in Web of Science</v>
      </c>
    </row>
    <row r="50" spans="1:72" x14ac:dyDescent="0.25">
      <c r="A50" t="s">
        <v>72</v>
      </c>
      <c r="B50" t="s">
        <v>601</v>
      </c>
      <c r="C50" t="s">
        <v>74</v>
      </c>
      <c r="D50" t="s">
        <v>74</v>
      </c>
      <c r="E50" t="s">
        <v>74</v>
      </c>
      <c r="F50" t="s">
        <v>602</v>
      </c>
      <c r="G50" t="s">
        <v>74</v>
      </c>
      <c r="H50" t="s">
        <v>74</v>
      </c>
      <c r="I50" t="s">
        <v>603</v>
      </c>
      <c r="J50" t="s">
        <v>604</v>
      </c>
      <c r="K50" t="s">
        <v>74</v>
      </c>
      <c r="L50" t="s">
        <v>74</v>
      </c>
      <c r="M50" t="s">
        <v>74</v>
      </c>
      <c r="N50" t="s">
        <v>74</v>
      </c>
      <c r="O50" t="s">
        <v>74</v>
      </c>
      <c r="P50" t="s">
        <v>74</v>
      </c>
      <c r="Q50" t="s">
        <v>74</v>
      </c>
      <c r="R50" t="s">
        <v>74</v>
      </c>
      <c r="S50" t="s">
        <v>74</v>
      </c>
      <c r="T50" t="s">
        <v>74</v>
      </c>
      <c r="U50" t="s">
        <v>74</v>
      </c>
      <c r="V50" t="s">
        <v>605</v>
      </c>
      <c r="W50" t="s">
        <v>74</v>
      </c>
      <c r="X50" t="s">
        <v>74</v>
      </c>
      <c r="Y50" t="s">
        <v>74</v>
      </c>
      <c r="Z50" t="s">
        <v>74</v>
      </c>
      <c r="AA50" t="s">
        <v>606</v>
      </c>
      <c r="AB50" t="s">
        <v>607</v>
      </c>
      <c r="AC50" t="s">
        <v>74</v>
      </c>
      <c r="AD50" t="s">
        <v>74</v>
      </c>
      <c r="AE50" t="s">
        <v>74</v>
      </c>
      <c r="AF50" t="s">
        <v>74</v>
      </c>
      <c r="AG50" t="s">
        <v>74</v>
      </c>
      <c r="AH50" t="s">
        <v>74</v>
      </c>
      <c r="AI50" t="s">
        <v>74</v>
      </c>
      <c r="AJ50" t="s">
        <v>74</v>
      </c>
      <c r="AK50" t="s">
        <v>74</v>
      </c>
      <c r="AL50" t="s">
        <v>74</v>
      </c>
      <c r="AM50" t="s">
        <v>74</v>
      </c>
      <c r="AN50" t="s">
        <v>74</v>
      </c>
      <c r="AO50" t="s">
        <v>608</v>
      </c>
      <c r="AP50" t="s">
        <v>609</v>
      </c>
      <c r="AQ50" t="s">
        <v>74</v>
      </c>
      <c r="AR50" t="s">
        <v>74</v>
      </c>
      <c r="AS50" t="s">
        <v>74</v>
      </c>
      <c r="AT50" t="s">
        <v>74</v>
      </c>
      <c r="AU50" t="s">
        <v>74</v>
      </c>
      <c r="AV50" t="s">
        <v>74</v>
      </c>
      <c r="AW50" t="s">
        <v>74</v>
      </c>
      <c r="AX50" t="s">
        <v>74</v>
      </c>
      <c r="AY50" t="s">
        <v>74</v>
      </c>
      <c r="AZ50" t="s">
        <v>74</v>
      </c>
      <c r="BA50" t="s">
        <v>74</v>
      </c>
      <c r="BB50" t="s">
        <v>74</v>
      </c>
      <c r="BC50" t="s">
        <v>74</v>
      </c>
      <c r="BD50" t="s">
        <v>74</v>
      </c>
      <c r="BE50" t="s">
        <v>610</v>
      </c>
      <c r="BF50" t="str">
        <f>HYPERLINK("http://dx.doi.org/10.1039/d3ee00081h","http://dx.doi.org/10.1039/d3ee00081h")</f>
        <v>http://dx.doi.org/10.1039/d3ee00081h</v>
      </c>
      <c r="BG50" t="s">
        <v>74</v>
      </c>
      <c r="BH50" t="s">
        <v>611</v>
      </c>
      <c r="BI50" t="s">
        <v>74</v>
      </c>
      <c r="BJ50" t="s">
        <v>74</v>
      </c>
      <c r="BK50" t="s">
        <v>74</v>
      </c>
      <c r="BL50" t="s">
        <v>74</v>
      </c>
      <c r="BM50" t="s">
        <v>74</v>
      </c>
      <c r="BN50" t="s">
        <v>74</v>
      </c>
      <c r="BO50" t="s">
        <v>74</v>
      </c>
      <c r="BP50" t="s">
        <v>74</v>
      </c>
      <c r="BQ50" t="s">
        <v>74</v>
      </c>
      <c r="BR50" t="s">
        <v>74</v>
      </c>
      <c r="BS50" t="s">
        <v>612</v>
      </c>
      <c r="BT50" t="str">
        <f>HYPERLINK("https%3A%2F%2Fwww.webofscience.com%2Fwos%2Fwoscc%2Ffull-record%2FWOS:000980176300001","View Full Record in Web of Science")</f>
        <v>View Full Record in Web of Science</v>
      </c>
    </row>
    <row r="51" spans="1:72" x14ac:dyDescent="0.25">
      <c r="A51" t="s">
        <v>72</v>
      </c>
      <c r="B51" t="s">
        <v>613</v>
      </c>
      <c r="C51" t="s">
        <v>74</v>
      </c>
      <c r="D51" t="s">
        <v>74</v>
      </c>
      <c r="E51" t="s">
        <v>74</v>
      </c>
      <c r="F51" t="s">
        <v>614</v>
      </c>
      <c r="G51" t="s">
        <v>74</v>
      </c>
      <c r="H51" t="s">
        <v>74</v>
      </c>
      <c r="I51" t="s">
        <v>615</v>
      </c>
      <c r="J51" t="s">
        <v>616</v>
      </c>
      <c r="K51" t="s">
        <v>74</v>
      </c>
      <c r="L51" t="s">
        <v>74</v>
      </c>
      <c r="M51" t="s">
        <v>74</v>
      </c>
      <c r="N51" t="s">
        <v>74</v>
      </c>
      <c r="O51" t="s">
        <v>74</v>
      </c>
      <c r="P51" t="s">
        <v>74</v>
      </c>
      <c r="Q51" t="s">
        <v>74</v>
      </c>
      <c r="R51" t="s">
        <v>74</v>
      </c>
      <c r="S51" t="s">
        <v>74</v>
      </c>
      <c r="T51" t="s">
        <v>74</v>
      </c>
      <c r="U51" t="s">
        <v>74</v>
      </c>
      <c r="V51" t="s">
        <v>617</v>
      </c>
      <c r="W51" t="s">
        <v>74</v>
      </c>
      <c r="X51" t="s">
        <v>74</v>
      </c>
      <c r="Y51" t="s">
        <v>74</v>
      </c>
      <c r="Z51" t="s">
        <v>74</v>
      </c>
      <c r="AA51" t="s">
        <v>618</v>
      </c>
      <c r="AB51" t="s">
        <v>74</v>
      </c>
      <c r="AC51" t="s">
        <v>74</v>
      </c>
      <c r="AD51" t="s">
        <v>74</v>
      </c>
      <c r="AE51" t="s">
        <v>74</v>
      </c>
      <c r="AF51" t="s">
        <v>74</v>
      </c>
      <c r="AG51" t="s">
        <v>74</v>
      </c>
      <c r="AH51" t="s">
        <v>74</v>
      </c>
      <c r="AI51" t="s">
        <v>74</v>
      </c>
      <c r="AJ51" t="s">
        <v>74</v>
      </c>
      <c r="AK51" t="s">
        <v>74</v>
      </c>
      <c r="AL51" t="s">
        <v>74</v>
      </c>
      <c r="AM51" t="s">
        <v>74</v>
      </c>
      <c r="AN51" t="s">
        <v>74</v>
      </c>
      <c r="AO51" t="s">
        <v>619</v>
      </c>
      <c r="AP51" t="s">
        <v>620</v>
      </c>
      <c r="AQ51" t="s">
        <v>74</v>
      </c>
      <c r="AR51" t="s">
        <v>74</v>
      </c>
      <c r="AS51" t="s">
        <v>74</v>
      </c>
      <c r="AT51" t="s">
        <v>366</v>
      </c>
      <c r="AU51">
        <v>2023</v>
      </c>
      <c r="AV51">
        <v>140</v>
      </c>
      <c r="AW51" t="s">
        <v>74</v>
      </c>
      <c r="AX51" t="s">
        <v>74</v>
      </c>
      <c r="AY51" t="s">
        <v>74</v>
      </c>
      <c r="AZ51" t="s">
        <v>74</v>
      </c>
      <c r="BA51" t="s">
        <v>74</v>
      </c>
      <c r="BB51">
        <v>299</v>
      </c>
      <c r="BC51">
        <v>310</v>
      </c>
      <c r="BD51" t="s">
        <v>74</v>
      </c>
      <c r="BE51" t="s">
        <v>621</v>
      </c>
      <c r="BF51" t="str">
        <f>HYPERLINK("http://dx.doi.org/10.1016/j.future.2022.10.031","http://dx.doi.org/10.1016/j.future.2022.10.031")</f>
        <v>http://dx.doi.org/10.1016/j.future.2022.10.031</v>
      </c>
      <c r="BG51" t="s">
        <v>74</v>
      </c>
      <c r="BH51" t="s">
        <v>74</v>
      </c>
      <c r="BI51" t="s">
        <v>74</v>
      </c>
      <c r="BJ51" t="s">
        <v>74</v>
      </c>
      <c r="BK51" t="s">
        <v>74</v>
      </c>
      <c r="BL51" t="s">
        <v>74</v>
      </c>
      <c r="BM51" t="s">
        <v>74</v>
      </c>
      <c r="BN51" t="s">
        <v>74</v>
      </c>
      <c r="BO51" t="s">
        <v>74</v>
      </c>
      <c r="BP51" t="s">
        <v>74</v>
      </c>
      <c r="BQ51" t="s">
        <v>74</v>
      </c>
      <c r="BR51" t="s">
        <v>74</v>
      </c>
      <c r="BS51" t="s">
        <v>622</v>
      </c>
      <c r="BT51" t="str">
        <f>HYPERLINK("https%3A%2F%2Fwww.webofscience.com%2Fwos%2Fwoscc%2Ffull-record%2FWOS:000935574100014","View Full Record in Web of Science")</f>
        <v>View Full Record in Web of Science</v>
      </c>
    </row>
    <row r="52" spans="1:72" x14ac:dyDescent="0.25">
      <c r="A52" t="s">
        <v>72</v>
      </c>
      <c r="B52" t="s">
        <v>623</v>
      </c>
      <c r="C52" t="s">
        <v>74</v>
      </c>
      <c r="D52" t="s">
        <v>74</v>
      </c>
      <c r="E52" t="s">
        <v>74</v>
      </c>
      <c r="F52" t="s">
        <v>624</v>
      </c>
      <c r="G52" t="s">
        <v>74</v>
      </c>
      <c r="H52" t="s">
        <v>74</v>
      </c>
      <c r="I52" t="s">
        <v>625</v>
      </c>
      <c r="J52" t="s">
        <v>460</v>
      </c>
      <c r="K52" t="s">
        <v>74</v>
      </c>
      <c r="L52" t="s">
        <v>74</v>
      </c>
      <c r="M52" t="s">
        <v>74</v>
      </c>
      <c r="N52" t="s">
        <v>74</v>
      </c>
      <c r="O52" t="s">
        <v>74</v>
      </c>
      <c r="P52" t="s">
        <v>74</v>
      </c>
      <c r="Q52" t="s">
        <v>74</v>
      </c>
      <c r="R52" t="s">
        <v>74</v>
      </c>
      <c r="S52" t="s">
        <v>74</v>
      </c>
      <c r="T52" t="s">
        <v>74</v>
      </c>
      <c r="U52" t="s">
        <v>74</v>
      </c>
      <c r="V52" t="s">
        <v>626</v>
      </c>
      <c r="W52" t="s">
        <v>74</v>
      </c>
      <c r="X52" t="s">
        <v>74</v>
      </c>
      <c r="Y52" t="s">
        <v>74</v>
      </c>
      <c r="Z52" t="s">
        <v>74</v>
      </c>
      <c r="AA52" t="s">
        <v>74</v>
      </c>
      <c r="AB52" t="s">
        <v>74</v>
      </c>
      <c r="AC52" t="s">
        <v>74</v>
      </c>
      <c r="AD52" t="s">
        <v>74</v>
      </c>
      <c r="AE52" t="s">
        <v>74</v>
      </c>
      <c r="AF52" t="s">
        <v>74</v>
      </c>
      <c r="AG52" t="s">
        <v>74</v>
      </c>
      <c r="AH52" t="s">
        <v>74</v>
      </c>
      <c r="AI52" t="s">
        <v>74</v>
      </c>
      <c r="AJ52" t="s">
        <v>74</v>
      </c>
      <c r="AK52" t="s">
        <v>74</v>
      </c>
      <c r="AL52" t="s">
        <v>74</v>
      </c>
      <c r="AM52" t="s">
        <v>74</v>
      </c>
      <c r="AN52" t="s">
        <v>74</v>
      </c>
      <c r="AO52" t="s">
        <v>74</v>
      </c>
      <c r="AP52" t="s">
        <v>464</v>
      </c>
      <c r="AQ52" t="s">
        <v>74</v>
      </c>
      <c r="AR52" t="s">
        <v>74</v>
      </c>
      <c r="AS52" t="s">
        <v>74</v>
      </c>
      <c r="AT52" t="s">
        <v>435</v>
      </c>
      <c r="AU52">
        <v>2023</v>
      </c>
      <c r="AV52">
        <v>15</v>
      </c>
      <c r="AW52">
        <v>4</v>
      </c>
      <c r="AX52" t="s">
        <v>74</v>
      </c>
      <c r="AY52" t="s">
        <v>74</v>
      </c>
      <c r="AZ52" t="s">
        <v>74</v>
      </c>
      <c r="BA52" t="s">
        <v>74</v>
      </c>
      <c r="BB52" t="s">
        <v>74</v>
      </c>
      <c r="BC52" t="s">
        <v>74</v>
      </c>
      <c r="BD52">
        <v>3541</v>
      </c>
      <c r="BE52" t="s">
        <v>627</v>
      </c>
      <c r="BF52" t="str">
        <f>HYPERLINK("http://dx.doi.org/10.3390/su15043541","http://dx.doi.org/10.3390/su15043541")</f>
        <v>http://dx.doi.org/10.3390/su15043541</v>
      </c>
      <c r="BG52" t="s">
        <v>74</v>
      </c>
      <c r="BH52" t="s">
        <v>74</v>
      </c>
      <c r="BI52" t="s">
        <v>74</v>
      </c>
      <c r="BJ52" t="s">
        <v>74</v>
      </c>
      <c r="BK52" t="s">
        <v>74</v>
      </c>
      <c r="BL52" t="s">
        <v>74</v>
      </c>
      <c r="BM52" t="s">
        <v>74</v>
      </c>
      <c r="BN52" t="s">
        <v>74</v>
      </c>
      <c r="BO52" t="s">
        <v>74</v>
      </c>
      <c r="BP52" t="s">
        <v>74</v>
      </c>
      <c r="BQ52" t="s">
        <v>74</v>
      </c>
      <c r="BR52" t="s">
        <v>74</v>
      </c>
      <c r="BS52" t="s">
        <v>628</v>
      </c>
      <c r="BT52" t="str">
        <f>HYPERLINK("https%3A%2F%2Fwww.webofscience.com%2Fwos%2Fwoscc%2Ffull-record%2FWOS:000942105800001","View Full Record in Web of Science")</f>
        <v>View Full Record in Web of Science</v>
      </c>
    </row>
    <row r="53" spans="1:72" x14ac:dyDescent="0.25">
      <c r="A53" t="s">
        <v>72</v>
      </c>
      <c r="B53" t="s">
        <v>629</v>
      </c>
      <c r="C53" t="s">
        <v>74</v>
      </c>
      <c r="D53" t="s">
        <v>74</v>
      </c>
      <c r="E53" t="s">
        <v>74</v>
      </c>
      <c r="F53" t="s">
        <v>630</v>
      </c>
      <c r="G53" t="s">
        <v>74</v>
      </c>
      <c r="H53" t="s">
        <v>74</v>
      </c>
      <c r="I53" t="s">
        <v>631</v>
      </c>
      <c r="J53" t="s">
        <v>632</v>
      </c>
      <c r="K53" t="s">
        <v>74</v>
      </c>
      <c r="L53" t="s">
        <v>74</v>
      </c>
      <c r="M53" t="s">
        <v>74</v>
      </c>
      <c r="N53" t="s">
        <v>74</v>
      </c>
      <c r="O53" t="s">
        <v>74</v>
      </c>
      <c r="P53" t="s">
        <v>74</v>
      </c>
      <c r="Q53" t="s">
        <v>74</v>
      </c>
      <c r="R53" t="s">
        <v>74</v>
      </c>
      <c r="S53" t="s">
        <v>74</v>
      </c>
      <c r="T53" t="s">
        <v>74</v>
      </c>
      <c r="U53" t="s">
        <v>74</v>
      </c>
      <c r="V53" t="s">
        <v>633</v>
      </c>
      <c r="W53" t="s">
        <v>74</v>
      </c>
      <c r="X53" t="s">
        <v>74</v>
      </c>
      <c r="Y53" t="s">
        <v>74</v>
      </c>
      <c r="Z53" t="s">
        <v>74</v>
      </c>
      <c r="AA53" t="s">
        <v>74</v>
      </c>
      <c r="AB53" t="s">
        <v>634</v>
      </c>
      <c r="AC53" t="s">
        <v>74</v>
      </c>
      <c r="AD53" t="s">
        <v>74</v>
      </c>
      <c r="AE53" t="s">
        <v>74</v>
      </c>
      <c r="AF53" t="s">
        <v>74</v>
      </c>
      <c r="AG53" t="s">
        <v>74</v>
      </c>
      <c r="AH53" t="s">
        <v>74</v>
      </c>
      <c r="AI53" t="s">
        <v>74</v>
      </c>
      <c r="AJ53" t="s">
        <v>74</v>
      </c>
      <c r="AK53" t="s">
        <v>74</v>
      </c>
      <c r="AL53" t="s">
        <v>74</v>
      </c>
      <c r="AM53" t="s">
        <v>74</v>
      </c>
      <c r="AN53" t="s">
        <v>74</v>
      </c>
      <c r="AO53" t="s">
        <v>635</v>
      </c>
      <c r="AP53" t="s">
        <v>636</v>
      </c>
      <c r="AQ53" t="s">
        <v>74</v>
      </c>
      <c r="AR53" t="s">
        <v>74</v>
      </c>
      <c r="AS53" t="s">
        <v>74</v>
      </c>
      <c r="AT53" t="s">
        <v>74</v>
      </c>
      <c r="AU53" t="s">
        <v>74</v>
      </c>
      <c r="AV53" t="s">
        <v>74</v>
      </c>
      <c r="AW53" t="s">
        <v>74</v>
      </c>
      <c r="AX53" t="s">
        <v>74</v>
      </c>
      <c r="AY53" t="s">
        <v>74</v>
      </c>
      <c r="AZ53" t="s">
        <v>74</v>
      </c>
      <c r="BA53" t="s">
        <v>74</v>
      </c>
      <c r="BB53" t="s">
        <v>74</v>
      </c>
      <c r="BC53" t="s">
        <v>74</v>
      </c>
      <c r="BD53" t="s">
        <v>74</v>
      </c>
      <c r="BE53" t="s">
        <v>637</v>
      </c>
      <c r="BF53" t="str">
        <f>HYPERLINK("http://dx.doi.org/10.1002/cav.2150","http://dx.doi.org/10.1002/cav.2150")</f>
        <v>http://dx.doi.org/10.1002/cav.2150</v>
      </c>
      <c r="BG53" t="s">
        <v>74</v>
      </c>
      <c r="BH53" t="s">
        <v>401</v>
      </c>
      <c r="BI53" t="s">
        <v>74</v>
      </c>
      <c r="BJ53" t="s">
        <v>74</v>
      </c>
      <c r="BK53" t="s">
        <v>74</v>
      </c>
      <c r="BL53" t="s">
        <v>74</v>
      </c>
      <c r="BM53" t="s">
        <v>74</v>
      </c>
      <c r="BN53" t="s">
        <v>74</v>
      </c>
      <c r="BO53" t="s">
        <v>74</v>
      </c>
      <c r="BP53" t="s">
        <v>74</v>
      </c>
      <c r="BQ53" t="s">
        <v>74</v>
      </c>
      <c r="BR53" t="s">
        <v>74</v>
      </c>
      <c r="BS53" t="s">
        <v>638</v>
      </c>
      <c r="BT53" t="str">
        <f>HYPERLINK("https%3A%2F%2Fwww.webofscience.com%2Fwos%2Fwoscc%2Ffull-record%2FWOS:000941930600001","View Full Record in Web of Science")</f>
        <v>View Full Record in Web of Science</v>
      </c>
    </row>
    <row r="54" spans="1:72" x14ac:dyDescent="0.25">
      <c r="A54" t="s">
        <v>72</v>
      </c>
      <c r="B54" t="s">
        <v>639</v>
      </c>
      <c r="C54" t="s">
        <v>74</v>
      </c>
      <c r="D54" t="s">
        <v>74</v>
      </c>
      <c r="E54" t="s">
        <v>74</v>
      </c>
      <c r="F54" t="s">
        <v>640</v>
      </c>
      <c r="G54" t="s">
        <v>74</v>
      </c>
      <c r="H54" t="s">
        <v>74</v>
      </c>
      <c r="I54" t="s">
        <v>641</v>
      </c>
      <c r="J54" t="s">
        <v>642</v>
      </c>
      <c r="K54" t="s">
        <v>74</v>
      </c>
      <c r="L54" t="s">
        <v>74</v>
      </c>
      <c r="M54" t="s">
        <v>74</v>
      </c>
      <c r="N54" t="s">
        <v>74</v>
      </c>
      <c r="O54" t="s">
        <v>74</v>
      </c>
      <c r="P54" t="s">
        <v>74</v>
      </c>
      <c r="Q54" t="s">
        <v>74</v>
      </c>
      <c r="R54" t="s">
        <v>74</v>
      </c>
      <c r="S54" t="s">
        <v>74</v>
      </c>
      <c r="T54" t="s">
        <v>74</v>
      </c>
      <c r="U54" t="s">
        <v>74</v>
      </c>
      <c r="V54" t="s">
        <v>643</v>
      </c>
      <c r="W54" t="s">
        <v>74</v>
      </c>
      <c r="X54" t="s">
        <v>74</v>
      </c>
      <c r="Y54" t="s">
        <v>74</v>
      </c>
      <c r="Z54" t="s">
        <v>74</v>
      </c>
      <c r="AA54" t="s">
        <v>644</v>
      </c>
      <c r="AB54" t="s">
        <v>645</v>
      </c>
      <c r="AC54" t="s">
        <v>74</v>
      </c>
      <c r="AD54" t="s">
        <v>74</v>
      </c>
      <c r="AE54" t="s">
        <v>74</v>
      </c>
      <c r="AF54" t="s">
        <v>74</v>
      </c>
      <c r="AG54" t="s">
        <v>74</v>
      </c>
      <c r="AH54" t="s">
        <v>74</v>
      </c>
      <c r="AI54" t="s">
        <v>74</v>
      </c>
      <c r="AJ54" t="s">
        <v>74</v>
      </c>
      <c r="AK54" t="s">
        <v>74</v>
      </c>
      <c r="AL54" t="s">
        <v>74</v>
      </c>
      <c r="AM54" t="s">
        <v>74</v>
      </c>
      <c r="AN54" t="s">
        <v>74</v>
      </c>
      <c r="AO54" t="s">
        <v>646</v>
      </c>
      <c r="AP54" t="s">
        <v>647</v>
      </c>
      <c r="AQ54" t="s">
        <v>74</v>
      </c>
      <c r="AR54" t="s">
        <v>74</v>
      </c>
      <c r="AS54" t="s">
        <v>74</v>
      </c>
      <c r="AT54" t="s">
        <v>309</v>
      </c>
      <c r="AU54">
        <v>2022</v>
      </c>
      <c r="AV54">
        <v>26</v>
      </c>
      <c r="AW54">
        <v>6</v>
      </c>
      <c r="AX54" t="s">
        <v>74</v>
      </c>
      <c r="AY54" t="s">
        <v>74</v>
      </c>
      <c r="AZ54" t="s">
        <v>74</v>
      </c>
      <c r="BA54" t="s">
        <v>74</v>
      </c>
      <c r="BB54">
        <v>59</v>
      </c>
      <c r="BC54">
        <v>67</v>
      </c>
      <c r="BD54" t="s">
        <v>74</v>
      </c>
      <c r="BE54" t="s">
        <v>648</v>
      </c>
      <c r="BF54" t="str">
        <f>HYPERLINK("http://dx.doi.org/10.1109/MIC.2022.3212085","http://dx.doi.org/10.1109/MIC.2022.3212085")</f>
        <v>http://dx.doi.org/10.1109/MIC.2022.3212085</v>
      </c>
      <c r="BG54" t="s">
        <v>74</v>
      </c>
      <c r="BH54" t="s">
        <v>74</v>
      </c>
      <c r="BI54" t="s">
        <v>74</v>
      </c>
      <c r="BJ54" t="s">
        <v>74</v>
      </c>
      <c r="BK54" t="s">
        <v>74</v>
      </c>
      <c r="BL54" t="s">
        <v>74</v>
      </c>
      <c r="BM54" t="s">
        <v>74</v>
      </c>
      <c r="BN54" t="s">
        <v>74</v>
      </c>
      <c r="BO54" t="s">
        <v>74</v>
      </c>
      <c r="BP54" t="s">
        <v>74</v>
      </c>
      <c r="BQ54" t="s">
        <v>74</v>
      </c>
      <c r="BR54" t="s">
        <v>74</v>
      </c>
      <c r="BS54" t="s">
        <v>649</v>
      </c>
      <c r="BT54" t="str">
        <f>HYPERLINK("https%3A%2F%2Fwww.webofscience.com%2Fwos%2Fwoscc%2Ffull-record%2FWOS:000917730600008","View Full Record in Web of Science")</f>
        <v>View Full Record in Web of Science</v>
      </c>
    </row>
    <row r="55" spans="1:72" x14ac:dyDescent="0.25">
      <c r="A55" t="s">
        <v>72</v>
      </c>
      <c r="B55" t="s">
        <v>650</v>
      </c>
      <c r="C55" t="s">
        <v>74</v>
      </c>
      <c r="D55" t="s">
        <v>74</v>
      </c>
      <c r="E55" t="s">
        <v>74</v>
      </c>
      <c r="F55" t="s">
        <v>651</v>
      </c>
      <c r="G55" t="s">
        <v>74</v>
      </c>
      <c r="H55" t="s">
        <v>74</v>
      </c>
      <c r="I55" t="s">
        <v>652</v>
      </c>
      <c r="J55" t="s">
        <v>653</v>
      </c>
      <c r="K55" t="s">
        <v>74</v>
      </c>
      <c r="L55" t="s">
        <v>74</v>
      </c>
      <c r="M55" t="s">
        <v>74</v>
      </c>
      <c r="N55" t="s">
        <v>74</v>
      </c>
      <c r="O55" t="s">
        <v>74</v>
      </c>
      <c r="P55" t="s">
        <v>74</v>
      </c>
      <c r="Q55" t="s">
        <v>74</v>
      </c>
      <c r="R55" t="s">
        <v>74</v>
      </c>
      <c r="S55" t="s">
        <v>74</v>
      </c>
      <c r="T55" t="s">
        <v>74</v>
      </c>
      <c r="U55" t="s">
        <v>74</v>
      </c>
      <c r="V55" t="s">
        <v>654</v>
      </c>
      <c r="W55" t="s">
        <v>74</v>
      </c>
      <c r="X55" t="s">
        <v>74</v>
      </c>
      <c r="Y55" t="s">
        <v>74</v>
      </c>
      <c r="Z55" t="s">
        <v>74</v>
      </c>
      <c r="AA55" t="s">
        <v>655</v>
      </c>
      <c r="AB55" t="s">
        <v>656</v>
      </c>
      <c r="AC55" t="s">
        <v>74</v>
      </c>
      <c r="AD55" t="s">
        <v>74</v>
      </c>
      <c r="AE55" t="s">
        <v>74</v>
      </c>
      <c r="AF55" t="s">
        <v>74</v>
      </c>
      <c r="AG55" t="s">
        <v>74</v>
      </c>
      <c r="AH55" t="s">
        <v>74</v>
      </c>
      <c r="AI55" t="s">
        <v>74</v>
      </c>
      <c r="AJ55" t="s">
        <v>74</v>
      </c>
      <c r="AK55" t="s">
        <v>74</v>
      </c>
      <c r="AL55" t="s">
        <v>74</v>
      </c>
      <c r="AM55" t="s">
        <v>74</v>
      </c>
      <c r="AN55" t="s">
        <v>74</v>
      </c>
      <c r="AO55" t="s">
        <v>657</v>
      </c>
      <c r="AP55" t="s">
        <v>658</v>
      </c>
      <c r="AQ55" t="s">
        <v>74</v>
      </c>
      <c r="AR55" t="s">
        <v>74</v>
      </c>
      <c r="AS55" t="s">
        <v>74</v>
      </c>
      <c r="AT55" t="s">
        <v>74</v>
      </c>
      <c r="AU55" t="s">
        <v>74</v>
      </c>
      <c r="AV55" t="s">
        <v>74</v>
      </c>
      <c r="AW55" t="s">
        <v>74</v>
      </c>
      <c r="AX55" t="s">
        <v>74</v>
      </c>
      <c r="AY55" t="s">
        <v>74</v>
      </c>
      <c r="AZ55" t="s">
        <v>74</v>
      </c>
      <c r="BA55" t="s">
        <v>74</v>
      </c>
      <c r="BB55" t="s">
        <v>74</v>
      </c>
      <c r="BC55" t="s">
        <v>74</v>
      </c>
      <c r="BD55" t="s">
        <v>74</v>
      </c>
      <c r="BE55" t="s">
        <v>659</v>
      </c>
      <c r="BF55" t="str">
        <f>HYPERLINK("http://dx.doi.org/10.1080/10447318.2023.2184594","http://dx.doi.org/10.1080/10447318.2023.2184594")</f>
        <v>http://dx.doi.org/10.1080/10447318.2023.2184594</v>
      </c>
      <c r="BG55" t="s">
        <v>74</v>
      </c>
      <c r="BH55" t="s">
        <v>401</v>
      </c>
      <c r="BI55" t="s">
        <v>74</v>
      </c>
      <c r="BJ55" t="s">
        <v>74</v>
      </c>
      <c r="BK55" t="s">
        <v>74</v>
      </c>
      <c r="BL55" t="s">
        <v>74</v>
      </c>
      <c r="BM55" t="s">
        <v>74</v>
      </c>
      <c r="BN55" t="s">
        <v>74</v>
      </c>
      <c r="BO55" t="s">
        <v>74</v>
      </c>
      <c r="BP55" t="s">
        <v>74</v>
      </c>
      <c r="BQ55" t="s">
        <v>74</v>
      </c>
      <c r="BR55" t="s">
        <v>74</v>
      </c>
      <c r="BS55" t="s">
        <v>660</v>
      </c>
      <c r="BT55" t="str">
        <f>HYPERLINK("https%3A%2F%2Fwww.webofscience.com%2Fwos%2Fwoscc%2Ffull-record%2FWOS:000946611500001","View Full Record in Web of Science")</f>
        <v>View Full Record in Web of Science</v>
      </c>
    </row>
    <row r="56" spans="1:72" x14ac:dyDescent="0.25">
      <c r="A56" t="s">
        <v>72</v>
      </c>
      <c r="B56" t="s">
        <v>661</v>
      </c>
      <c r="C56" t="s">
        <v>74</v>
      </c>
      <c r="D56" t="s">
        <v>74</v>
      </c>
      <c r="E56" t="s">
        <v>74</v>
      </c>
      <c r="F56" t="s">
        <v>662</v>
      </c>
      <c r="G56" t="s">
        <v>74</v>
      </c>
      <c r="H56" t="s">
        <v>74</v>
      </c>
      <c r="I56" t="s">
        <v>663</v>
      </c>
      <c r="J56" t="s">
        <v>460</v>
      </c>
      <c r="K56" t="s">
        <v>74</v>
      </c>
      <c r="L56" t="s">
        <v>74</v>
      </c>
      <c r="M56" t="s">
        <v>74</v>
      </c>
      <c r="N56" t="s">
        <v>74</v>
      </c>
      <c r="O56" t="s">
        <v>74</v>
      </c>
      <c r="P56" t="s">
        <v>74</v>
      </c>
      <c r="Q56" t="s">
        <v>74</v>
      </c>
      <c r="R56" t="s">
        <v>74</v>
      </c>
      <c r="S56" t="s">
        <v>74</v>
      </c>
      <c r="T56" t="s">
        <v>74</v>
      </c>
      <c r="U56" t="s">
        <v>74</v>
      </c>
      <c r="V56" t="s">
        <v>664</v>
      </c>
      <c r="W56" t="s">
        <v>74</v>
      </c>
      <c r="X56" t="s">
        <v>74</v>
      </c>
      <c r="Y56" t="s">
        <v>74</v>
      </c>
      <c r="Z56" t="s">
        <v>74</v>
      </c>
      <c r="AA56" t="s">
        <v>74</v>
      </c>
      <c r="AB56" t="s">
        <v>74</v>
      </c>
      <c r="AC56" t="s">
        <v>74</v>
      </c>
      <c r="AD56" t="s">
        <v>74</v>
      </c>
      <c r="AE56" t="s">
        <v>74</v>
      </c>
      <c r="AF56" t="s">
        <v>74</v>
      </c>
      <c r="AG56" t="s">
        <v>74</v>
      </c>
      <c r="AH56" t="s">
        <v>74</v>
      </c>
      <c r="AI56" t="s">
        <v>74</v>
      </c>
      <c r="AJ56" t="s">
        <v>74</v>
      </c>
      <c r="AK56" t="s">
        <v>74</v>
      </c>
      <c r="AL56" t="s">
        <v>74</v>
      </c>
      <c r="AM56" t="s">
        <v>74</v>
      </c>
      <c r="AN56" t="s">
        <v>74</v>
      </c>
      <c r="AO56" t="s">
        <v>74</v>
      </c>
      <c r="AP56" t="s">
        <v>464</v>
      </c>
      <c r="AQ56" t="s">
        <v>74</v>
      </c>
      <c r="AR56" t="s">
        <v>74</v>
      </c>
      <c r="AS56" t="s">
        <v>74</v>
      </c>
      <c r="AT56" t="s">
        <v>435</v>
      </c>
      <c r="AU56">
        <v>2022</v>
      </c>
      <c r="AV56">
        <v>14</v>
      </c>
      <c r="AW56">
        <v>3</v>
      </c>
      <c r="AX56" t="s">
        <v>74</v>
      </c>
      <c r="AY56" t="s">
        <v>74</v>
      </c>
      <c r="AZ56" t="s">
        <v>74</v>
      </c>
      <c r="BA56" t="s">
        <v>74</v>
      </c>
      <c r="BB56" t="s">
        <v>74</v>
      </c>
      <c r="BC56" t="s">
        <v>74</v>
      </c>
      <c r="BD56">
        <v>1361</v>
      </c>
      <c r="BE56" t="s">
        <v>665</v>
      </c>
      <c r="BF56" t="str">
        <f>HYPERLINK("http://dx.doi.org/10.3390/su14031361","http://dx.doi.org/10.3390/su14031361")</f>
        <v>http://dx.doi.org/10.3390/su14031361</v>
      </c>
      <c r="BG56" t="s">
        <v>74</v>
      </c>
      <c r="BH56" t="s">
        <v>74</v>
      </c>
      <c r="BI56" t="s">
        <v>74</v>
      </c>
      <c r="BJ56" t="s">
        <v>74</v>
      </c>
      <c r="BK56" t="s">
        <v>74</v>
      </c>
      <c r="BL56" t="s">
        <v>74</v>
      </c>
      <c r="BM56" t="s">
        <v>74</v>
      </c>
      <c r="BN56" t="s">
        <v>74</v>
      </c>
      <c r="BO56" t="s">
        <v>74</v>
      </c>
      <c r="BP56" t="s">
        <v>74</v>
      </c>
      <c r="BQ56" t="s">
        <v>74</v>
      </c>
      <c r="BR56" t="s">
        <v>74</v>
      </c>
      <c r="BS56" t="s">
        <v>666</v>
      </c>
      <c r="BT56" t="str">
        <f>HYPERLINK("https%3A%2F%2Fwww.webofscience.com%2Fwos%2Fwoscc%2Ffull-record%2FWOS:000756554400001","View Full Record in Web of Science")</f>
        <v>View Full Record in Web of Science</v>
      </c>
    </row>
    <row r="57" spans="1:72" x14ac:dyDescent="0.25">
      <c r="A57" t="s">
        <v>72</v>
      </c>
      <c r="B57" t="s">
        <v>667</v>
      </c>
      <c r="C57" t="s">
        <v>74</v>
      </c>
      <c r="D57" t="s">
        <v>74</v>
      </c>
      <c r="E57" t="s">
        <v>74</v>
      </c>
      <c r="F57" t="s">
        <v>668</v>
      </c>
      <c r="G57" t="s">
        <v>74</v>
      </c>
      <c r="H57" t="s">
        <v>74</v>
      </c>
      <c r="I57" t="s">
        <v>669</v>
      </c>
      <c r="J57" t="s">
        <v>201</v>
      </c>
      <c r="K57" t="s">
        <v>74</v>
      </c>
      <c r="L57" t="s">
        <v>74</v>
      </c>
      <c r="M57" t="s">
        <v>74</v>
      </c>
      <c r="N57" t="s">
        <v>74</v>
      </c>
      <c r="O57" t="s">
        <v>74</v>
      </c>
      <c r="P57" t="s">
        <v>74</v>
      </c>
      <c r="Q57" t="s">
        <v>74</v>
      </c>
      <c r="R57" t="s">
        <v>74</v>
      </c>
      <c r="S57" t="s">
        <v>74</v>
      </c>
      <c r="T57" t="s">
        <v>74</v>
      </c>
      <c r="U57" t="s">
        <v>74</v>
      </c>
      <c r="V57" t="s">
        <v>670</v>
      </c>
      <c r="W57" t="s">
        <v>74</v>
      </c>
      <c r="X57" t="s">
        <v>74</v>
      </c>
      <c r="Y57" t="s">
        <v>74</v>
      </c>
      <c r="Z57" t="s">
        <v>74</v>
      </c>
      <c r="AA57" t="s">
        <v>671</v>
      </c>
      <c r="AB57" t="s">
        <v>672</v>
      </c>
      <c r="AC57" t="s">
        <v>74</v>
      </c>
      <c r="AD57" t="s">
        <v>74</v>
      </c>
      <c r="AE57" t="s">
        <v>74</v>
      </c>
      <c r="AF57" t="s">
        <v>74</v>
      </c>
      <c r="AG57" t="s">
        <v>74</v>
      </c>
      <c r="AH57" t="s">
        <v>74</v>
      </c>
      <c r="AI57" t="s">
        <v>74</v>
      </c>
      <c r="AJ57" t="s">
        <v>74</v>
      </c>
      <c r="AK57" t="s">
        <v>74</v>
      </c>
      <c r="AL57" t="s">
        <v>74</v>
      </c>
      <c r="AM57" t="s">
        <v>74</v>
      </c>
      <c r="AN57" t="s">
        <v>74</v>
      </c>
      <c r="AO57" t="s">
        <v>205</v>
      </c>
      <c r="AP57" t="s">
        <v>74</v>
      </c>
      <c r="AQ57" t="s">
        <v>74</v>
      </c>
      <c r="AR57" t="s">
        <v>74</v>
      </c>
      <c r="AS57" t="s">
        <v>74</v>
      </c>
      <c r="AT57" t="s">
        <v>74</v>
      </c>
      <c r="AU57">
        <v>2022</v>
      </c>
      <c r="AV57">
        <v>10</v>
      </c>
      <c r="AW57" t="s">
        <v>74</v>
      </c>
      <c r="AX57" t="s">
        <v>74</v>
      </c>
      <c r="AY57" t="s">
        <v>74</v>
      </c>
      <c r="AZ57" t="s">
        <v>74</v>
      </c>
      <c r="BA57" t="s">
        <v>74</v>
      </c>
      <c r="BB57">
        <v>119914</v>
      </c>
      <c r="BC57">
        <v>119946</v>
      </c>
      <c r="BD57" t="s">
        <v>74</v>
      </c>
      <c r="BE57" t="s">
        <v>673</v>
      </c>
      <c r="BF57" t="str">
        <f>HYPERLINK("http://dx.doi.org/10.1109/ACCESS.2022.3219845","http://dx.doi.org/10.1109/ACCESS.2022.3219845")</f>
        <v>http://dx.doi.org/10.1109/ACCESS.2022.3219845</v>
      </c>
      <c r="BG57" t="s">
        <v>74</v>
      </c>
      <c r="BH57" t="s">
        <v>74</v>
      </c>
      <c r="BI57" t="s">
        <v>74</v>
      </c>
      <c r="BJ57" t="s">
        <v>74</v>
      </c>
      <c r="BK57" t="s">
        <v>74</v>
      </c>
      <c r="BL57" t="s">
        <v>74</v>
      </c>
      <c r="BM57" t="s">
        <v>74</v>
      </c>
      <c r="BN57" t="s">
        <v>74</v>
      </c>
      <c r="BO57" t="s">
        <v>74</v>
      </c>
      <c r="BP57" t="s">
        <v>74</v>
      </c>
      <c r="BQ57" t="s">
        <v>74</v>
      </c>
      <c r="BR57" t="s">
        <v>74</v>
      </c>
      <c r="BS57" t="s">
        <v>674</v>
      </c>
      <c r="BT57" t="str">
        <f>HYPERLINK("https%3A%2F%2Fwww.webofscience.com%2Fwos%2Fwoscc%2Ffull-record%2FWOS:000886923800001","View Full Record in Web of Science")</f>
        <v>View Full Record in Web of Science</v>
      </c>
    </row>
    <row r="58" spans="1:72" x14ac:dyDescent="0.25">
      <c r="A58" t="s">
        <v>72</v>
      </c>
      <c r="B58" t="s">
        <v>675</v>
      </c>
      <c r="C58" t="s">
        <v>74</v>
      </c>
      <c r="D58" t="s">
        <v>74</v>
      </c>
      <c r="E58" t="s">
        <v>74</v>
      </c>
      <c r="F58" t="s">
        <v>676</v>
      </c>
      <c r="G58" t="s">
        <v>74</v>
      </c>
      <c r="H58" t="s">
        <v>74</v>
      </c>
      <c r="I58" t="s">
        <v>677</v>
      </c>
      <c r="J58" t="s">
        <v>678</v>
      </c>
      <c r="K58" t="s">
        <v>74</v>
      </c>
      <c r="L58" t="s">
        <v>74</v>
      </c>
      <c r="M58" t="s">
        <v>74</v>
      </c>
      <c r="N58" t="s">
        <v>74</v>
      </c>
      <c r="O58" t="s">
        <v>74</v>
      </c>
      <c r="P58" t="s">
        <v>74</v>
      </c>
      <c r="Q58" t="s">
        <v>74</v>
      </c>
      <c r="R58" t="s">
        <v>74</v>
      </c>
      <c r="S58" t="s">
        <v>74</v>
      </c>
      <c r="T58" t="s">
        <v>74</v>
      </c>
      <c r="U58" t="s">
        <v>74</v>
      </c>
      <c r="V58" t="s">
        <v>679</v>
      </c>
      <c r="W58" t="s">
        <v>74</v>
      </c>
      <c r="X58" t="s">
        <v>74</v>
      </c>
      <c r="Y58" t="s">
        <v>74</v>
      </c>
      <c r="Z58" t="s">
        <v>74</v>
      </c>
      <c r="AA58" t="s">
        <v>74</v>
      </c>
      <c r="AB58" t="s">
        <v>680</v>
      </c>
      <c r="AC58" t="s">
        <v>74</v>
      </c>
      <c r="AD58" t="s">
        <v>74</v>
      </c>
      <c r="AE58" t="s">
        <v>74</v>
      </c>
      <c r="AF58" t="s">
        <v>74</v>
      </c>
      <c r="AG58" t="s">
        <v>74</v>
      </c>
      <c r="AH58" t="s">
        <v>74</v>
      </c>
      <c r="AI58" t="s">
        <v>74</v>
      </c>
      <c r="AJ58" t="s">
        <v>74</v>
      </c>
      <c r="AK58" t="s">
        <v>74</v>
      </c>
      <c r="AL58" t="s">
        <v>74</v>
      </c>
      <c r="AM58" t="s">
        <v>74</v>
      </c>
      <c r="AN58" t="s">
        <v>74</v>
      </c>
      <c r="AO58" t="s">
        <v>74</v>
      </c>
      <c r="AP58" t="s">
        <v>681</v>
      </c>
      <c r="AQ58" t="s">
        <v>74</v>
      </c>
      <c r="AR58" t="s">
        <v>74</v>
      </c>
      <c r="AS58" t="s">
        <v>74</v>
      </c>
      <c r="AT58" t="s">
        <v>195</v>
      </c>
      <c r="AU58">
        <v>2022</v>
      </c>
      <c r="AV58">
        <v>4</v>
      </c>
      <c r="AW58">
        <v>11</v>
      </c>
      <c r="AX58" t="s">
        <v>74</v>
      </c>
      <c r="AY58" t="s">
        <v>74</v>
      </c>
      <c r="AZ58" t="s">
        <v>74</v>
      </c>
      <c r="BA58" t="s">
        <v>74</v>
      </c>
      <c r="BB58">
        <v>922</v>
      </c>
      <c r="BC58">
        <v>929</v>
      </c>
      <c r="BD58" t="s">
        <v>74</v>
      </c>
      <c r="BE58" t="s">
        <v>682</v>
      </c>
      <c r="BF58" t="str">
        <f>HYPERLINK("http://dx.doi.org/10.1038/s42256-022-00549-6","http://dx.doi.org/10.1038/s42256-022-00549-6")</f>
        <v>http://dx.doi.org/10.1038/s42256-022-00549-6</v>
      </c>
      <c r="BG58" t="s">
        <v>74</v>
      </c>
      <c r="BH58" t="s">
        <v>683</v>
      </c>
      <c r="BI58" t="s">
        <v>74</v>
      </c>
      <c r="BJ58" t="s">
        <v>74</v>
      </c>
      <c r="BK58" t="s">
        <v>74</v>
      </c>
      <c r="BL58" t="s">
        <v>74</v>
      </c>
      <c r="BM58" t="s">
        <v>74</v>
      </c>
      <c r="BN58">
        <v>36935774</v>
      </c>
      <c r="BO58" t="s">
        <v>74</v>
      </c>
      <c r="BP58" t="s">
        <v>74</v>
      </c>
      <c r="BQ58" t="s">
        <v>74</v>
      </c>
      <c r="BR58" t="s">
        <v>74</v>
      </c>
      <c r="BS58" t="s">
        <v>684</v>
      </c>
      <c r="BT58" t="str">
        <f>HYPERLINK("https%3A%2F%2Fwww.webofscience.com%2Fwos%2Fwoscc%2Ffull-record%2FWOS:000884215600008","View Full Record in Web of Science")</f>
        <v>View Full Record in Web of Science</v>
      </c>
    </row>
    <row r="59" spans="1:72" x14ac:dyDescent="0.25">
      <c r="A59" t="s">
        <v>72</v>
      </c>
      <c r="B59" t="s">
        <v>685</v>
      </c>
      <c r="C59" t="s">
        <v>74</v>
      </c>
      <c r="D59" t="s">
        <v>74</v>
      </c>
      <c r="E59" t="s">
        <v>74</v>
      </c>
      <c r="F59" t="s">
        <v>686</v>
      </c>
      <c r="G59" t="s">
        <v>74</v>
      </c>
      <c r="H59" t="s">
        <v>74</v>
      </c>
      <c r="I59" t="s">
        <v>687</v>
      </c>
      <c r="J59" t="s">
        <v>431</v>
      </c>
      <c r="K59" t="s">
        <v>74</v>
      </c>
      <c r="L59" t="s">
        <v>74</v>
      </c>
      <c r="M59" t="s">
        <v>74</v>
      </c>
      <c r="N59" t="s">
        <v>74</v>
      </c>
      <c r="O59" t="s">
        <v>74</v>
      </c>
      <c r="P59" t="s">
        <v>74</v>
      </c>
      <c r="Q59" t="s">
        <v>74</v>
      </c>
      <c r="R59" t="s">
        <v>74</v>
      </c>
      <c r="S59" t="s">
        <v>74</v>
      </c>
      <c r="T59" t="s">
        <v>74</v>
      </c>
      <c r="U59" t="s">
        <v>74</v>
      </c>
      <c r="V59" t="s">
        <v>688</v>
      </c>
      <c r="W59" t="s">
        <v>74</v>
      </c>
      <c r="X59" t="s">
        <v>74</v>
      </c>
      <c r="Y59" t="s">
        <v>74</v>
      </c>
      <c r="Z59" t="s">
        <v>74</v>
      </c>
      <c r="AA59" t="s">
        <v>74</v>
      </c>
      <c r="AB59" t="s">
        <v>74</v>
      </c>
      <c r="AC59" t="s">
        <v>74</v>
      </c>
      <c r="AD59" t="s">
        <v>74</v>
      </c>
      <c r="AE59" t="s">
        <v>74</v>
      </c>
      <c r="AF59" t="s">
        <v>74</v>
      </c>
      <c r="AG59" t="s">
        <v>74</v>
      </c>
      <c r="AH59" t="s">
        <v>74</v>
      </c>
      <c r="AI59" t="s">
        <v>74</v>
      </c>
      <c r="AJ59" t="s">
        <v>74</v>
      </c>
      <c r="AK59" t="s">
        <v>74</v>
      </c>
      <c r="AL59" t="s">
        <v>74</v>
      </c>
      <c r="AM59" t="s">
        <v>74</v>
      </c>
      <c r="AN59" t="s">
        <v>74</v>
      </c>
      <c r="AO59" t="s">
        <v>433</v>
      </c>
      <c r="AP59" t="s">
        <v>434</v>
      </c>
      <c r="AQ59" t="s">
        <v>74</v>
      </c>
      <c r="AR59" t="s">
        <v>74</v>
      </c>
      <c r="AS59" t="s">
        <v>74</v>
      </c>
      <c r="AT59" t="s">
        <v>435</v>
      </c>
      <c r="AU59">
        <v>2023</v>
      </c>
      <c r="AV59">
        <v>56</v>
      </c>
      <c r="AW59">
        <v>2</v>
      </c>
      <c r="AX59" t="s">
        <v>74</v>
      </c>
      <c r="AY59" t="s">
        <v>74</v>
      </c>
      <c r="AZ59" t="s">
        <v>74</v>
      </c>
      <c r="BA59" t="s">
        <v>74</v>
      </c>
      <c r="BB59">
        <v>111</v>
      </c>
      <c r="BC59">
        <v>115</v>
      </c>
      <c r="BD59" t="s">
        <v>74</v>
      </c>
      <c r="BE59" t="s">
        <v>689</v>
      </c>
      <c r="BF59" t="str">
        <f>HYPERLINK("http://dx.doi.org/10.1109/MC.2022.3219635","http://dx.doi.org/10.1109/MC.2022.3219635")</f>
        <v>http://dx.doi.org/10.1109/MC.2022.3219635</v>
      </c>
      <c r="BG59" t="s">
        <v>74</v>
      </c>
      <c r="BH59" t="s">
        <v>74</v>
      </c>
      <c r="BI59" t="s">
        <v>74</v>
      </c>
      <c r="BJ59" t="s">
        <v>74</v>
      </c>
      <c r="BK59" t="s">
        <v>74</v>
      </c>
      <c r="BL59" t="s">
        <v>74</v>
      </c>
      <c r="BM59" t="s">
        <v>74</v>
      </c>
      <c r="BN59" t="s">
        <v>74</v>
      </c>
      <c r="BO59" t="s">
        <v>74</v>
      </c>
      <c r="BP59" t="s">
        <v>74</v>
      </c>
      <c r="BQ59" t="s">
        <v>74</v>
      </c>
      <c r="BR59" t="s">
        <v>74</v>
      </c>
      <c r="BS59" t="s">
        <v>690</v>
      </c>
      <c r="BT59" t="str">
        <f>HYPERLINK("https%3A%2F%2Fwww.webofscience.com%2Fwos%2Fwoscc%2Ffull-record%2FWOS:000966319400001","View Full Record in Web of Science")</f>
        <v>View Full Record in Web of Science</v>
      </c>
    </row>
    <row r="60" spans="1:72" x14ac:dyDescent="0.25">
      <c r="A60" t="s">
        <v>72</v>
      </c>
      <c r="B60" t="s">
        <v>691</v>
      </c>
      <c r="C60" t="s">
        <v>74</v>
      </c>
      <c r="D60" t="s">
        <v>74</v>
      </c>
      <c r="E60" t="s">
        <v>74</v>
      </c>
      <c r="F60" t="s">
        <v>692</v>
      </c>
      <c r="G60" t="s">
        <v>74</v>
      </c>
      <c r="H60" t="s">
        <v>74</v>
      </c>
      <c r="I60" t="s">
        <v>693</v>
      </c>
      <c r="J60" t="s">
        <v>460</v>
      </c>
      <c r="K60" t="s">
        <v>74</v>
      </c>
      <c r="L60" t="s">
        <v>74</v>
      </c>
      <c r="M60" t="s">
        <v>74</v>
      </c>
      <c r="N60" t="s">
        <v>74</v>
      </c>
      <c r="O60" t="s">
        <v>74</v>
      </c>
      <c r="P60" t="s">
        <v>74</v>
      </c>
      <c r="Q60" t="s">
        <v>74</v>
      </c>
      <c r="R60" t="s">
        <v>74</v>
      </c>
      <c r="S60" t="s">
        <v>74</v>
      </c>
      <c r="T60" t="s">
        <v>74</v>
      </c>
      <c r="U60" t="s">
        <v>74</v>
      </c>
      <c r="V60" t="s">
        <v>694</v>
      </c>
      <c r="W60" t="s">
        <v>74</v>
      </c>
      <c r="X60" t="s">
        <v>74</v>
      </c>
      <c r="Y60" t="s">
        <v>74</v>
      </c>
      <c r="Z60" t="s">
        <v>74</v>
      </c>
      <c r="AA60" t="s">
        <v>695</v>
      </c>
      <c r="AB60" t="s">
        <v>696</v>
      </c>
      <c r="AC60" t="s">
        <v>74</v>
      </c>
      <c r="AD60" t="s">
        <v>74</v>
      </c>
      <c r="AE60" t="s">
        <v>74</v>
      </c>
      <c r="AF60" t="s">
        <v>74</v>
      </c>
      <c r="AG60" t="s">
        <v>74</v>
      </c>
      <c r="AH60" t="s">
        <v>74</v>
      </c>
      <c r="AI60" t="s">
        <v>74</v>
      </c>
      <c r="AJ60" t="s">
        <v>74</v>
      </c>
      <c r="AK60" t="s">
        <v>74</v>
      </c>
      <c r="AL60" t="s">
        <v>74</v>
      </c>
      <c r="AM60" t="s">
        <v>74</v>
      </c>
      <c r="AN60" t="s">
        <v>74</v>
      </c>
      <c r="AO60" t="s">
        <v>74</v>
      </c>
      <c r="AP60" t="s">
        <v>464</v>
      </c>
      <c r="AQ60" t="s">
        <v>74</v>
      </c>
      <c r="AR60" t="s">
        <v>74</v>
      </c>
      <c r="AS60" t="s">
        <v>74</v>
      </c>
      <c r="AT60" t="s">
        <v>435</v>
      </c>
      <c r="AU60">
        <v>2023</v>
      </c>
      <c r="AV60">
        <v>15</v>
      </c>
      <c r="AW60">
        <v>4</v>
      </c>
      <c r="AX60" t="s">
        <v>74</v>
      </c>
      <c r="AY60" t="s">
        <v>74</v>
      </c>
      <c r="AZ60" t="s">
        <v>74</v>
      </c>
      <c r="BA60" t="s">
        <v>74</v>
      </c>
      <c r="BB60" t="s">
        <v>74</v>
      </c>
      <c r="BC60" t="s">
        <v>74</v>
      </c>
      <c r="BD60">
        <v>3348</v>
      </c>
      <c r="BE60" t="s">
        <v>697</v>
      </c>
      <c r="BF60" t="str">
        <f>HYPERLINK("http://dx.doi.org/10.3390/su15043348","http://dx.doi.org/10.3390/su15043348")</f>
        <v>http://dx.doi.org/10.3390/su15043348</v>
      </c>
      <c r="BG60" t="s">
        <v>74</v>
      </c>
      <c r="BH60" t="s">
        <v>74</v>
      </c>
      <c r="BI60" t="s">
        <v>74</v>
      </c>
      <c r="BJ60" t="s">
        <v>74</v>
      </c>
      <c r="BK60" t="s">
        <v>74</v>
      </c>
      <c r="BL60" t="s">
        <v>74</v>
      </c>
      <c r="BM60" t="s">
        <v>74</v>
      </c>
      <c r="BN60" t="s">
        <v>74</v>
      </c>
      <c r="BO60" t="s">
        <v>74</v>
      </c>
      <c r="BP60" t="s">
        <v>74</v>
      </c>
      <c r="BQ60" t="s">
        <v>74</v>
      </c>
      <c r="BR60" t="s">
        <v>74</v>
      </c>
      <c r="BS60" t="s">
        <v>698</v>
      </c>
      <c r="BT60" t="str">
        <f>HYPERLINK("https%3A%2F%2Fwww.webofscience.com%2Fwos%2Fwoscc%2Ffull-record%2FWOS:000939982800001","View Full Record in Web of Science")</f>
        <v>View Full Record in Web of Science</v>
      </c>
    </row>
    <row r="61" spans="1:72" x14ac:dyDescent="0.25">
      <c r="A61" t="s">
        <v>72</v>
      </c>
      <c r="B61" t="s">
        <v>699</v>
      </c>
      <c r="C61" t="s">
        <v>74</v>
      </c>
      <c r="D61" t="s">
        <v>74</v>
      </c>
      <c r="E61" t="s">
        <v>74</v>
      </c>
      <c r="F61" t="s">
        <v>700</v>
      </c>
      <c r="G61" t="s">
        <v>74</v>
      </c>
      <c r="H61" t="s">
        <v>74</v>
      </c>
      <c r="I61" t="s">
        <v>701</v>
      </c>
      <c r="J61" t="s">
        <v>431</v>
      </c>
      <c r="K61" t="s">
        <v>74</v>
      </c>
      <c r="L61" t="s">
        <v>74</v>
      </c>
      <c r="M61" t="s">
        <v>74</v>
      </c>
      <c r="N61" t="s">
        <v>74</v>
      </c>
      <c r="O61" t="s">
        <v>74</v>
      </c>
      <c r="P61" t="s">
        <v>74</v>
      </c>
      <c r="Q61" t="s">
        <v>74</v>
      </c>
      <c r="R61" t="s">
        <v>74</v>
      </c>
      <c r="S61" t="s">
        <v>74</v>
      </c>
      <c r="T61" t="s">
        <v>74</v>
      </c>
      <c r="U61" t="s">
        <v>74</v>
      </c>
      <c r="V61" t="s">
        <v>702</v>
      </c>
      <c r="W61" t="s">
        <v>74</v>
      </c>
      <c r="X61" t="s">
        <v>74</v>
      </c>
      <c r="Y61" t="s">
        <v>74</v>
      </c>
      <c r="Z61" t="s">
        <v>74</v>
      </c>
      <c r="AA61" t="s">
        <v>74</v>
      </c>
      <c r="AB61" t="s">
        <v>703</v>
      </c>
      <c r="AC61" t="s">
        <v>74</v>
      </c>
      <c r="AD61" t="s">
        <v>74</v>
      </c>
      <c r="AE61" t="s">
        <v>74</v>
      </c>
      <c r="AF61" t="s">
        <v>74</v>
      </c>
      <c r="AG61" t="s">
        <v>74</v>
      </c>
      <c r="AH61" t="s">
        <v>74</v>
      </c>
      <c r="AI61" t="s">
        <v>74</v>
      </c>
      <c r="AJ61" t="s">
        <v>74</v>
      </c>
      <c r="AK61" t="s">
        <v>74</v>
      </c>
      <c r="AL61" t="s">
        <v>74</v>
      </c>
      <c r="AM61" t="s">
        <v>74</v>
      </c>
      <c r="AN61" t="s">
        <v>74</v>
      </c>
      <c r="AO61" t="s">
        <v>433</v>
      </c>
      <c r="AP61" t="s">
        <v>434</v>
      </c>
      <c r="AQ61" t="s">
        <v>74</v>
      </c>
      <c r="AR61" t="s">
        <v>74</v>
      </c>
      <c r="AS61" t="s">
        <v>74</v>
      </c>
      <c r="AT61" t="s">
        <v>175</v>
      </c>
      <c r="AU61">
        <v>2023</v>
      </c>
      <c r="AV61">
        <v>56</v>
      </c>
      <c r="AW61">
        <v>1</v>
      </c>
      <c r="AX61" t="s">
        <v>74</v>
      </c>
      <c r="AY61" t="s">
        <v>74</v>
      </c>
      <c r="AZ61" t="s">
        <v>74</v>
      </c>
      <c r="BA61" t="s">
        <v>74</v>
      </c>
      <c r="BB61">
        <v>150</v>
      </c>
      <c r="BC61">
        <v>156</v>
      </c>
      <c r="BD61" t="s">
        <v>74</v>
      </c>
      <c r="BE61" t="s">
        <v>704</v>
      </c>
      <c r="BF61" t="str">
        <f>HYPERLINK("http://dx.doi.org/10.1109/MC.2022.3218389","http://dx.doi.org/10.1109/MC.2022.3218389")</f>
        <v>http://dx.doi.org/10.1109/MC.2022.3218389</v>
      </c>
      <c r="BG61" t="s">
        <v>74</v>
      </c>
      <c r="BH61" t="s">
        <v>74</v>
      </c>
      <c r="BI61" t="s">
        <v>74</v>
      </c>
      <c r="BJ61" t="s">
        <v>74</v>
      </c>
      <c r="BK61" t="s">
        <v>74</v>
      </c>
      <c r="BL61" t="s">
        <v>74</v>
      </c>
      <c r="BM61" t="s">
        <v>74</v>
      </c>
      <c r="BN61" t="s">
        <v>74</v>
      </c>
      <c r="BO61" t="s">
        <v>74</v>
      </c>
      <c r="BP61" t="s">
        <v>74</v>
      </c>
      <c r="BQ61" t="s">
        <v>74</v>
      </c>
      <c r="BR61" t="s">
        <v>74</v>
      </c>
      <c r="BS61" t="s">
        <v>705</v>
      </c>
      <c r="BT61" t="str">
        <f>HYPERLINK("https%3A%2F%2Fwww.webofscience.com%2Fwos%2Fwoscc%2Ffull-record%2FWOS:000966085600001","View Full Record in Web of Science")</f>
        <v>View Full Record in Web of Science</v>
      </c>
    </row>
    <row r="62" spans="1:72" x14ac:dyDescent="0.25">
      <c r="A62" t="s">
        <v>72</v>
      </c>
      <c r="B62" t="s">
        <v>706</v>
      </c>
      <c r="C62" t="s">
        <v>74</v>
      </c>
      <c r="D62" t="s">
        <v>74</v>
      </c>
      <c r="E62" t="s">
        <v>74</v>
      </c>
      <c r="F62" t="s">
        <v>707</v>
      </c>
      <c r="G62" t="s">
        <v>74</v>
      </c>
      <c r="H62" t="s">
        <v>74</v>
      </c>
      <c r="I62" t="s">
        <v>708</v>
      </c>
      <c r="J62" t="s">
        <v>709</v>
      </c>
      <c r="K62" t="s">
        <v>74</v>
      </c>
      <c r="L62" t="s">
        <v>74</v>
      </c>
      <c r="M62" t="s">
        <v>74</v>
      </c>
      <c r="N62" t="s">
        <v>74</v>
      </c>
      <c r="O62" t="s">
        <v>74</v>
      </c>
      <c r="P62" t="s">
        <v>74</v>
      </c>
      <c r="Q62" t="s">
        <v>74</v>
      </c>
      <c r="R62" t="s">
        <v>74</v>
      </c>
      <c r="S62" t="s">
        <v>74</v>
      </c>
      <c r="T62" t="s">
        <v>74</v>
      </c>
      <c r="U62" t="s">
        <v>74</v>
      </c>
      <c r="V62" t="s">
        <v>710</v>
      </c>
      <c r="W62" t="s">
        <v>74</v>
      </c>
      <c r="X62" t="s">
        <v>74</v>
      </c>
      <c r="Y62" t="s">
        <v>74</v>
      </c>
      <c r="Z62" t="s">
        <v>74</v>
      </c>
      <c r="AA62" t="s">
        <v>74</v>
      </c>
      <c r="AB62" t="s">
        <v>74</v>
      </c>
      <c r="AC62" t="s">
        <v>74</v>
      </c>
      <c r="AD62" t="s">
        <v>74</v>
      </c>
      <c r="AE62" t="s">
        <v>74</v>
      </c>
      <c r="AF62" t="s">
        <v>74</v>
      </c>
      <c r="AG62" t="s">
        <v>74</v>
      </c>
      <c r="AH62" t="s">
        <v>74</v>
      </c>
      <c r="AI62" t="s">
        <v>74</v>
      </c>
      <c r="AJ62" t="s">
        <v>74</v>
      </c>
      <c r="AK62" t="s">
        <v>74</v>
      </c>
      <c r="AL62" t="s">
        <v>74</v>
      </c>
      <c r="AM62" t="s">
        <v>74</v>
      </c>
      <c r="AN62" t="s">
        <v>74</v>
      </c>
      <c r="AO62" t="s">
        <v>74</v>
      </c>
      <c r="AP62" t="s">
        <v>711</v>
      </c>
      <c r="AQ62" t="s">
        <v>74</v>
      </c>
      <c r="AR62" t="s">
        <v>74</v>
      </c>
      <c r="AS62" t="s">
        <v>74</v>
      </c>
      <c r="AT62" t="s">
        <v>712</v>
      </c>
      <c r="AU62">
        <v>2022</v>
      </c>
      <c r="AV62">
        <v>12</v>
      </c>
      <c r="AW62">
        <v>15</v>
      </c>
      <c r="AX62" t="s">
        <v>74</v>
      </c>
      <c r="AY62" t="s">
        <v>74</v>
      </c>
      <c r="AZ62" t="s">
        <v>74</v>
      </c>
      <c r="BA62" t="s">
        <v>74</v>
      </c>
      <c r="BB62" t="s">
        <v>74</v>
      </c>
      <c r="BC62" t="s">
        <v>74</v>
      </c>
      <c r="BD62">
        <v>7908</v>
      </c>
      <c r="BE62" t="s">
        <v>713</v>
      </c>
      <c r="BF62" t="str">
        <f>HYPERLINK("http://dx.doi.org/10.3390/app12157908","http://dx.doi.org/10.3390/app12157908")</f>
        <v>http://dx.doi.org/10.3390/app12157908</v>
      </c>
      <c r="BG62" t="s">
        <v>74</v>
      </c>
      <c r="BH62" t="s">
        <v>74</v>
      </c>
      <c r="BI62" t="s">
        <v>74</v>
      </c>
      <c r="BJ62" t="s">
        <v>74</v>
      </c>
      <c r="BK62" t="s">
        <v>74</v>
      </c>
      <c r="BL62" t="s">
        <v>74</v>
      </c>
      <c r="BM62" t="s">
        <v>74</v>
      </c>
      <c r="BN62" t="s">
        <v>74</v>
      </c>
      <c r="BO62" t="s">
        <v>74</v>
      </c>
      <c r="BP62" t="s">
        <v>74</v>
      </c>
      <c r="BQ62" t="s">
        <v>74</v>
      </c>
      <c r="BR62" t="s">
        <v>74</v>
      </c>
      <c r="BS62" t="s">
        <v>714</v>
      </c>
      <c r="BT62" t="str">
        <f>HYPERLINK("https%3A%2F%2Fwww.webofscience.com%2Fwos%2Fwoscc%2Ffull-record%2FWOS:000838855100001","View Full Record in Web of Science")</f>
        <v>View Full Record in Web of Science</v>
      </c>
    </row>
    <row r="63" spans="1:72" x14ac:dyDescent="0.25">
      <c r="A63" t="s">
        <v>72</v>
      </c>
      <c r="B63" t="s">
        <v>715</v>
      </c>
      <c r="C63" t="s">
        <v>74</v>
      </c>
      <c r="D63" t="s">
        <v>74</v>
      </c>
      <c r="E63" t="s">
        <v>74</v>
      </c>
      <c r="F63" t="s">
        <v>716</v>
      </c>
      <c r="G63" t="s">
        <v>74</v>
      </c>
      <c r="H63" t="s">
        <v>74</v>
      </c>
      <c r="I63" t="s">
        <v>717</v>
      </c>
      <c r="J63" t="s">
        <v>460</v>
      </c>
      <c r="K63" t="s">
        <v>74</v>
      </c>
      <c r="L63" t="s">
        <v>74</v>
      </c>
      <c r="M63" t="s">
        <v>74</v>
      </c>
      <c r="N63" t="s">
        <v>74</v>
      </c>
      <c r="O63" t="s">
        <v>74</v>
      </c>
      <c r="P63" t="s">
        <v>74</v>
      </c>
      <c r="Q63" t="s">
        <v>74</v>
      </c>
      <c r="R63" t="s">
        <v>74</v>
      </c>
      <c r="S63" t="s">
        <v>74</v>
      </c>
      <c r="T63" t="s">
        <v>74</v>
      </c>
      <c r="U63" t="s">
        <v>74</v>
      </c>
      <c r="V63" t="s">
        <v>718</v>
      </c>
      <c r="W63" t="s">
        <v>74</v>
      </c>
      <c r="X63" t="s">
        <v>74</v>
      </c>
      <c r="Y63" t="s">
        <v>74</v>
      </c>
      <c r="Z63" t="s">
        <v>74</v>
      </c>
      <c r="AA63" t="s">
        <v>719</v>
      </c>
      <c r="AB63" t="s">
        <v>720</v>
      </c>
      <c r="AC63" t="s">
        <v>74</v>
      </c>
      <c r="AD63" t="s">
        <v>74</v>
      </c>
      <c r="AE63" t="s">
        <v>74</v>
      </c>
      <c r="AF63" t="s">
        <v>74</v>
      </c>
      <c r="AG63" t="s">
        <v>74</v>
      </c>
      <c r="AH63" t="s">
        <v>74</v>
      </c>
      <c r="AI63" t="s">
        <v>74</v>
      </c>
      <c r="AJ63" t="s">
        <v>74</v>
      </c>
      <c r="AK63" t="s">
        <v>74</v>
      </c>
      <c r="AL63" t="s">
        <v>74</v>
      </c>
      <c r="AM63" t="s">
        <v>74</v>
      </c>
      <c r="AN63" t="s">
        <v>74</v>
      </c>
      <c r="AO63" t="s">
        <v>74</v>
      </c>
      <c r="AP63" t="s">
        <v>464</v>
      </c>
      <c r="AQ63" t="s">
        <v>74</v>
      </c>
      <c r="AR63" t="s">
        <v>74</v>
      </c>
      <c r="AS63" t="s">
        <v>74</v>
      </c>
      <c r="AT63" t="s">
        <v>195</v>
      </c>
      <c r="AU63">
        <v>2022</v>
      </c>
      <c r="AV63">
        <v>14</v>
      </c>
      <c r="AW63">
        <v>21</v>
      </c>
      <c r="AX63" t="s">
        <v>74</v>
      </c>
      <c r="AY63" t="s">
        <v>74</v>
      </c>
      <c r="AZ63" t="s">
        <v>74</v>
      </c>
      <c r="BA63" t="s">
        <v>74</v>
      </c>
      <c r="BB63" t="s">
        <v>74</v>
      </c>
      <c r="BC63" t="s">
        <v>74</v>
      </c>
      <c r="BD63">
        <v>14027</v>
      </c>
      <c r="BE63" t="s">
        <v>721</v>
      </c>
      <c r="BF63" t="str">
        <f>HYPERLINK("http://dx.doi.org/10.3390/su142114027","http://dx.doi.org/10.3390/su142114027")</f>
        <v>http://dx.doi.org/10.3390/su142114027</v>
      </c>
      <c r="BG63" t="s">
        <v>74</v>
      </c>
      <c r="BH63" t="s">
        <v>74</v>
      </c>
      <c r="BI63" t="s">
        <v>74</v>
      </c>
      <c r="BJ63" t="s">
        <v>74</v>
      </c>
      <c r="BK63" t="s">
        <v>74</v>
      </c>
      <c r="BL63" t="s">
        <v>74</v>
      </c>
      <c r="BM63" t="s">
        <v>74</v>
      </c>
      <c r="BN63" t="s">
        <v>74</v>
      </c>
      <c r="BO63" t="s">
        <v>74</v>
      </c>
      <c r="BP63" t="s">
        <v>74</v>
      </c>
      <c r="BQ63" t="s">
        <v>74</v>
      </c>
      <c r="BR63" t="s">
        <v>74</v>
      </c>
      <c r="BS63" t="s">
        <v>722</v>
      </c>
      <c r="BT63" t="str">
        <f>HYPERLINK("https%3A%2F%2Fwww.webofscience.com%2Fwos%2Fwoscc%2Ffull-record%2FWOS:000882211200001","View Full Record in Web of Science")</f>
        <v>View Full Record in Web of Science</v>
      </c>
    </row>
    <row r="64" spans="1:72" x14ac:dyDescent="0.25">
      <c r="A64" t="s">
        <v>72</v>
      </c>
      <c r="B64" t="s">
        <v>723</v>
      </c>
      <c r="C64" t="s">
        <v>74</v>
      </c>
      <c r="D64" t="s">
        <v>74</v>
      </c>
      <c r="E64" t="s">
        <v>74</v>
      </c>
      <c r="F64" t="s">
        <v>724</v>
      </c>
      <c r="G64" t="s">
        <v>74</v>
      </c>
      <c r="H64" t="s">
        <v>74</v>
      </c>
      <c r="I64" t="s">
        <v>725</v>
      </c>
      <c r="J64" t="s">
        <v>726</v>
      </c>
      <c r="K64" t="s">
        <v>74</v>
      </c>
      <c r="L64" t="s">
        <v>74</v>
      </c>
      <c r="M64" t="s">
        <v>74</v>
      </c>
      <c r="N64" t="s">
        <v>74</v>
      </c>
      <c r="O64" t="s">
        <v>74</v>
      </c>
      <c r="P64" t="s">
        <v>74</v>
      </c>
      <c r="Q64" t="s">
        <v>74</v>
      </c>
      <c r="R64" t="s">
        <v>74</v>
      </c>
      <c r="S64" t="s">
        <v>74</v>
      </c>
      <c r="T64" t="s">
        <v>74</v>
      </c>
      <c r="U64" t="s">
        <v>74</v>
      </c>
      <c r="V64" t="s">
        <v>727</v>
      </c>
      <c r="W64" t="s">
        <v>74</v>
      </c>
      <c r="X64" t="s">
        <v>74</v>
      </c>
      <c r="Y64" t="s">
        <v>74</v>
      </c>
      <c r="Z64" t="s">
        <v>74</v>
      </c>
      <c r="AA64" t="s">
        <v>74</v>
      </c>
      <c r="AB64" t="s">
        <v>74</v>
      </c>
      <c r="AC64" t="s">
        <v>74</v>
      </c>
      <c r="AD64" t="s">
        <v>74</v>
      </c>
      <c r="AE64" t="s">
        <v>74</v>
      </c>
      <c r="AF64" t="s">
        <v>74</v>
      </c>
      <c r="AG64" t="s">
        <v>74</v>
      </c>
      <c r="AH64" t="s">
        <v>74</v>
      </c>
      <c r="AI64" t="s">
        <v>74</v>
      </c>
      <c r="AJ64" t="s">
        <v>74</v>
      </c>
      <c r="AK64" t="s">
        <v>74</v>
      </c>
      <c r="AL64" t="s">
        <v>74</v>
      </c>
      <c r="AM64" t="s">
        <v>74</v>
      </c>
      <c r="AN64" t="s">
        <v>74</v>
      </c>
      <c r="AO64" t="s">
        <v>728</v>
      </c>
      <c r="AP64" t="s">
        <v>729</v>
      </c>
      <c r="AQ64" t="s">
        <v>74</v>
      </c>
      <c r="AR64" t="s">
        <v>74</v>
      </c>
      <c r="AS64" t="s">
        <v>74</v>
      </c>
      <c r="AT64" t="s">
        <v>730</v>
      </c>
      <c r="AU64">
        <v>2023</v>
      </c>
      <c r="AV64">
        <v>58</v>
      </c>
      <c r="AW64" t="s">
        <v>74</v>
      </c>
      <c r="AX64" t="s">
        <v>74</v>
      </c>
      <c r="AY64" t="s">
        <v>74</v>
      </c>
      <c r="AZ64" t="s">
        <v>74</v>
      </c>
      <c r="BA64" t="s">
        <v>74</v>
      </c>
      <c r="BB64" t="s">
        <v>74</v>
      </c>
      <c r="BC64" t="s">
        <v>74</v>
      </c>
      <c r="BD64">
        <v>101248</v>
      </c>
      <c r="BE64" t="s">
        <v>731</v>
      </c>
      <c r="BF64" t="str">
        <f>HYPERLINK("http://dx.doi.org/10.1016/j.elerap.2023.101248","http://dx.doi.org/10.1016/j.elerap.2023.101248")</f>
        <v>http://dx.doi.org/10.1016/j.elerap.2023.101248</v>
      </c>
      <c r="BG64" t="s">
        <v>74</v>
      </c>
      <c r="BH64" t="s">
        <v>401</v>
      </c>
      <c r="BI64" t="s">
        <v>74</v>
      </c>
      <c r="BJ64" t="s">
        <v>74</v>
      </c>
      <c r="BK64" t="s">
        <v>74</v>
      </c>
      <c r="BL64" t="s">
        <v>74</v>
      </c>
      <c r="BM64" t="s">
        <v>74</v>
      </c>
      <c r="BN64" t="s">
        <v>74</v>
      </c>
      <c r="BO64" t="s">
        <v>74</v>
      </c>
      <c r="BP64" t="s">
        <v>74</v>
      </c>
      <c r="BQ64" t="s">
        <v>74</v>
      </c>
      <c r="BR64" t="s">
        <v>74</v>
      </c>
      <c r="BS64" t="s">
        <v>732</v>
      </c>
      <c r="BT64" t="str">
        <f>HYPERLINK("https%3A%2F%2Fwww.webofscience.com%2Fwos%2Fwoscc%2Ffull-record%2FWOS:000958354700001","View Full Record in Web of Science")</f>
        <v>View Full Record in Web of Science</v>
      </c>
    </row>
    <row r="65" spans="1:72" x14ac:dyDescent="0.25">
      <c r="A65" t="s">
        <v>72</v>
      </c>
      <c r="B65" t="s">
        <v>733</v>
      </c>
      <c r="C65" t="s">
        <v>74</v>
      </c>
      <c r="D65" t="s">
        <v>74</v>
      </c>
      <c r="E65" t="s">
        <v>74</v>
      </c>
      <c r="F65" t="s">
        <v>734</v>
      </c>
      <c r="G65" t="s">
        <v>74</v>
      </c>
      <c r="H65" t="s">
        <v>74</v>
      </c>
      <c r="I65" t="s">
        <v>735</v>
      </c>
      <c r="J65" t="s">
        <v>736</v>
      </c>
      <c r="K65" t="s">
        <v>74</v>
      </c>
      <c r="L65" t="s">
        <v>74</v>
      </c>
      <c r="M65" t="s">
        <v>74</v>
      </c>
      <c r="N65" t="s">
        <v>74</v>
      </c>
      <c r="O65" t="s">
        <v>74</v>
      </c>
      <c r="P65" t="s">
        <v>74</v>
      </c>
      <c r="Q65" t="s">
        <v>74</v>
      </c>
      <c r="R65" t="s">
        <v>74</v>
      </c>
      <c r="S65" t="s">
        <v>74</v>
      </c>
      <c r="T65" t="s">
        <v>74</v>
      </c>
      <c r="U65" t="s">
        <v>74</v>
      </c>
      <c r="V65" t="s">
        <v>737</v>
      </c>
      <c r="W65" t="s">
        <v>74</v>
      </c>
      <c r="X65" t="s">
        <v>74</v>
      </c>
      <c r="Y65" t="s">
        <v>74</v>
      </c>
      <c r="Z65" t="s">
        <v>74</v>
      </c>
      <c r="AA65" t="s">
        <v>738</v>
      </c>
      <c r="AB65" t="s">
        <v>739</v>
      </c>
      <c r="AC65" t="s">
        <v>74</v>
      </c>
      <c r="AD65" t="s">
        <v>74</v>
      </c>
      <c r="AE65" t="s">
        <v>74</v>
      </c>
      <c r="AF65" t="s">
        <v>74</v>
      </c>
      <c r="AG65" t="s">
        <v>74</v>
      </c>
      <c r="AH65" t="s">
        <v>74</v>
      </c>
      <c r="AI65" t="s">
        <v>74</v>
      </c>
      <c r="AJ65" t="s">
        <v>74</v>
      </c>
      <c r="AK65" t="s">
        <v>74</v>
      </c>
      <c r="AL65" t="s">
        <v>74</v>
      </c>
      <c r="AM65" t="s">
        <v>74</v>
      </c>
      <c r="AN65" t="s">
        <v>74</v>
      </c>
      <c r="AO65" t="s">
        <v>740</v>
      </c>
      <c r="AP65" t="s">
        <v>741</v>
      </c>
      <c r="AQ65" t="s">
        <v>74</v>
      </c>
      <c r="AR65" t="s">
        <v>74</v>
      </c>
      <c r="AS65" t="s">
        <v>74</v>
      </c>
      <c r="AT65" t="s">
        <v>74</v>
      </c>
      <c r="AU65" t="s">
        <v>74</v>
      </c>
      <c r="AV65" t="s">
        <v>74</v>
      </c>
      <c r="AW65" t="s">
        <v>74</v>
      </c>
      <c r="AX65" t="s">
        <v>74</v>
      </c>
      <c r="AY65" t="s">
        <v>74</v>
      </c>
      <c r="AZ65" t="s">
        <v>74</v>
      </c>
      <c r="BA65" t="s">
        <v>74</v>
      </c>
      <c r="BB65" t="s">
        <v>74</v>
      </c>
      <c r="BC65" t="s">
        <v>74</v>
      </c>
      <c r="BD65" t="s">
        <v>74</v>
      </c>
      <c r="BE65" t="s">
        <v>742</v>
      </c>
      <c r="BF65" t="str">
        <f>HYPERLINK("http://dx.doi.org/10.1515/cclm-2023-0108","http://dx.doi.org/10.1515/cclm-2023-0108")</f>
        <v>http://dx.doi.org/10.1515/cclm-2023-0108</v>
      </c>
      <c r="BG65" t="s">
        <v>74</v>
      </c>
      <c r="BH65" t="s">
        <v>401</v>
      </c>
      <c r="BI65" t="s">
        <v>74</v>
      </c>
      <c r="BJ65" t="s">
        <v>74</v>
      </c>
      <c r="BK65" t="s">
        <v>74</v>
      </c>
      <c r="BL65" t="s">
        <v>74</v>
      </c>
      <c r="BM65" t="s">
        <v>74</v>
      </c>
      <c r="BN65">
        <v>36855921</v>
      </c>
      <c r="BO65" t="s">
        <v>74</v>
      </c>
      <c r="BP65" t="s">
        <v>74</v>
      </c>
      <c r="BQ65" t="s">
        <v>74</v>
      </c>
      <c r="BR65" t="s">
        <v>74</v>
      </c>
      <c r="BS65" t="s">
        <v>743</v>
      </c>
      <c r="BT65" t="str">
        <f>HYPERLINK("https%3A%2F%2Fwww.webofscience.com%2Fwos%2Fwoscc%2Ffull-record%2FWOS:000942070800001","View Full Record in Web of Science")</f>
        <v>View Full Record in Web of Science</v>
      </c>
    </row>
    <row r="66" spans="1:72" x14ac:dyDescent="0.25">
      <c r="A66" t="s">
        <v>84</v>
      </c>
      <c r="B66" t="s">
        <v>744</v>
      </c>
      <c r="C66" t="s">
        <v>74</v>
      </c>
      <c r="D66" t="s">
        <v>745</v>
      </c>
      <c r="E66" t="s">
        <v>74</v>
      </c>
      <c r="F66" t="s">
        <v>746</v>
      </c>
      <c r="G66" t="s">
        <v>74</v>
      </c>
      <c r="H66" t="s">
        <v>74</v>
      </c>
      <c r="I66" t="s">
        <v>747</v>
      </c>
      <c r="J66" t="s">
        <v>748</v>
      </c>
      <c r="K66" t="s">
        <v>74</v>
      </c>
      <c r="L66" t="s">
        <v>74</v>
      </c>
      <c r="M66" t="s">
        <v>74</v>
      </c>
      <c r="N66" t="s">
        <v>74</v>
      </c>
      <c r="O66" t="s">
        <v>749</v>
      </c>
      <c r="P66" t="s">
        <v>750</v>
      </c>
      <c r="Q66" t="s">
        <v>751</v>
      </c>
      <c r="R66" t="s">
        <v>752</v>
      </c>
      <c r="S66" t="s">
        <v>74</v>
      </c>
      <c r="T66" t="s">
        <v>74</v>
      </c>
      <c r="U66" t="s">
        <v>74</v>
      </c>
      <c r="V66" t="s">
        <v>753</v>
      </c>
      <c r="W66" t="s">
        <v>74</v>
      </c>
      <c r="X66" t="s">
        <v>74</v>
      </c>
      <c r="Y66" t="s">
        <v>74</v>
      </c>
      <c r="Z66" t="s">
        <v>74</v>
      </c>
      <c r="AA66" t="s">
        <v>74</v>
      </c>
      <c r="AB66" t="s">
        <v>754</v>
      </c>
      <c r="AC66" t="s">
        <v>74</v>
      </c>
      <c r="AD66" t="s">
        <v>74</v>
      </c>
      <c r="AE66" t="s">
        <v>74</v>
      </c>
      <c r="AF66" t="s">
        <v>74</v>
      </c>
      <c r="AG66" t="s">
        <v>74</v>
      </c>
      <c r="AH66" t="s">
        <v>74</v>
      </c>
      <c r="AI66" t="s">
        <v>74</v>
      </c>
      <c r="AJ66" t="s">
        <v>74</v>
      </c>
      <c r="AK66" t="s">
        <v>74</v>
      </c>
      <c r="AL66" t="s">
        <v>74</v>
      </c>
      <c r="AM66" t="s">
        <v>74</v>
      </c>
      <c r="AN66" t="s">
        <v>74</v>
      </c>
      <c r="AO66" t="s">
        <v>74</v>
      </c>
      <c r="AP66" t="s">
        <v>74</v>
      </c>
      <c r="AQ66" t="s">
        <v>755</v>
      </c>
      <c r="AR66" t="s">
        <v>74</v>
      </c>
      <c r="AS66" t="s">
        <v>74</v>
      </c>
      <c r="AT66" t="s">
        <v>74</v>
      </c>
      <c r="AU66">
        <v>2022</v>
      </c>
      <c r="AV66" t="s">
        <v>74</v>
      </c>
      <c r="AW66" t="s">
        <v>74</v>
      </c>
      <c r="AX66" t="s">
        <v>74</v>
      </c>
      <c r="AY66" t="s">
        <v>74</v>
      </c>
      <c r="AZ66" t="s">
        <v>74</v>
      </c>
      <c r="BA66" t="s">
        <v>74</v>
      </c>
      <c r="BB66">
        <v>237</v>
      </c>
      <c r="BC66">
        <v>244</v>
      </c>
      <c r="BD66" t="s">
        <v>74</v>
      </c>
      <c r="BE66" t="s">
        <v>756</v>
      </c>
      <c r="BF66" t="str">
        <f>HYPERLINK("http://dx.doi.org/10.1109/BCCA55292.2022.9922027","http://dx.doi.org/10.1109/BCCA55292.2022.9922027")</f>
        <v>http://dx.doi.org/10.1109/BCCA55292.2022.9922027</v>
      </c>
      <c r="BG66" t="s">
        <v>74</v>
      </c>
      <c r="BH66" t="s">
        <v>74</v>
      </c>
      <c r="BI66" t="s">
        <v>74</v>
      </c>
      <c r="BJ66" t="s">
        <v>74</v>
      </c>
      <c r="BK66" t="s">
        <v>74</v>
      </c>
      <c r="BL66" t="s">
        <v>74</v>
      </c>
      <c r="BM66" t="s">
        <v>74</v>
      </c>
      <c r="BN66" t="s">
        <v>74</v>
      </c>
      <c r="BO66" t="s">
        <v>74</v>
      </c>
      <c r="BP66" t="s">
        <v>74</v>
      </c>
      <c r="BQ66" t="s">
        <v>74</v>
      </c>
      <c r="BR66" t="s">
        <v>74</v>
      </c>
      <c r="BS66" t="s">
        <v>757</v>
      </c>
      <c r="BT66" t="str">
        <f>HYPERLINK("https%3A%2F%2Fwww.webofscience.com%2Fwos%2Fwoscc%2Ffull-record%2FWOS:000884604500033","View Full Record in Web of Science")</f>
        <v>View Full Record in Web of Science</v>
      </c>
    </row>
    <row r="67" spans="1:72" x14ac:dyDescent="0.25">
      <c r="A67" t="s">
        <v>72</v>
      </c>
      <c r="B67" t="s">
        <v>758</v>
      </c>
      <c r="C67" t="s">
        <v>74</v>
      </c>
      <c r="D67" t="s">
        <v>74</v>
      </c>
      <c r="E67" t="s">
        <v>74</v>
      </c>
      <c r="F67" t="s">
        <v>759</v>
      </c>
      <c r="G67" t="s">
        <v>74</v>
      </c>
      <c r="H67" t="s">
        <v>74</v>
      </c>
      <c r="I67" t="s">
        <v>760</v>
      </c>
      <c r="J67" t="s">
        <v>761</v>
      </c>
      <c r="K67" t="s">
        <v>74</v>
      </c>
      <c r="L67" t="s">
        <v>74</v>
      </c>
      <c r="M67" t="s">
        <v>74</v>
      </c>
      <c r="N67" t="s">
        <v>74</v>
      </c>
      <c r="O67" t="s">
        <v>74</v>
      </c>
      <c r="P67" t="s">
        <v>74</v>
      </c>
      <c r="Q67" t="s">
        <v>74</v>
      </c>
      <c r="R67" t="s">
        <v>74</v>
      </c>
      <c r="S67" t="s">
        <v>74</v>
      </c>
      <c r="T67" t="s">
        <v>74</v>
      </c>
      <c r="U67" t="s">
        <v>74</v>
      </c>
      <c r="V67" t="s">
        <v>762</v>
      </c>
      <c r="W67" t="s">
        <v>74</v>
      </c>
      <c r="X67" t="s">
        <v>74</v>
      </c>
      <c r="Y67" t="s">
        <v>74</v>
      </c>
      <c r="Z67" t="s">
        <v>74</v>
      </c>
      <c r="AA67" t="s">
        <v>763</v>
      </c>
      <c r="AB67" t="s">
        <v>764</v>
      </c>
      <c r="AC67" t="s">
        <v>74</v>
      </c>
      <c r="AD67" t="s">
        <v>74</v>
      </c>
      <c r="AE67" t="s">
        <v>74</v>
      </c>
      <c r="AF67" t="s">
        <v>74</v>
      </c>
      <c r="AG67" t="s">
        <v>74</v>
      </c>
      <c r="AH67" t="s">
        <v>74</v>
      </c>
      <c r="AI67" t="s">
        <v>74</v>
      </c>
      <c r="AJ67" t="s">
        <v>74</v>
      </c>
      <c r="AK67" t="s">
        <v>74</v>
      </c>
      <c r="AL67" t="s">
        <v>74</v>
      </c>
      <c r="AM67" t="s">
        <v>74</v>
      </c>
      <c r="AN67" t="s">
        <v>74</v>
      </c>
      <c r="AO67" t="s">
        <v>765</v>
      </c>
      <c r="AP67" t="s">
        <v>766</v>
      </c>
      <c r="AQ67" t="s">
        <v>74</v>
      </c>
      <c r="AR67" t="s">
        <v>74</v>
      </c>
      <c r="AS67" t="s">
        <v>74</v>
      </c>
      <c r="AT67" t="s">
        <v>74</v>
      </c>
      <c r="AU67" t="s">
        <v>74</v>
      </c>
      <c r="AV67" t="s">
        <v>74</v>
      </c>
      <c r="AW67" t="s">
        <v>74</v>
      </c>
      <c r="AX67" t="s">
        <v>74</v>
      </c>
      <c r="AY67" t="s">
        <v>74</v>
      </c>
      <c r="AZ67" t="s">
        <v>74</v>
      </c>
      <c r="BA67" t="s">
        <v>74</v>
      </c>
      <c r="BB67" t="s">
        <v>74</v>
      </c>
      <c r="BC67" t="s">
        <v>74</v>
      </c>
      <c r="BD67" t="s">
        <v>74</v>
      </c>
      <c r="BE67" t="s">
        <v>767</v>
      </c>
      <c r="BF67" t="str">
        <f>HYPERLINK("http://dx.doi.org/10.1108/IJLSS-02-2022-0035","http://dx.doi.org/10.1108/IJLSS-02-2022-0035")</f>
        <v>http://dx.doi.org/10.1108/IJLSS-02-2022-0035</v>
      </c>
      <c r="BG67" t="s">
        <v>74</v>
      </c>
      <c r="BH67" t="s">
        <v>768</v>
      </c>
      <c r="BI67" t="s">
        <v>74</v>
      </c>
      <c r="BJ67" t="s">
        <v>74</v>
      </c>
      <c r="BK67" t="s">
        <v>74</v>
      </c>
      <c r="BL67" t="s">
        <v>74</v>
      </c>
      <c r="BM67" t="s">
        <v>74</v>
      </c>
      <c r="BN67" t="s">
        <v>74</v>
      </c>
      <c r="BO67" t="s">
        <v>74</v>
      </c>
      <c r="BP67" t="s">
        <v>74</v>
      </c>
      <c r="BQ67" t="s">
        <v>74</v>
      </c>
      <c r="BR67" t="s">
        <v>74</v>
      </c>
      <c r="BS67" t="s">
        <v>769</v>
      </c>
      <c r="BT67" t="str">
        <f>HYPERLINK("https%3A%2F%2Fwww.webofscience.com%2Fwos%2Fwoscc%2Ffull-record%2FWOS:000854233500001","View Full Record in Web of Science")</f>
        <v>View Full Record in Web of Science</v>
      </c>
    </row>
    <row r="68" spans="1:72" x14ac:dyDescent="0.25">
      <c r="A68" t="s">
        <v>84</v>
      </c>
      <c r="B68" t="s">
        <v>770</v>
      </c>
      <c r="C68" t="s">
        <v>74</v>
      </c>
      <c r="D68" t="s">
        <v>74</v>
      </c>
      <c r="E68" t="s">
        <v>86</v>
      </c>
      <c r="F68" t="s">
        <v>771</v>
      </c>
      <c r="G68" t="s">
        <v>74</v>
      </c>
      <c r="H68" t="s">
        <v>74</v>
      </c>
      <c r="I68" t="s">
        <v>772</v>
      </c>
      <c r="J68" t="s">
        <v>773</v>
      </c>
      <c r="K68" t="s">
        <v>774</v>
      </c>
      <c r="L68" t="s">
        <v>74</v>
      </c>
      <c r="M68" t="s">
        <v>74</v>
      </c>
      <c r="N68" t="s">
        <v>74</v>
      </c>
      <c r="O68" t="s">
        <v>775</v>
      </c>
      <c r="P68" t="s">
        <v>776</v>
      </c>
      <c r="Q68" t="s">
        <v>777</v>
      </c>
      <c r="R68" t="s">
        <v>86</v>
      </c>
      <c r="S68" t="s">
        <v>74</v>
      </c>
      <c r="T68" t="s">
        <v>74</v>
      </c>
      <c r="U68" t="s">
        <v>74</v>
      </c>
      <c r="V68" t="s">
        <v>778</v>
      </c>
      <c r="W68" t="s">
        <v>74</v>
      </c>
      <c r="X68" t="s">
        <v>74</v>
      </c>
      <c r="Y68" t="s">
        <v>74</v>
      </c>
      <c r="Z68" t="s">
        <v>74</v>
      </c>
      <c r="AA68" t="s">
        <v>74</v>
      </c>
      <c r="AB68" t="s">
        <v>74</v>
      </c>
      <c r="AC68" t="s">
        <v>74</v>
      </c>
      <c r="AD68" t="s">
        <v>74</v>
      </c>
      <c r="AE68" t="s">
        <v>74</v>
      </c>
      <c r="AF68" t="s">
        <v>74</v>
      </c>
      <c r="AG68" t="s">
        <v>74</v>
      </c>
      <c r="AH68" t="s">
        <v>74</v>
      </c>
      <c r="AI68" t="s">
        <v>74</v>
      </c>
      <c r="AJ68" t="s">
        <v>74</v>
      </c>
      <c r="AK68" t="s">
        <v>74</v>
      </c>
      <c r="AL68" t="s">
        <v>74</v>
      </c>
      <c r="AM68" t="s">
        <v>74</v>
      </c>
      <c r="AN68" t="s">
        <v>74</v>
      </c>
      <c r="AO68" t="s">
        <v>779</v>
      </c>
      <c r="AP68" t="s">
        <v>780</v>
      </c>
      <c r="AQ68" t="s">
        <v>781</v>
      </c>
      <c r="AR68" t="s">
        <v>74</v>
      </c>
      <c r="AS68" t="s">
        <v>74</v>
      </c>
      <c r="AT68" t="s">
        <v>74</v>
      </c>
      <c r="AU68">
        <v>2022</v>
      </c>
      <c r="AV68" t="s">
        <v>74</v>
      </c>
      <c r="AW68" t="s">
        <v>74</v>
      </c>
      <c r="AX68" t="s">
        <v>74</v>
      </c>
      <c r="AY68" t="s">
        <v>74</v>
      </c>
      <c r="AZ68" t="s">
        <v>74</v>
      </c>
      <c r="BA68" t="s">
        <v>74</v>
      </c>
      <c r="BB68">
        <v>4346</v>
      </c>
      <c r="BC68">
        <v>4351</v>
      </c>
      <c r="BD68" t="s">
        <v>74</v>
      </c>
      <c r="BE68" t="s">
        <v>782</v>
      </c>
      <c r="BF68" t="str">
        <f>HYPERLINK("http://dx.doi.org/10.1109/GLOBECOM48099.2022.10001331","http://dx.doi.org/10.1109/GLOBECOM48099.2022.10001331")</f>
        <v>http://dx.doi.org/10.1109/GLOBECOM48099.2022.10001331</v>
      </c>
      <c r="BG68" t="s">
        <v>74</v>
      </c>
      <c r="BH68" t="s">
        <v>74</v>
      </c>
      <c r="BI68" t="s">
        <v>74</v>
      </c>
      <c r="BJ68" t="s">
        <v>74</v>
      </c>
      <c r="BK68" t="s">
        <v>74</v>
      </c>
      <c r="BL68" t="s">
        <v>74</v>
      </c>
      <c r="BM68" t="s">
        <v>74</v>
      </c>
      <c r="BN68" t="s">
        <v>74</v>
      </c>
      <c r="BO68" t="s">
        <v>74</v>
      </c>
      <c r="BP68" t="s">
        <v>74</v>
      </c>
      <c r="BQ68" t="s">
        <v>74</v>
      </c>
      <c r="BR68" t="s">
        <v>74</v>
      </c>
      <c r="BS68" t="s">
        <v>783</v>
      </c>
      <c r="BT68" t="str">
        <f>HYPERLINK("https%3A%2F%2Fwww.webofscience.com%2Fwos%2Fwoscc%2Ffull-record%2FWOS:000922633504064","View Full Record in Web of Science")</f>
        <v>View Full Record in Web of Science</v>
      </c>
    </row>
    <row r="69" spans="1:72" x14ac:dyDescent="0.25">
      <c r="A69" t="s">
        <v>84</v>
      </c>
      <c r="B69" t="s">
        <v>784</v>
      </c>
      <c r="C69" t="s">
        <v>74</v>
      </c>
      <c r="D69" t="s">
        <v>74</v>
      </c>
      <c r="E69" t="s">
        <v>86</v>
      </c>
      <c r="F69" t="s">
        <v>785</v>
      </c>
      <c r="G69" t="s">
        <v>74</v>
      </c>
      <c r="H69" t="s">
        <v>74</v>
      </c>
      <c r="I69" t="s">
        <v>786</v>
      </c>
      <c r="J69" t="s">
        <v>787</v>
      </c>
      <c r="K69" t="s">
        <v>788</v>
      </c>
      <c r="L69" t="s">
        <v>74</v>
      </c>
      <c r="M69" t="s">
        <v>74</v>
      </c>
      <c r="N69" t="s">
        <v>74</v>
      </c>
      <c r="O69" t="s">
        <v>272</v>
      </c>
      <c r="P69" t="s">
        <v>273</v>
      </c>
      <c r="Q69" t="s">
        <v>274</v>
      </c>
      <c r="R69" t="s">
        <v>789</v>
      </c>
      <c r="S69" t="s">
        <v>74</v>
      </c>
      <c r="T69" t="s">
        <v>74</v>
      </c>
      <c r="U69" t="s">
        <v>74</v>
      </c>
      <c r="V69" t="s">
        <v>790</v>
      </c>
      <c r="W69" t="s">
        <v>74</v>
      </c>
      <c r="X69" t="s">
        <v>74</v>
      </c>
      <c r="Y69" t="s">
        <v>74</v>
      </c>
      <c r="Z69" t="s">
        <v>74</v>
      </c>
      <c r="AA69" t="s">
        <v>671</v>
      </c>
      <c r="AB69" t="s">
        <v>791</v>
      </c>
      <c r="AC69" t="s">
        <v>74</v>
      </c>
      <c r="AD69" t="s">
        <v>74</v>
      </c>
      <c r="AE69" t="s">
        <v>74</v>
      </c>
      <c r="AF69" t="s">
        <v>74</v>
      </c>
      <c r="AG69" t="s">
        <v>74</v>
      </c>
      <c r="AH69" t="s">
        <v>74</v>
      </c>
      <c r="AI69" t="s">
        <v>74</v>
      </c>
      <c r="AJ69" t="s">
        <v>74</v>
      </c>
      <c r="AK69" t="s">
        <v>74</v>
      </c>
      <c r="AL69" t="s">
        <v>74</v>
      </c>
      <c r="AM69" t="s">
        <v>74</v>
      </c>
      <c r="AN69" t="s">
        <v>74</v>
      </c>
      <c r="AO69" t="s">
        <v>792</v>
      </c>
      <c r="AP69" t="s">
        <v>74</v>
      </c>
      <c r="AQ69" t="s">
        <v>793</v>
      </c>
      <c r="AR69" t="s">
        <v>74</v>
      </c>
      <c r="AS69" t="s">
        <v>74</v>
      </c>
      <c r="AT69" t="s">
        <v>74</v>
      </c>
      <c r="AU69">
        <v>2022</v>
      </c>
      <c r="AV69" t="s">
        <v>74</v>
      </c>
      <c r="AW69" t="s">
        <v>74</v>
      </c>
      <c r="AX69" t="s">
        <v>74</v>
      </c>
      <c r="AY69" t="s">
        <v>74</v>
      </c>
      <c r="AZ69" t="s">
        <v>74</v>
      </c>
      <c r="BA69" t="s">
        <v>74</v>
      </c>
      <c r="BB69">
        <v>5214</v>
      </c>
      <c r="BC69">
        <v>5219</v>
      </c>
      <c r="BD69" t="s">
        <v>74</v>
      </c>
      <c r="BE69" t="s">
        <v>74</v>
      </c>
      <c r="BF69" t="s">
        <v>74</v>
      </c>
      <c r="BG69" t="s">
        <v>74</v>
      </c>
      <c r="BH69" t="s">
        <v>74</v>
      </c>
      <c r="BI69" t="s">
        <v>74</v>
      </c>
      <c r="BJ69" t="s">
        <v>74</v>
      </c>
      <c r="BK69" t="s">
        <v>74</v>
      </c>
      <c r="BL69" t="s">
        <v>74</v>
      </c>
      <c r="BM69" t="s">
        <v>74</v>
      </c>
      <c r="BN69" t="s">
        <v>74</v>
      </c>
      <c r="BO69" t="s">
        <v>74</v>
      </c>
      <c r="BP69" t="s">
        <v>74</v>
      </c>
      <c r="BQ69" t="s">
        <v>74</v>
      </c>
      <c r="BR69" t="s">
        <v>74</v>
      </c>
      <c r="BS69" t="s">
        <v>794</v>
      </c>
      <c r="BT69" t="str">
        <f>HYPERLINK("https%3A%2F%2Fwww.webofscience.com%2Fwos%2Fwoscc%2Ffull-record%2FWOS:000864709905068","View Full Record in Web of Science")</f>
        <v>View Full Record in Web of Science</v>
      </c>
    </row>
    <row r="70" spans="1:72" x14ac:dyDescent="0.25">
      <c r="A70" t="s">
        <v>84</v>
      </c>
      <c r="B70" t="s">
        <v>795</v>
      </c>
      <c r="C70" t="s">
        <v>74</v>
      </c>
      <c r="D70" t="s">
        <v>74</v>
      </c>
      <c r="E70" t="s">
        <v>233</v>
      </c>
      <c r="F70" t="s">
        <v>796</v>
      </c>
      <c r="G70" t="s">
        <v>74</v>
      </c>
      <c r="H70" t="s">
        <v>74</v>
      </c>
      <c r="I70" t="s">
        <v>797</v>
      </c>
      <c r="J70" t="s">
        <v>798</v>
      </c>
      <c r="K70" t="s">
        <v>74</v>
      </c>
      <c r="L70" t="s">
        <v>74</v>
      </c>
      <c r="M70" t="s">
        <v>74</v>
      </c>
      <c r="N70" t="s">
        <v>74</v>
      </c>
      <c r="O70" t="s">
        <v>799</v>
      </c>
      <c r="P70" t="s">
        <v>800</v>
      </c>
      <c r="Q70" t="s">
        <v>108</v>
      </c>
      <c r="R70" t="s">
        <v>801</v>
      </c>
      <c r="S70" t="s">
        <v>74</v>
      </c>
      <c r="T70" t="s">
        <v>74</v>
      </c>
      <c r="U70" t="s">
        <v>74</v>
      </c>
      <c r="V70" t="s">
        <v>802</v>
      </c>
      <c r="W70" t="s">
        <v>74</v>
      </c>
      <c r="X70" t="s">
        <v>74</v>
      </c>
      <c r="Y70" t="s">
        <v>74</v>
      </c>
      <c r="Z70" t="s">
        <v>74</v>
      </c>
      <c r="AA70" t="s">
        <v>803</v>
      </c>
      <c r="AB70" t="s">
        <v>74</v>
      </c>
      <c r="AC70" t="s">
        <v>74</v>
      </c>
      <c r="AD70" t="s">
        <v>74</v>
      </c>
      <c r="AE70" t="s">
        <v>74</v>
      </c>
      <c r="AF70" t="s">
        <v>74</v>
      </c>
      <c r="AG70" t="s">
        <v>74</v>
      </c>
      <c r="AH70" t="s">
        <v>74</v>
      </c>
      <c r="AI70" t="s">
        <v>74</v>
      </c>
      <c r="AJ70" t="s">
        <v>74</v>
      </c>
      <c r="AK70" t="s">
        <v>74</v>
      </c>
      <c r="AL70" t="s">
        <v>74</v>
      </c>
      <c r="AM70" t="s">
        <v>74</v>
      </c>
      <c r="AN70" t="s">
        <v>74</v>
      </c>
      <c r="AO70" t="s">
        <v>74</v>
      </c>
      <c r="AP70" t="s">
        <v>74</v>
      </c>
      <c r="AQ70" t="s">
        <v>804</v>
      </c>
      <c r="AR70" t="s">
        <v>74</v>
      </c>
      <c r="AS70" t="s">
        <v>74</v>
      </c>
      <c r="AT70" t="s">
        <v>74</v>
      </c>
      <c r="AU70">
        <v>2022</v>
      </c>
      <c r="AV70" t="s">
        <v>74</v>
      </c>
      <c r="AW70" t="s">
        <v>74</v>
      </c>
      <c r="AX70" t="s">
        <v>74</v>
      </c>
      <c r="AY70" t="s">
        <v>74</v>
      </c>
      <c r="AZ70" t="s">
        <v>74</v>
      </c>
      <c r="BA70" t="s">
        <v>74</v>
      </c>
      <c r="BB70">
        <v>835</v>
      </c>
      <c r="BC70">
        <v>836</v>
      </c>
      <c r="BD70" t="s">
        <v>74</v>
      </c>
      <c r="BE70" t="s">
        <v>805</v>
      </c>
      <c r="BF70" t="str">
        <f>HYPERLINK("http://dx.doi.org/10.1109/VRW55335.2022.00273","http://dx.doi.org/10.1109/VRW55335.2022.00273")</f>
        <v>http://dx.doi.org/10.1109/VRW55335.2022.00273</v>
      </c>
      <c r="BG70" t="s">
        <v>74</v>
      </c>
      <c r="BH70" t="s">
        <v>74</v>
      </c>
      <c r="BI70" t="s">
        <v>74</v>
      </c>
      <c r="BJ70" t="s">
        <v>74</v>
      </c>
      <c r="BK70" t="s">
        <v>74</v>
      </c>
      <c r="BL70" t="s">
        <v>74</v>
      </c>
      <c r="BM70" t="s">
        <v>74</v>
      </c>
      <c r="BN70" t="s">
        <v>74</v>
      </c>
      <c r="BO70" t="s">
        <v>74</v>
      </c>
      <c r="BP70" t="s">
        <v>74</v>
      </c>
      <c r="BQ70" t="s">
        <v>74</v>
      </c>
      <c r="BR70" t="s">
        <v>74</v>
      </c>
      <c r="BS70" t="s">
        <v>806</v>
      </c>
      <c r="BT70" t="str">
        <f>HYPERLINK("https%3A%2F%2Fwww.webofscience.com%2Fwos%2Fwoscc%2Ffull-record%2FWOS:000808111800264","View Full Record in Web of Science")</f>
        <v>View Full Record in Web of Science</v>
      </c>
    </row>
    <row r="71" spans="1:72" x14ac:dyDescent="0.25">
      <c r="A71" t="s">
        <v>84</v>
      </c>
      <c r="B71" t="s">
        <v>807</v>
      </c>
      <c r="C71" t="s">
        <v>74</v>
      </c>
      <c r="D71" t="s">
        <v>74</v>
      </c>
      <c r="E71" t="s">
        <v>233</v>
      </c>
      <c r="F71" t="s">
        <v>808</v>
      </c>
      <c r="G71" t="s">
        <v>74</v>
      </c>
      <c r="H71" t="s">
        <v>74</v>
      </c>
      <c r="I71" t="s">
        <v>809</v>
      </c>
      <c r="J71" t="s">
        <v>236</v>
      </c>
      <c r="K71" t="s">
        <v>237</v>
      </c>
      <c r="L71" t="s">
        <v>74</v>
      </c>
      <c r="M71" t="s">
        <v>74</v>
      </c>
      <c r="N71" t="s">
        <v>74</v>
      </c>
      <c r="O71" t="s">
        <v>238</v>
      </c>
      <c r="P71" t="s">
        <v>239</v>
      </c>
      <c r="Q71" t="s">
        <v>240</v>
      </c>
      <c r="R71" t="s">
        <v>241</v>
      </c>
      <c r="S71" t="s">
        <v>74</v>
      </c>
      <c r="T71" t="s">
        <v>74</v>
      </c>
      <c r="U71" t="s">
        <v>74</v>
      </c>
      <c r="V71" t="s">
        <v>810</v>
      </c>
      <c r="W71" t="s">
        <v>74</v>
      </c>
      <c r="X71" t="s">
        <v>74</v>
      </c>
      <c r="Y71" t="s">
        <v>74</v>
      </c>
      <c r="Z71" t="s">
        <v>74</v>
      </c>
      <c r="AA71" t="s">
        <v>74</v>
      </c>
      <c r="AB71" t="s">
        <v>811</v>
      </c>
      <c r="AC71" t="s">
        <v>74</v>
      </c>
      <c r="AD71" t="s">
        <v>74</v>
      </c>
      <c r="AE71" t="s">
        <v>74</v>
      </c>
      <c r="AF71" t="s">
        <v>74</v>
      </c>
      <c r="AG71" t="s">
        <v>74</v>
      </c>
      <c r="AH71" t="s">
        <v>74</v>
      </c>
      <c r="AI71" t="s">
        <v>74</v>
      </c>
      <c r="AJ71" t="s">
        <v>74</v>
      </c>
      <c r="AK71" t="s">
        <v>74</v>
      </c>
      <c r="AL71" t="s">
        <v>74</v>
      </c>
      <c r="AM71" t="s">
        <v>74</v>
      </c>
      <c r="AN71" t="s">
        <v>74</v>
      </c>
      <c r="AO71" t="s">
        <v>243</v>
      </c>
      <c r="AP71" t="s">
        <v>74</v>
      </c>
      <c r="AQ71" t="s">
        <v>244</v>
      </c>
      <c r="AR71" t="s">
        <v>74</v>
      </c>
      <c r="AS71" t="s">
        <v>74</v>
      </c>
      <c r="AT71" t="s">
        <v>74</v>
      </c>
      <c r="AU71">
        <v>2022</v>
      </c>
      <c r="AV71" t="s">
        <v>74</v>
      </c>
      <c r="AW71" t="s">
        <v>74</v>
      </c>
      <c r="AX71" t="s">
        <v>74</v>
      </c>
      <c r="AY71" t="s">
        <v>74</v>
      </c>
      <c r="AZ71" t="s">
        <v>74</v>
      </c>
      <c r="BA71" t="s">
        <v>74</v>
      </c>
      <c r="BB71">
        <v>241</v>
      </c>
      <c r="BC71">
        <v>247</v>
      </c>
      <c r="BD71" t="s">
        <v>74</v>
      </c>
      <c r="BE71" t="s">
        <v>812</v>
      </c>
      <c r="BF71" t="str">
        <f>HYPERLINK("http://dx.doi.org/10.1109/ICDCSW56584.2022.00053","http://dx.doi.org/10.1109/ICDCSW56584.2022.00053")</f>
        <v>http://dx.doi.org/10.1109/ICDCSW56584.2022.00053</v>
      </c>
      <c r="BG71" t="s">
        <v>74</v>
      </c>
      <c r="BH71" t="s">
        <v>74</v>
      </c>
      <c r="BI71" t="s">
        <v>74</v>
      </c>
      <c r="BJ71" t="s">
        <v>74</v>
      </c>
      <c r="BK71" t="s">
        <v>74</v>
      </c>
      <c r="BL71" t="s">
        <v>74</v>
      </c>
      <c r="BM71" t="s">
        <v>74</v>
      </c>
      <c r="BN71" t="s">
        <v>74</v>
      </c>
      <c r="BO71" t="s">
        <v>74</v>
      </c>
      <c r="BP71" t="s">
        <v>74</v>
      </c>
      <c r="BQ71" t="s">
        <v>74</v>
      </c>
      <c r="BR71" t="s">
        <v>74</v>
      </c>
      <c r="BS71" t="s">
        <v>813</v>
      </c>
      <c r="BT71" t="str">
        <f>HYPERLINK("https%3A%2F%2Fwww.webofscience.com%2Fwos%2Fwoscc%2Ffull-record%2FWOS:000895984800044","View Full Record in Web of Science")</f>
        <v>View Full Record in Web of Science</v>
      </c>
    </row>
    <row r="72" spans="1:72" x14ac:dyDescent="0.25">
      <c r="A72" t="s">
        <v>72</v>
      </c>
      <c r="B72" t="s">
        <v>814</v>
      </c>
      <c r="C72" t="s">
        <v>74</v>
      </c>
      <c r="D72" t="s">
        <v>74</v>
      </c>
      <c r="E72" t="s">
        <v>74</v>
      </c>
      <c r="F72" t="s">
        <v>815</v>
      </c>
      <c r="G72" t="s">
        <v>74</v>
      </c>
      <c r="H72" t="s">
        <v>74</v>
      </c>
      <c r="I72" t="s">
        <v>816</v>
      </c>
      <c r="J72" t="s">
        <v>817</v>
      </c>
      <c r="K72" t="s">
        <v>74</v>
      </c>
      <c r="L72" t="s">
        <v>74</v>
      </c>
      <c r="M72" t="s">
        <v>74</v>
      </c>
      <c r="N72" t="s">
        <v>74</v>
      </c>
      <c r="O72" t="s">
        <v>74</v>
      </c>
      <c r="P72" t="s">
        <v>74</v>
      </c>
      <c r="Q72" t="s">
        <v>74</v>
      </c>
      <c r="R72" t="s">
        <v>74</v>
      </c>
      <c r="S72" t="s">
        <v>74</v>
      </c>
      <c r="T72" t="s">
        <v>74</v>
      </c>
      <c r="U72" t="s">
        <v>74</v>
      </c>
      <c r="V72" t="s">
        <v>818</v>
      </c>
      <c r="W72" t="s">
        <v>74</v>
      </c>
      <c r="X72" t="s">
        <v>74</v>
      </c>
      <c r="Y72" t="s">
        <v>74</v>
      </c>
      <c r="Z72" t="s">
        <v>74</v>
      </c>
      <c r="AA72" t="s">
        <v>74</v>
      </c>
      <c r="AB72" t="s">
        <v>819</v>
      </c>
      <c r="AC72" t="s">
        <v>74</v>
      </c>
      <c r="AD72" t="s">
        <v>74</v>
      </c>
      <c r="AE72" t="s">
        <v>74</v>
      </c>
      <c r="AF72" t="s">
        <v>74</v>
      </c>
      <c r="AG72" t="s">
        <v>74</v>
      </c>
      <c r="AH72" t="s">
        <v>74</v>
      </c>
      <c r="AI72" t="s">
        <v>74</v>
      </c>
      <c r="AJ72" t="s">
        <v>74</v>
      </c>
      <c r="AK72" t="s">
        <v>74</v>
      </c>
      <c r="AL72" t="s">
        <v>74</v>
      </c>
      <c r="AM72" t="s">
        <v>74</v>
      </c>
      <c r="AN72" t="s">
        <v>74</v>
      </c>
      <c r="AO72" t="s">
        <v>820</v>
      </c>
      <c r="AP72" t="s">
        <v>74</v>
      </c>
      <c r="AQ72" t="s">
        <v>74</v>
      </c>
      <c r="AR72" t="s">
        <v>74</v>
      </c>
      <c r="AS72" t="s">
        <v>74</v>
      </c>
      <c r="AT72" t="s">
        <v>74</v>
      </c>
      <c r="AU72" t="s">
        <v>74</v>
      </c>
      <c r="AV72" t="s">
        <v>74</v>
      </c>
      <c r="AW72" t="s">
        <v>74</v>
      </c>
      <c r="AX72" t="s">
        <v>74</v>
      </c>
      <c r="AY72" t="s">
        <v>74</v>
      </c>
      <c r="AZ72" t="s">
        <v>74</v>
      </c>
      <c r="BA72" t="s">
        <v>74</v>
      </c>
      <c r="BB72" t="s">
        <v>74</v>
      </c>
      <c r="BC72" t="s">
        <v>74</v>
      </c>
      <c r="BD72" t="s">
        <v>74</v>
      </c>
      <c r="BE72" t="s">
        <v>821</v>
      </c>
      <c r="BF72" t="str">
        <f>HYPERLINK("http://dx.doi.org/10.1109/TCSS.2022.3221669","http://dx.doi.org/10.1109/TCSS.2022.3221669")</f>
        <v>http://dx.doi.org/10.1109/TCSS.2022.3221669</v>
      </c>
      <c r="BG72" t="s">
        <v>74</v>
      </c>
      <c r="BH72" t="s">
        <v>683</v>
      </c>
      <c r="BI72" t="s">
        <v>74</v>
      </c>
      <c r="BJ72" t="s">
        <v>74</v>
      </c>
      <c r="BK72" t="s">
        <v>74</v>
      </c>
      <c r="BL72" t="s">
        <v>74</v>
      </c>
      <c r="BM72" t="s">
        <v>74</v>
      </c>
      <c r="BN72" t="s">
        <v>74</v>
      </c>
      <c r="BO72" t="s">
        <v>74</v>
      </c>
      <c r="BP72" t="s">
        <v>74</v>
      </c>
      <c r="BQ72" t="s">
        <v>74</v>
      </c>
      <c r="BR72" t="s">
        <v>74</v>
      </c>
      <c r="BS72" t="s">
        <v>822</v>
      </c>
      <c r="BT72" t="str">
        <f>HYPERLINK("https%3A%2F%2Fwww.webofscience.com%2Fwos%2Fwoscc%2Ffull-record%2FWOS:000912810700001","View Full Record in Web of Science")</f>
        <v>View Full Record in Web of Science</v>
      </c>
    </row>
    <row r="73" spans="1:72" x14ac:dyDescent="0.25">
      <c r="A73" t="s">
        <v>72</v>
      </c>
      <c r="B73" t="s">
        <v>823</v>
      </c>
      <c r="C73" t="s">
        <v>74</v>
      </c>
      <c r="D73" t="s">
        <v>74</v>
      </c>
      <c r="E73" t="s">
        <v>74</v>
      </c>
      <c r="F73" t="s">
        <v>824</v>
      </c>
      <c r="G73" t="s">
        <v>74</v>
      </c>
      <c r="H73" t="s">
        <v>74</v>
      </c>
      <c r="I73" t="s">
        <v>825</v>
      </c>
      <c r="J73" t="s">
        <v>826</v>
      </c>
      <c r="K73" t="s">
        <v>74</v>
      </c>
      <c r="L73" t="s">
        <v>74</v>
      </c>
      <c r="M73" t="s">
        <v>74</v>
      </c>
      <c r="N73" t="s">
        <v>74</v>
      </c>
      <c r="O73" t="s">
        <v>74</v>
      </c>
      <c r="P73" t="s">
        <v>74</v>
      </c>
      <c r="Q73" t="s">
        <v>74</v>
      </c>
      <c r="R73" t="s">
        <v>74</v>
      </c>
      <c r="S73" t="s">
        <v>74</v>
      </c>
      <c r="T73" t="s">
        <v>74</v>
      </c>
      <c r="U73" t="s">
        <v>74</v>
      </c>
      <c r="V73" t="s">
        <v>827</v>
      </c>
      <c r="W73" t="s">
        <v>74</v>
      </c>
      <c r="X73" t="s">
        <v>74</v>
      </c>
      <c r="Y73" t="s">
        <v>74</v>
      </c>
      <c r="Z73" t="s">
        <v>74</v>
      </c>
      <c r="AA73" t="s">
        <v>74</v>
      </c>
      <c r="AB73" t="s">
        <v>828</v>
      </c>
      <c r="AC73" t="s">
        <v>74</v>
      </c>
      <c r="AD73" t="s">
        <v>74</v>
      </c>
      <c r="AE73" t="s">
        <v>74</v>
      </c>
      <c r="AF73" t="s">
        <v>74</v>
      </c>
      <c r="AG73" t="s">
        <v>74</v>
      </c>
      <c r="AH73" t="s">
        <v>74</v>
      </c>
      <c r="AI73" t="s">
        <v>74</v>
      </c>
      <c r="AJ73" t="s">
        <v>74</v>
      </c>
      <c r="AK73" t="s">
        <v>74</v>
      </c>
      <c r="AL73" t="s">
        <v>74</v>
      </c>
      <c r="AM73" t="s">
        <v>74</v>
      </c>
      <c r="AN73" t="s">
        <v>74</v>
      </c>
      <c r="AO73" t="s">
        <v>829</v>
      </c>
      <c r="AP73" t="s">
        <v>830</v>
      </c>
      <c r="AQ73" t="s">
        <v>74</v>
      </c>
      <c r="AR73" t="s">
        <v>74</v>
      </c>
      <c r="AS73" t="s">
        <v>74</v>
      </c>
      <c r="AT73" t="s">
        <v>74</v>
      </c>
      <c r="AU73" t="s">
        <v>74</v>
      </c>
      <c r="AV73" t="s">
        <v>74</v>
      </c>
      <c r="AW73" t="s">
        <v>74</v>
      </c>
      <c r="AX73" t="s">
        <v>74</v>
      </c>
      <c r="AY73" t="s">
        <v>74</v>
      </c>
      <c r="AZ73" t="s">
        <v>74</v>
      </c>
      <c r="BA73" t="s">
        <v>74</v>
      </c>
      <c r="BB73" t="s">
        <v>74</v>
      </c>
      <c r="BC73" t="s">
        <v>74</v>
      </c>
      <c r="BD73" t="s">
        <v>74</v>
      </c>
      <c r="BE73" t="s">
        <v>831</v>
      </c>
      <c r="BF73" t="str">
        <f>HYPERLINK("http://dx.doi.org/10.1080/00325481.2023.2180953","http://dx.doi.org/10.1080/00325481.2023.2180953")</f>
        <v>http://dx.doi.org/10.1080/00325481.2023.2180953</v>
      </c>
      <c r="BG73" t="s">
        <v>74</v>
      </c>
      <c r="BH73" t="s">
        <v>218</v>
      </c>
      <c r="BI73" t="s">
        <v>74</v>
      </c>
      <c r="BJ73" t="s">
        <v>74</v>
      </c>
      <c r="BK73" t="s">
        <v>74</v>
      </c>
      <c r="BL73" t="s">
        <v>74</v>
      </c>
      <c r="BM73" t="s">
        <v>74</v>
      </c>
      <c r="BN73">
        <v>36786393</v>
      </c>
      <c r="BO73" t="s">
        <v>74</v>
      </c>
      <c r="BP73" t="s">
        <v>74</v>
      </c>
      <c r="BQ73" t="s">
        <v>74</v>
      </c>
      <c r="BR73" t="s">
        <v>74</v>
      </c>
      <c r="BS73" t="s">
        <v>832</v>
      </c>
      <c r="BT73" t="str">
        <f>HYPERLINK("https%3A%2F%2Fwww.webofscience.com%2Fwos%2Fwoscc%2Ffull-record%2FWOS:000934277800001","View Full Record in Web of Science")</f>
        <v>View Full Record in Web of Science</v>
      </c>
    </row>
    <row r="74" spans="1:72" x14ac:dyDescent="0.25">
      <c r="A74" t="s">
        <v>72</v>
      </c>
      <c r="B74" t="s">
        <v>833</v>
      </c>
      <c r="C74" t="s">
        <v>74</v>
      </c>
      <c r="D74" t="s">
        <v>74</v>
      </c>
      <c r="E74" t="s">
        <v>74</v>
      </c>
      <c r="F74" t="s">
        <v>834</v>
      </c>
      <c r="G74" t="s">
        <v>74</v>
      </c>
      <c r="H74" t="s">
        <v>74</v>
      </c>
      <c r="I74" t="s">
        <v>835</v>
      </c>
      <c r="J74" t="s">
        <v>421</v>
      </c>
      <c r="K74" t="s">
        <v>74</v>
      </c>
      <c r="L74" t="s">
        <v>74</v>
      </c>
      <c r="M74" t="s">
        <v>74</v>
      </c>
      <c r="N74" t="s">
        <v>74</v>
      </c>
      <c r="O74" t="s">
        <v>74</v>
      </c>
      <c r="P74" t="s">
        <v>74</v>
      </c>
      <c r="Q74" t="s">
        <v>74</v>
      </c>
      <c r="R74" t="s">
        <v>74</v>
      </c>
      <c r="S74" t="s">
        <v>74</v>
      </c>
      <c r="T74" t="s">
        <v>74</v>
      </c>
      <c r="U74" t="s">
        <v>74</v>
      </c>
      <c r="V74" t="s">
        <v>836</v>
      </c>
      <c r="W74" t="s">
        <v>74</v>
      </c>
      <c r="X74" t="s">
        <v>74</v>
      </c>
      <c r="Y74" t="s">
        <v>74</v>
      </c>
      <c r="Z74" t="s">
        <v>74</v>
      </c>
      <c r="AA74" t="s">
        <v>74</v>
      </c>
      <c r="AB74" t="s">
        <v>837</v>
      </c>
      <c r="AC74" t="s">
        <v>74</v>
      </c>
      <c r="AD74" t="s">
        <v>74</v>
      </c>
      <c r="AE74" t="s">
        <v>74</v>
      </c>
      <c r="AF74" t="s">
        <v>74</v>
      </c>
      <c r="AG74" t="s">
        <v>74</v>
      </c>
      <c r="AH74" t="s">
        <v>74</v>
      </c>
      <c r="AI74" t="s">
        <v>74</v>
      </c>
      <c r="AJ74" t="s">
        <v>74</v>
      </c>
      <c r="AK74" t="s">
        <v>74</v>
      </c>
      <c r="AL74" t="s">
        <v>74</v>
      </c>
      <c r="AM74" t="s">
        <v>74</v>
      </c>
      <c r="AN74" t="s">
        <v>74</v>
      </c>
      <c r="AO74" t="s">
        <v>423</v>
      </c>
      <c r="AP74" t="s">
        <v>424</v>
      </c>
      <c r="AQ74" t="s">
        <v>74</v>
      </c>
      <c r="AR74" t="s">
        <v>74</v>
      </c>
      <c r="AS74" t="s">
        <v>74</v>
      </c>
      <c r="AT74" t="s">
        <v>74</v>
      </c>
      <c r="AU74" t="s">
        <v>74</v>
      </c>
      <c r="AV74" t="s">
        <v>74</v>
      </c>
      <c r="AW74" t="s">
        <v>74</v>
      </c>
      <c r="AX74" t="s">
        <v>74</v>
      </c>
      <c r="AY74" t="s">
        <v>74</v>
      </c>
      <c r="AZ74" t="s">
        <v>74</v>
      </c>
      <c r="BA74" t="s">
        <v>74</v>
      </c>
      <c r="BB74" t="s">
        <v>74</v>
      </c>
      <c r="BC74" t="s">
        <v>74</v>
      </c>
      <c r="BD74" t="s">
        <v>74</v>
      </c>
      <c r="BE74" t="s">
        <v>838</v>
      </c>
      <c r="BF74" t="str">
        <f>HYPERLINK("http://dx.doi.org/10.1109/TSMC.2022.3227919","http://dx.doi.org/10.1109/TSMC.2022.3227919")</f>
        <v>http://dx.doi.org/10.1109/TSMC.2022.3227919</v>
      </c>
      <c r="BG74" t="s">
        <v>74</v>
      </c>
      <c r="BH74" t="s">
        <v>426</v>
      </c>
      <c r="BI74" t="s">
        <v>74</v>
      </c>
      <c r="BJ74" t="s">
        <v>74</v>
      </c>
      <c r="BK74" t="s">
        <v>74</v>
      </c>
      <c r="BL74" t="s">
        <v>74</v>
      </c>
      <c r="BM74" t="s">
        <v>74</v>
      </c>
      <c r="BN74" t="s">
        <v>74</v>
      </c>
      <c r="BO74" t="s">
        <v>74</v>
      </c>
      <c r="BP74" t="s">
        <v>74</v>
      </c>
      <c r="BQ74" t="s">
        <v>74</v>
      </c>
      <c r="BR74" t="s">
        <v>74</v>
      </c>
      <c r="BS74" t="s">
        <v>839</v>
      </c>
      <c r="BT74" t="str">
        <f>HYPERLINK("https%3A%2F%2Fwww.webofscience.com%2Fwos%2Fwoscc%2Ffull-record%2FWOS:000903546900001","View Full Record in Web of Science")</f>
        <v>View Full Record in Web of Science</v>
      </c>
    </row>
    <row r="75" spans="1:72" x14ac:dyDescent="0.25">
      <c r="A75" t="s">
        <v>84</v>
      </c>
      <c r="B75" t="s">
        <v>840</v>
      </c>
      <c r="C75" t="s">
        <v>74</v>
      </c>
      <c r="D75" t="s">
        <v>74</v>
      </c>
      <c r="E75" t="s">
        <v>233</v>
      </c>
      <c r="F75" t="s">
        <v>841</v>
      </c>
      <c r="G75" t="s">
        <v>74</v>
      </c>
      <c r="H75" t="s">
        <v>74</v>
      </c>
      <c r="I75" t="s">
        <v>842</v>
      </c>
      <c r="J75" t="s">
        <v>798</v>
      </c>
      <c r="K75" t="s">
        <v>74</v>
      </c>
      <c r="L75" t="s">
        <v>74</v>
      </c>
      <c r="M75" t="s">
        <v>74</v>
      </c>
      <c r="N75" t="s">
        <v>74</v>
      </c>
      <c r="O75" t="s">
        <v>799</v>
      </c>
      <c r="P75" t="s">
        <v>800</v>
      </c>
      <c r="Q75" t="s">
        <v>108</v>
      </c>
      <c r="R75" t="s">
        <v>801</v>
      </c>
      <c r="S75" t="s">
        <v>74</v>
      </c>
      <c r="T75" t="s">
        <v>74</v>
      </c>
      <c r="U75" t="s">
        <v>74</v>
      </c>
      <c r="V75" t="s">
        <v>843</v>
      </c>
      <c r="W75" t="s">
        <v>74</v>
      </c>
      <c r="X75" t="s">
        <v>74</v>
      </c>
      <c r="Y75" t="s">
        <v>74</v>
      </c>
      <c r="Z75" t="s">
        <v>74</v>
      </c>
      <c r="AA75" t="s">
        <v>74</v>
      </c>
      <c r="AB75" t="s">
        <v>844</v>
      </c>
      <c r="AC75" t="s">
        <v>74</v>
      </c>
      <c r="AD75" t="s">
        <v>74</v>
      </c>
      <c r="AE75" t="s">
        <v>74</v>
      </c>
      <c r="AF75" t="s">
        <v>74</v>
      </c>
      <c r="AG75" t="s">
        <v>74</v>
      </c>
      <c r="AH75" t="s">
        <v>74</v>
      </c>
      <c r="AI75" t="s">
        <v>74</v>
      </c>
      <c r="AJ75" t="s">
        <v>74</v>
      </c>
      <c r="AK75" t="s">
        <v>74</v>
      </c>
      <c r="AL75" t="s">
        <v>74</v>
      </c>
      <c r="AM75" t="s">
        <v>74</v>
      </c>
      <c r="AN75" t="s">
        <v>74</v>
      </c>
      <c r="AO75" t="s">
        <v>74</v>
      </c>
      <c r="AP75" t="s">
        <v>74</v>
      </c>
      <c r="AQ75" t="s">
        <v>804</v>
      </c>
      <c r="AR75" t="s">
        <v>74</v>
      </c>
      <c r="AS75" t="s">
        <v>74</v>
      </c>
      <c r="AT75" t="s">
        <v>74</v>
      </c>
      <c r="AU75">
        <v>2022</v>
      </c>
      <c r="AV75" t="s">
        <v>74</v>
      </c>
      <c r="AW75" t="s">
        <v>74</v>
      </c>
      <c r="AX75" t="s">
        <v>74</v>
      </c>
      <c r="AY75" t="s">
        <v>74</v>
      </c>
      <c r="AZ75" t="s">
        <v>74</v>
      </c>
      <c r="BA75" t="s">
        <v>74</v>
      </c>
      <c r="BB75">
        <v>154</v>
      </c>
      <c r="BC75">
        <v>159</v>
      </c>
      <c r="BD75" t="s">
        <v>74</v>
      </c>
      <c r="BE75" t="s">
        <v>845</v>
      </c>
      <c r="BF75" t="str">
        <f>HYPERLINK("http://dx.doi.org/10.1109/VRW55335.2022.00043","http://dx.doi.org/10.1109/VRW55335.2022.00043")</f>
        <v>http://dx.doi.org/10.1109/VRW55335.2022.00043</v>
      </c>
      <c r="BG75" t="s">
        <v>74</v>
      </c>
      <c r="BH75" t="s">
        <v>74</v>
      </c>
      <c r="BI75" t="s">
        <v>74</v>
      </c>
      <c r="BJ75" t="s">
        <v>74</v>
      </c>
      <c r="BK75" t="s">
        <v>74</v>
      </c>
      <c r="BL75" t="s">
        <v>74</v>
      </c>
      <c r="BM75" t="s">
        <v>74</v>
      </c>
      <c r="BN75" t="s">
        <v>74</v>
      </c>
      <c r="BO75" t="s">
        <v>74</v>
      </c>
      <c r="BP75" t="s">
        <v>74</v>
      </c>
      <c r="BQ75" t="s">
        <v>74</v>
      </c>
      <c r="BR75" t="s">
        <v>74</v>
      </c>
      <c r="BS75" t="s">
        <v>846</v>
      </c>
      <c r="BT75" t="str">
        <f>HYPERLINK("https%3A%2F%2Fwww.webofscience.com%2Fwos%2Fwoscc%2Ffull-record%2FWOS:000808111800034","View Full Record in Web of Science")</f>
        <v>View Full Record in Web of Science</v>
      </c>
    </row>
    <row r="76" spans="1:72" x14ac:dyDescent="0.25">
      <c r="A76" t="s">
        <v>84</v>
      </c>
      <c r="B76" t="s">
        <v>847</v>
      </c>
      <c r="C76" t="s">
        <v>74</v>
      </c>
      <c r="D76" t="s">
        <v>848</v>
      </c>
      <c r="E76" t="s">
        <v>74</v>
      </c>
      <c r="F76" t="s">
        <v>849</v>
      </c>
      <c r="G76" t="s">
        <v>74</v>
      </c>
      <c r="H76" t="s">
        <v>74</v>
      </c>
      <c r="I76" t="s">
        <v>850</v>
      </c>
      <c r="J76" t="s">
        <v>851</v>
      </c>
      <c r="K76" t="s">
        <v>158</v>
      </c>
      <c r="L76" t="s">
        <v>74</v>
      </c>
      <c r="M76" t="s">
        <v>74</v>
      </c>
      <c r="N76" t="s">
        <v>74</v>
      </c>
      <c r="O76" t="s">
        <v>852</v>
      </c>
      <c r="P76" t="s">
        <v>288</v>
      </c>
      <c r="Q76" t="s">
        <v>108</v>
      </c>
      <c r="R76" t="s">
        <v>74</v>
      </c>
      <c r="S76" t="s">
        <v>74</v>
      </c>
      <c r="T76" t="s">
        <v>74</v>
      </c>
      <c r="U76" t="s">
        <v>74</v>
      </c>
      <c r="V76" t="s">
        <v>853</v>
      </c>
      <c r="W76" t="s">
        <v>74</v>
      </c>
      <c r="X76" t="s">
        <v>74</v>
      </c>
      <c r="Y76" t="s">
        <v>74</v>
      </c>
      <c r="Z76" t="s">
        <v>74</v>
      </c>
      <c r="AA76" t="s">
        <v>74</v>
      </c>
      <c r="AB76" t="s">
        <v>74</v>
      </c>
      <c r="AC76" t="s">
        <v>74</v>
      </c>
      <c r="AD76" t="s">
        <v>74</v>
      </c>
      <c r="AE76" t="s">
        <v>74</v>
      </c>
      <c r="AF76" t="s">
        <v>74</v>
      </c>
      <c r="AG76" t="s">
        <v>74</v>
      </c>
      <c r="AH76" t="s">
        <v>74</v>
      </c>
      <c r="AI76" t="s">
        <v>74</v>
      </c>
      <c r="AJ76" t="s">
        <v>74</v>
      </c>
      <c r="AK76" t="s">
        <v>74</v>
      </c>
      <c r="AL76" t="s">
        <v>74</v>
      </c>
      <c r="AM76" t="s">
        <v>74</v>
      </c>
      <c r="AN76" t="s">
        <v>74</v>
      </c>
      <c r="AO76" t="s">
        <v>164</v>
      </c>
      <c r="AP76" t="s">
        <v>165</v>
      </c>
      <c r="AQ76" t="s">
        <v>854</v>
      </c>
      <c r="AR76" t="s">
        <v>74</v>
      </c>
      <c r="AS76" t="s">
        <v>74</v>
      </c>
      <c r="AT76" t="s">
        <v>74</v>
      </c>
      <c r="AU76">
        <v>2022</v>
      </c>
      <c r="AV76">
        <v>13317</v>
      </c>
      <c r="AW76" t="s">
        <v>74</v>
      </c>
      <c r="AX76" t="s">
        <v>74</v>
      </c>
      <c r="AY76" t="s">
        <v>74</v>
      </c>
      <c r="AZ76" t="s">
        <v>74</v>
      </c>
      <c r="BA76" t="s">
        <v>74</v>
      </c>
      <c r="BB76">
        <v>45</v>
      </c>
      <c r="BC76">
        <v>57</v>
      </c>
      <c r="BD76" t="s">
        <v>74</v>
      </c>
      <c r="BE76" t="s">
        <v>855</v>
      </c>
      <c r="BF76" t="str">
        <f>HYPERLINK("http://dx.doi.org/10.1007/978-3-031-05939-1_4","http://dx.doi.org/10.1007/978-3-031-05939-1_4")</f>
        <v>http://dx.doi.org/10.1007/978-3-031-05939-1_4</v>
      </c>
      <c r="BG76" t="s">
        <v>74</v>
      </c>
      <c r="BH76" t="s">
        <v>74</v>
      </c>
      <c r="BI76" t="s">
        <v>74</v>
      </c>
      <c r="BJ76" t="s">
        <v>74</v>
      </c>
      <c r="BK76" t="s">
        <v>74</v>
      </c>
      <c r="BL76" t="s">
        <v>74</v>
      </c>
      <c r="BM76" t="s">
        <v>74</v>
      </c>
      <c r="BN76" t="s">
        <v>74</v>
      </c>
      <c r="BO76" t="s">
        <v>74</v>
      </c>
      <c r="BP76" t="s">
        <v>74</v>
      </c>
      <c r="BQ76" t="s">
        <v>74</v>
      </c>
      <c r="BR76" t="s">
        <v>74</v>
      </c>
      <c r="BS76" t="s">
        <v>856</v>
      </c>
      <c r="BT76" t="str">
        <f>HYPERLINK("https%3A%2F%2Fwww.webofscience.com%2Fwos%2Fwoscc%2Ffull-record%2FWOS:000870217300004","View Full Record in Web of Science")</f>
        <v>View Full Record in Web of Science</v>
      </c>
    </row>
    <row r="77" spans="1:72" x14ac:dyDescent="0.25">
      <c r="A77" t="s">
        <v>72</v>
      </c>
      <c r="B77" t="s">
        <v>857</v>
      </c>
      <c r="C77" t="s">
        <v>74</v>
      </c>
      <c r="D77" t="s">
        <v>74</v>
      </c>
      <c r="E77" t="s">
        <v>74</v>
      </c>
      <c r="F77" t="s">
        <v>858</v>
      </c>
      <c r="G77" t="s">
        <v>74</v>
      </c>
      <c r="H77" t="s">
        <v>74</v>
      </c>
      <c r="I77" t="s">
        <v>859</v>
      </c>
      <c r="J77" t="s">
        <v>460</v>
      </c>
      <c r="K77" t="s">
        <v>74</v>
      </c>
      <c r="L77" t="s">
        <v>74</v>
      </c>
      <c r="M77" t="s">
        <v>74</v>
      </c>
      <c r="N77" t="s">
        <v>74</v>
      </c>
      <c r="O77" t="s">
        <v>74</v>
      </c>
      <c r="P77" t="s">
        <v>74</v>
      </c>
      <c r="Q77" t="s">
        <v>74</v>
      </c>
      <c r="R77" t="s">
        <v>74</v>
      </c>
      <c r="S77" t="s">
        <v>74</v>
      </c>
      <c r="T77" t="s">
        <v>74</v>
      </c>
      <c r="U77" t="s">
        <v>74</v>
      </c>
      <c r="V77" t="s">
        <v>860</v>
      </c>
      <c r="W77" t="s">
        <v>74</v>
      </c>
      <c r="X77" t="s">
        <v>74</v>
      </c>
      <c r="Y77" t="s">
        <v>74</v>
      </c>
      <c r="Z77" t="s">
        <v>74</v>
      </c>
      <c r="AA77" t="s">
        <v>74</v>
      </c>
      <c r="AB77" t="s">
        <v>861</v>
      </c>
      <c r="AC77" t="s">
        <v>74</v>
      </c>
      <c r="AD77" t="s">
        <v>74</v>
      </c>
      <c r="AE77" t="s">
        <v>74</v>
      </c>
      <c r="AF77" t="s">
        <v>74</v>
      </c>
      <c r="AG77" t="s">
        <v>74</v>
      </c>
      <c r="AH77" t="s">
        <v>74</v>
      </c>
      <c r="AI77" t="s">
        <v>74</v>
      </c>
      <c r="AJ77" t="s">
        <v>74</v>
      </c>
      <c r="AK77" t="s">
        <v>74</v>
      </c>
      <c r="AL77" t="s">
        <v>74</v>
      </c>
      <c r="AM77" t="s">
        <v>74</v>
      </c>
      <c r="AN77" t="s">
        <v>74</v>
      </c>
      <c r="AO77" t="s">
        <v>74</v>
      </c>
      <c r="AP77" t="s">
        <v>464</v>
      </c>
      <c r="AQ77" t="s">
        <v>74</v>
      </c>
      <c r="AR77" t="s">
        <v>74</v>
      </c>
      <c r="AS77" t="s">
        <v>74</v>
      </c>
      <c r="AT77" t="s">
        <v>366</v>
      </c>
      <c r="AU77">
        <v>2022</v>
      </c>
      <c r="AV77">
        <v>14</v>
      </c>
      <c r="AW77">
        <v>6</v>
      </c>
      <c r="AX77" t="s">
        <v>74</v>
      </c>
      <c r="AY77" t="s">
        <v>74</v>
      </c>
      <c r="AZ77" t="s">
        <v>74</v>
      </c>
      <c r="BA77" t="s">
        <v>74</v>
      </c>
      <c r="BB77" t="s">
        <v>74</v>
      </c>
      <c r="BC77" t="s">
        <v>74</v>
      </c>
      <c r="BD77">
        <v>3629</v>
      </c>
      <c r="BE77" t="s">
        <v>862</v>
      </c>
      <c r="BF77" t="str">
        <f>HYPERLINK("http://dx.doi.org/10.3390/su14063629","http://dx.doi.org/10.3390/su14063629")</f>
        <v>http://dx.doi.org/10.3390/su14063629</v>
      </c>
      <c r="BG77" t="s">
        <v>74</v>
      </c>
      <c r="BH77" t="s">
        <v>74</v>
      </c>
      <c r="BI77" t="s">
        <v>74</v>
      </c>
      <c r="BJ77" t="s">
        <v>74</v>
      </c>
      <c r="BK77" t="s">
        <v>74</v>
      </c>
      <c r="BL77" t="s">
        <v>74</v>
      </c>
      <c r="BM77" t="s">
        <v>74</v>
      </c>
      <c r="BN77" t="s">
        <v>74</v>
      </c>
      <c r="BO77" t="s">
        <v>74</v>
      </c>
      <c r="BP77" t="s">
        <v>74</v>
      </c>
      <c r="BQ77" t="s">
        <v>74</v>
      </c>
      <c r="BR77" t="s">
        <v>74</v>
      </c>
      <c r="BS77" t="s">
        <v>863</v>
      </c>
      <c r="BT77" t="str">
        <f>HYPERLINK("https%3A%2F%2Fwww.webofscience.com%2Fwos%2Fwoscc%2Ffull-record%2FWOS:000774313100001","View Full Record in Web of Science")</f>
        <v>View Full Record in Web of Science</v>
      </c>
    </row>
    <row r="78" spans="1:72" x14ac:dyDescent="0.25">
      <c r="A78" t="s">
        <v>72</v>
      </c>
      <c r="B78" t="s">
        <v>864</v>
      </c>
      <c r="C78" t="s">
        <v>74</v>
      </c>
      <c r="D78" t="s">
        <v>74</v>
      </c>
      <c r="E78" t="s">
        <v>74</v>
      </c>
      <c r="F78" t="s">
        <v>865</v>
      </c>
      <c r="G78" t="s">
        <v>74</v>
      </c>
      <c r="H78" t="s">
        <v>74</v>
      </c>
      <c r="I78" t="s">
        <v>866</v>
      </c>
      <c r="J78" t="s">
        <v>119</v>
      </c>
      <c r="K78" t="s">
        <v>74</v>
      </c>
      <c r="L78" t="s">
        <v>74</v>
      </c>
      <c r="M78" t="s">
        <v>74</v>
      </c>
      <c r="N78" t="s">
        <v>74</v>
      </c>
      <c r="O78" t="s">
        <v>74</v>
      </c>
      <c r="P78" t="s">
        <v>74</v>
      </c>
      <c r="Q78" t="s">
        <v>74</v>
      </c>
      <c r="R78" t="s">
        <v>74</v>
      </c>
      <c r="S78" t="s">
        <v>74</v>
      </c>
      <c r="T78" t="s">
        <v>74</v>
      </c>
      <c r="U78" t="s">
        <v>74</v>
      </c>
      <c r="V78" t="s">
        <v>867</v>
      </c>
      <c r="W78" t="s">
        <v>74</v>
      </c>
      <c r="X78" t="s">
        <v>74</v>
      </c>
      <c r="Y78" t="s">
        <v>74</v>
      </c>
      <c r="Z78" t="s">
        <v>74</v>
      </c>
      <c r="AA78" t="s">
        <v>74</v>
      </c>
      <c r="AB78" t="s">
        <v>74</v>
      </c>
      <c r="AC78" t="s">
        <v>74</v>
      </c>
      <c r="AD78" t="s">
        <v>74</v>
      </c>
      <c r="AE78" t="s">
        <v>74</v>
      </c>
      <c r="AF78" t="s">
        <v>74</v>
      </c>
      <c r="AG78" t="s">
        <v>74</v>
      </c>
      <c r="AH78" t="s">
        <v>74</v>
      </c>
      <c r="AI78" t="s">
        <v>74</v>
      </c>
      <c r="AJ78" t="s">
        <v>74</v>
      </c>
      <c r="AK78" t="s">
        <v>74</v>
      </c>
      <c r="AL78" t="s">
        <v>74</v>
      </c>
      <c r="AM78" t="s">
        <v>74</v>
      </c>
      <c r="AN78" t="s">
        <v>74</v>
      </c>
      <c r="AO78" t="s">
        <v>74</v>
      </c>
      <c r="AP78" t="s">
        <v>123</v>
      </c>
      <c r="AQ78" t="s">
        <v>74</v>
      </c>
      <c r="AR78" t="s">
        <v>74</v>
      </c>
      <c r="AS78" t="s">
        <v>74</v>
      </c>
      <c r="AT78" t="s">
        <v>366</v>
      </c>
      <c r="AU78">
        <v>2023</v>
      </c>
      <c r="AV78">
        <v>12</v>
      </c>
      <c r="AW78">
        <v>6</v>
      </c>
      <c r="AX78" t="s">
        <v>74</v>
      </c>
      <c r="AY78" t="s">
        <v>74</v>
      </c>
      <c r="AZ78" t="s">
        <v>74</v>
      </c>
      <c r="BA78" t="s">
        <v>74</v>
      </c>
      <c r="BB78" t="s">
        <v>74</v>
      </c>
      <c r="BC78" t="s">
        <v>74</v>
      </c>
      <c r="BD78">
        <v>1379</v>
      </c>
      <c r="BE78" t="s">
        <v>868</v>
      </c>
      <c r="BF78" t="str">
        <f>HYPERLINK("http://dx.doi.org/10.3390/electronics12061379","http://dx.doi.org/10.3390/electronics12061379")</f>
        <v>http://dx.doi.org/10.3390/electronics12061379</v>
      </c>
      <c r="BG78" t="s">
        <v>74</v>
      </c>
      <c r="BH78" t="s">
        <v>74</v>
      </c>
      <c r="BI78" t="s">
        <v>74</v>
      </c>
      <c r="BJ78" t="s">
        <v>74</v>
      </c>
      <c r="BK78" t="s">
        <v>74</v>
      </c>
      <c r="BL78" t="s">
        <v>74</v>
      </c>
      <c r="BM78" t="s">
        <v>74</v>
      </c>
      <c r="BN78" t="s">
        <v>74</v>
      </c>
      <c r="BO78" t="s">
        <v>74</v>
      </c>
      <c r="BP78" t="s">
        <v>74</v>
      </c>
      <c r="BQ78" t="s">
        <v>74</v>
      </c>
      <c r="BR78" t="s">
        <v>74</v>
      </c>
      <c r="BS78" t="s">
        <v>869</v>
      </c>
      <c r="BT78" t="str">
        <f>HYPERLINK("https%3A%2F%2Fwww.webofscience.com%2Fwos%2Fwoscc%2Ffull-record%2FWOS:000955886500001","View Full Record in Web of Science")</f>
        <v>View Full Record in Web of Science</v>
      </c>
    </row>
    <row r="79" spans="1:72" x14ac:dyDescent="0.25">
      <c r="A79" t="s">
        <v>72</v>
      </c>
      <c r="B79" t="s">
        <v>870</v>
      </c>
      <c r="C79" t="s">
        <v>74</v>
      </c>
      <c r="D79" t="s">
        <v>74</v>
      </c>
      <c r="E79" t="s">
        <v>74</v>
      </c>
      <c r="F79" t="s">
        <v>871</v>
      </c>
      <c r="G79" t="s">
        <v>74</v>
      </c>
      <c r="H79" t="s">
        <v>74</v>
      </c>
      <c r="I79" t="s">
        <v>872</v>
      </c>
      <c r="J79" t="s">
        <v>873</v>
      </c>
      <c r="K79" t="s">
        <v>74</v>
      </c>
      <c r="L79" t="s">
        <v>74</v>
      </c>
      <c r="M79" t="s">
        <v>74</v>
      </c>
      <c r="N79" t="s">
        <v>74</v>
      </c>
      <c r="O79" t="s">
        <v>74</v>
      </c>
      <c r="P79" t="s">
        <v>74</v>
      </c>
      <c r="Q79" t="s">
        <v>74</v>
      </c>
      <c r="R79" t="s">
        <v>74</v>
      </c>
      <c r="S79" t="s">
        <v>74</v>
      </c>
      <c r="T79" t="s">
        <v>74</v>
      </c>
      <c r="U79" t="s">
        <v>74</v>
      </c>
      <c r="V79" t="s">
        <v>874</v>
      </c>
      <c r="W79" t="s">
        <v>74</v>
      </c>
      <c r="X79" t="s">
        <v>74</v>
      </c>
      <c r="Y79" t="s">
        <v>74</v>
      </c>
      <c r="Z79" t="s">
        <v>74</v>
      </c>
      <c r="AA79" t="s">
        <v>875</v>
      </c>
      <c r="AB79" t="s">
        <v>876</v>
      </c>
      <c r="AC79" t="s">
        <v>74</v>
      </c>
      <c r="AD79" t="s">
        <v>74</v>
      </c>
      <c r="AE79" t="s">
        <v>74</v>
      </c>
      <c r="AF79" t="s">
        <v>74</v>
      </c>
      <c r="AG79" t="s">
        <v>74</v>
      </c>
      <c r="AH79" t="s">
        <v>74</v>
      </c>
      <c r="AI79" t="s">
        <v>74</v>
      </c>
      <c r="AJ79" t="s">
        <v>74</v>
      </c>
      <c r="AK79" t="s">
        <v>74</v>
      </c>
      <c r="AL79" t="s">
        <v>74</v>
      </c>
      <c r="AM79" t="s">
        <v>74</v>
      </c>
      <c r="AN79" t="s">
        <v>74</v>
      </c>
      <c r="AO79" t="s">
        <v>74</v>
      </c>
      <c r="AP79" t="s">
        <v>877</v>
      </c>
      <c r="AQ79" t="s">
        <v>74</v>
      </c>
      <c r="AR79" t="s">
        <v>74</v>
      </c>
      <c r="AS79" t="s">
        <v>74</v>
      </c>
      <c r="AT79" t="s">
        <v>175</v>
      </c>
      <c r="AU79">
        <v>2023</v>
      </c>
      <c r="AV79">
        <v>23</v>
      </c>
      <c r="AW79">
        <v>2</v>
      </c>
      <c r="AX79" t="s">
        <v>74</v>
      </c>
      <c r="AY79" t="s">
        <v>74</v>
      </c>
      <c r="AZ79" t="s">
        <v>74</v>
      </c>
      <c r="BA79" t="s">
        <v>74</v>
      </c>
      <c r="BB79" t="s">
        <v>74</v>
      </c>
      <c r="BC79" t="s">
        <v>74</v>
      </c>
      <c r="BD79">
        <v>565</v>
      </c>
      <c r="BE79" t="s">
        <v>878</v>
      </c>
      <c r="BF79" t="str">
        <f>HYPERLINK("http://dx.doi.org/10.3390/s23020565","http://dx.doi.org/10.3390/s23020565")</f>
        <v>http://dx.doi.org/10.3390/s23020565</v>
      </c>
      <c r="BG79" t="s">
        <v>74</v>
      </c>
      <c r="BH79" t="s">
        <v>74</v>
      </c>
      <c r="BI79" t="s">
        <v>74</v>
      </c>
      <c r="BJ79" t="s">
        <v>74</v>
      </c>
      <c r="BK79" t="s">
        <v>74</v>
      </c>
      <c r="BL79" t="s">
        <v>74</v>
      </c>
      <c r="BM79" t="s">
        <v>74</v>
      </c>
      <c r="BN79">
        <v>36679361</v>
      </c>
      <c r="BO79" t="s">
        <v>74</v>
      </c>
      <c r="BP79" t="s">
        <v>74</v>
      </c>
      <c r="BQ79" t="s">
        <v>74</v>
      </c>
      <c r="BR79" t="s">
        <v>74</v>
      </c>
      <c r="BS79" t="s">
        <v>879</v>
      </c>
      <c r="BT79" t="str">
        <f>HYPERLINK("https%3A%2F%2Fwww.webofscience.com%2Fwos%2Fwoscc%2Ffull-record%2FWOS:000918933500001","View Full Record in Web of Science")</f>
        <v>View Full Record in Web of Science</v>
      </c>
    </row>
    <row r="80" spans="1:72" x14ac:dyDescent="0.25">
      <c r="A80" t="s">
        <v>72</v>
      </c>
      <c r="B80" t="s">
        <v>880</v>
      </c>
      <c r="C80" t="s">
        <v>74</v>
      </c>
      <c r="D80" t="s">
        <v>74</v>
      </c>
      <c r="E80" t="s">
        <v>74</v>
      </c>
      <c r="F80" t="s">
        <v>881</v>
      </c>
      <c r="G80" t="s">
        <v>74</v>
      </c>
      <c r="H80" t="s">
        <v>74</v>
      </c>
      <c r="I80" t="s">
        <v>882</v>
      </c>
      <c r="J80" t="s">
        <v>883</v>
      </c>
      <c r="K80" t="s">
        <v>74</v>
      </c>
      <c r="L80" t="s">
        <v>74</v>
      </c>
      <c r="M80" t="s">
        <v>74</v>
      </c>
      <c r="N80" t="s">
        <v>74</v>
      </c>
      <c r="O80" t="s">
        <v>74</v>
      </c>
      <c r="P80" t="s">
        <v>74</v>
      </c>
      <c r="Q80" t="s">
        <v>74</v>
      </c>
      <c r="R80" t="s">
        <v>74</v>
      </c>
      <c r="S80" t="s">
        <v>74</v>
      </c>
      <c r="T80" t="s">
        <v>74</v>
      </c>
      <c r="U80" t="s">
        <v>74</v>
      </c>
      <c r="V80" t="s">
        <v>884</v>
      </c>
      <c r="W80" t="s">
        <v>74</v>
      </c>
      <c r="X80" t="s">
        <v>74</v>
      </c>
      <c r="Y80" t="s">
        <v>74</v>
      </c>
      <c r="Z80" t="s">
        <v>74</v>
      </c>
      <c r="AA80" t="s">
        <v>74</v>
      </c>
      <c r="AB80" t="s">
        <v>74</v>
      </c>
      <c r="AC80" t="s">
        <v>74</v>
      </c>
      <c r="AD80" t="s">
        <v>74</v>
      </c>
      <c r="AE80" t="s">
        <v>74</v>
      </c>
      <c r="AF80" t="s">
        <v>74</v>
      </c>
      <c r="AG80" t="s">
        <v>74</v>
      </c>
      <c r="AH80" t="s">
        <v>74</v>
      </c>
      <c r="AI80" t="s">
        <v>74</v>
      </c>
      <c r="AJ80" t="s">
        <v>74</v>
      </c>
      <c r="AK80" t="s">
        <v>74</v>
      </c>
      <c r="AL80" t="s">
        <v>74</v>
      </c>
      <c r="AM80" t="s">
        <v>74</v>
      </c>
      <c r="AN80" t="s">
        <v>74</v>
      </c>
      <c r="AO80" t="s">
        <v>885</v>
      </c>
      <c r="AP80" t="s">
        <v>886</v>
      </c>
      <c r="AQ80" t="s">
        <v>74</v>
      </c>
      <c r="AR80" t="s">
        <v>74</v>
      </c>
      <c r="AS80" t="s">
        <v>74</v>
      </c>
      <c r="AT80" t="s">
        <v>74</v>
      </c>
      <c r="AU80" t="s">
        <v>74</v>
      </c>
      <c r="AV80" t="s">
        <v>74</v>
      </c>
      <c r="AW80" t="s">
        <v>74</v>
      </c>
      <c r="AX80" t="s">
        <v>74</v>
      </c>
      <c r="AY80" t="s">
        <v>74</v>
      </c>
      <c r="AZ80" t="s">
        <v>74</v>
      </c>
      <c r="BA80" t="s">
        <v>74</v>
      </c>
      <c r="BB80" t="s">
        <v>74</v>
      </c>
      <c r="BC80" t="s">
        <v>74</v>
      </c>
      <c r="BD80" t="s">
        <v>74</v>
      </c>
      <c r="BE80" t="s">
        <v>887</v>
      </c>
      <c r="BF80" t="str">
        <f>HYPERLINK("http://dx.doi.org/10.1007/s10055-023-00783-2","http://dx.doi.org/10.1007/s10055-023-00783-2")</f>
        <v>http://dx.doi.org/10.1007/s10055-023-00783-2</v>
      </c>
      <c r="BG80" t="s">
        <v>74</v>
      </c>
      <c r="BH80" t="s">
        <v>401</v>
      </c>
      <c r="BI80" t="s">
        <v>74</v>
      </c>
      <c r="BJ80" t="s">
        <v>74</v>
      </c>
      <c r="BK80" t="s">
        <v>74</v>
      </c>
      <c r="BL80" t="s">
        <v>74</v>
      </c>
      <c r="BM80" t="s">
        <v>74</v>
      </c>
      <c r="BN80" t="s">
        <v>74</v>
      </c>
      <c r="BO80" t="s">
        <v>74</v>
      </c>
      <c r="BP80" t="s">
        <v>74</v>
      </c>
      <c r="BQ80" t="s">
        <v>74</v>
      </c>
      <c r="BR80" t="s">
        <v>74</v>
      </c>
      <c r="BS80" t="s">
        <v>888</v>
      </c>
      <c r="BT80" t="str">
        <f>HYPERLINK("https%3A%2F%2Fwww.webofscience.com%2Fwos%2Fwoscc%2Ffull-record%2FWOS:000951298500001","View Full Record in Web of Science")</f>
        <v>View Full Record in Web of Science</v>
      </c>
    </row>
    <row r="81" spans="1:72" x14ac:dyDescent="0.25">
      <c r="A81" t="s">
        <v>84</v>
      </c>
      <c r="B81" t="s">
        <v>889</v>
      </c>
      <c r="C81" t="s">
        <v>74</v>
      </c>
      <c r="D81" t="s">
        <v>74</v>
      </c>
      <c r="E81" t="s">
        <v>233</v>
      </c>
      <c r="F81" t="s">
        <v>890</v>
      </c>
      <c r="G81" t="s">
        <v>74</v>
      </c>
      <c r="H81" t="s">
        <v>74</v>
      </c>
      <c r="I81" t="s">
        <v>891</v>
      </c>
      <c r="J81" t="s">
        <v>892</v>
      </c>
      <c r="K81" t="s">
        <v>74</v>
      </c>
      <c r="L81" t="s">
        <v>74</v>
      </c>
      <c r="M81" t="s">
        <v>74</v>
      </c>
      <c r="N81" t="s">
        <v>74</v>
      </c>
      <c r="O81" t="s">
        <v>893</v>
      </c>
      <c r="P81" t="s">
        <v>894</v>
      </c>
      <c r="Q81" t="s">
        <v>108</v>
      </c>
      <c r="R81" t="s">
        <v>241</v>
      </c>
      <c r="S81" t="s">
        <v>74</v>
      </c>
      <c r="T81" t="s">
        <v>74</v>
      </c>
      <c r="U81" t="s">
        <v>74</v>
      </c>
      <c r="V81" t="s">
        <v>895</v>
      </c>
      <c r="W81" t="s">
        <v>74</v>
      </c>
      <c r="X81" t="s">
        <v>74</v>
      </c>
      <c r="Y81" t="s">
        <v>74</v>
      </c>
      <c r="Z81" t="s">
        <v>74</v>
      </c>
      <c r="AA81" t="s">
        <v>74</v>
      </c>
      <c r="AB81" t="s">
        <v>74</v>
      </c>
      <c r="AC81" t="s">
        <v>74</v>
      </c>
      <c r="AD81" t="s">
        <v>74</v>
      </c>
      <c r="AE81" t="s">
        <v>74</v>
      </c>
      <c r="AF81" t="s">
        <v>74</v>
      </c>
      <c r="AG81" t="s">
        <v>74</v>
      </c>
      <c r="AH81" t="s">
        <v>74</v>
      </c>
      <c r="AI81" t="s">
        <v>74</v>
      </c>
      <c r="AJ81" t="s">
        <v>74</v>
      </c>
      <c r="AK81" t="s">
        <v>74</v>
      </c>
      <c r="AL81" t="s">
        <v>74</v>
      </c>
      <c r="AM81" t="s">
        <v>74</v>
      </c>
      <c r="AN81" t="s">
        <v>74</v>
      </c>
      <c r="AO81" t="s">
        <v>74</v>
      </c>
      <c r="AP81" t="s">
        <v>74</v>
      </c>
      <c r="AQ81" t="s">
        <v>896</v>
      </c>
      <c r="AR81" t="s">
        <v>74</v>
      </c>
      <c r="AS81" t="s">
        <v>74</v>
      </c>
      <c r="AT81" t="s">
        <v>74</v>
      </c>
      <c r="AU81">
        <v>2021</v>
      </c>
      <c r="AV81" t="s">
        <v>74</v>
      </c>
      <c r="AW81" t="s">
        <v>74</v>
      </c>
      <c r="AX81" t="s">
        <v>74</v>
      </c>
      <c r="AY81" t="s">
        <v>74</v>
      </c>
      <c r="AZ81" t="s">
        <v>74</v>
      </c>
      <c r="BA81" t="s">
        <v>74</v>
      </c>
      <c r="BB81">
        <v>281</v>
      </c>
      <c r="BC81">
        <v>288</v>
      </c>
      <c r="BD81" t="s">
        <v>74</v>
      </c>
      <c r="BE81" t="s">
        <v>897</v>
      </c>
      <c r="BF81" t="str">
        <f>HYPERLINK("http://dx.doi.org/10.1109/TPSISA52974.2021.00032","http://dx.doi.org/10.1109/TPSISA52974.2021.00032")</f>
        <v>http://dx.doi.org/10.1109/TPSISA52974.2021.00032</v>
      </c>
      <c r="BG81" t="s">
        <v>74</v>
      </c>
      <c r="BH81" t="s">
        <v>74</v>
      </c>
      <c r="BI81" t="s">
        <v>74</v>
      </c>
      <c r="BJ81" t="s">
        <v>74</v>
      </c>
      <c r="BK81" t="s">
        <v>74</v>
      </c>
      <c r="BL81" t="s">
        <v>74</v>
      </c>
      <c r="BM81" t="s">
        <v>74</v>
      </c>
      <c r="BN81" t="s">
        <v>74</v>
      </c>
      <c r="BO81" t="s">
        <v>74</v>
      </c>
      <c r="BP81" t="s">
        <v>74</v>
      </c>
      <c r="BQ81" t="s">
        <v>74</v>
      </c>
      <c r="BR81" t="s">
        <v>74</v>
      </c>
      <c r="BS81" t="s">
        <v>898</v>
      </c>
      <c r="BT81" t="str">
        <f>HYPERLINK("https%3A%2F%2Fwww.webofscience.com%2Fwos%2Fwoscc%2Ffull-record%2FWOS:000852717500033","View Full Record in Web of Science")</f>
        <v>View Full Record in Web of Science</v>
      </c>
    </row>
    <row r="82" spans="1:72" x14ac:dyDescent="0.25">
      <c r="A82" t="s">
        <v>84</v>
      </c>
      <c r="B82" t="s">
        <v>899</v>
      </c>
      <c r="C82" t="s">
        <v>74</v>
      </c>
      <c r="D82" t="s">
        <v>900</v>
      </c>
      <c r="E82" t="s">
        <v>74</v>
      </c>
      <c r="F82" t="s">
        <v>901</v>
      </c>
      <c r="G82" t="s">
        <v>74</v>
      </c>
      <c r="H82" t="s">
        <v>74</v>
      </c>
      <c r="I82" t="s">
        <v>902</v>
      </c>
      <c r="J82" t="s">
        <v>903</v>
      </c>
      <c r="K82" t="s">
        <v>158</v>
      </c>
      <c r="L82" t="s">
        <v>74</v>
      </c>
      <c r="M82" t="s">
        <v>74</v>
      </c>
      <c r="N82" t="s">
        <v>74</v>
      </c>
      <c r="O82" t="s">
        <v>904</v>
      </c>
      <c r="P82" t="s">
        <v>226</v>
      </c>
      <c r="Q82" t="s">
        <v>108</v>
      </c>
      <c r="R82" t="s">
        <v>227</v>
      </c>
      <c r="S82" t="s">
        <v>74</v>
      </c>
      <c r="T82" t="s">
        <v>74</v>
      </c>
      <c r="U82" t="s">
        <v>74</v>
      </c>
      <c r="V82" t="s">
        <v>905</v>
      </c>
      <c r="W82" t="s">
        <v>74</v>
      </c>
      <c r="X82" t="s">
        <v>74</v>
      </c>
      <c r="Y82" t="s">
        <v>74</v>
      </c>
      <c r="Z82" t="s">
        <v>74</v>
      </c>
      <c r="AA82" t="s">
        <v>906</v>
      </c>
      <c r="AB82" t="s">
        <v>907</v>
      </c>
      <c r="AC82" t="s">
        <v>74</v>
      </c>
      <c r="AD82" t="s">
        <v>74</v>
      </c>
      <c r="AE82" t="s">
        <v>74</v>
      </c>
      <c r="AF82" t="s">
        <v>74</v>
      </c>
      <c r="AG82" t="s">
        <v>74</v>
      </c>
      <c r="AH82" t="s">
        <v>74</v>
      </c>
      <c r="AI82" t="s">
        <v>74</v>
      </c>
      <c r="AJ82" t="s">
        <v>74</v>
      </c>
      <c r="AK82" t="s">
        <v>74</v>
      </c>
      <c r="AL82" t="s">
        <v>74</v>
      </c>
      <c r="AM82" t="s">
        <v>74</v>
      </c>
      <c r="AN82" t="s">
        <v>74</v>
      </c>
      <c r="AO82" t="s">
        <v>164</v>
      </c>
      <c r="AP82" t="s">
        <v>165</v>
      </c>
      <c r="AQ82" t="s">
        <v>908</v>
      </c>
      <c r="AR82" t="s">
        <v>74</v>
      </c>
      <c r="AS82" t="s">
        <v>74</v>
      </c>
      <c r="AT82" t="s">
        <v>74</v>
      </c>
      <c r="AU82">
        <v>2022</v>
      </c>
      <c r="AV82">
        <v>12988</v>
      </c>
      <c r="AW82" t="s">
        <v>74</v>
      </c>
      <c r="AX82" t="s">
        <v>74</v>
      </c>
      <c r="AY82" t="s">
        <v>74</v>
      </c>
      <c r="AZ82" t="s">
        <v>74</v>
      </c>
      <c r="BA82" t="s">
        <v>74</v>
      </c>
      <c r="BB82">
        <v>109</v>
      </c>
      <c r="BC82">
        <v>119</v>
      </c>
      <c r="BD82" t="s">
        <v>74</v>
      </c>
      <c r="BE82" t="s">
        <v>909</v>
      </c>
      <c r="BF82" t="str">
        <f>HYPERLINK("http://dx.doi.org/10.1007/978-3-030-96282-1_8","http://dx.doi.org/10.1007/978-3-030-96282-1_8")</f>
        <v>http://dx.doi.org/10.1007/978-3-030-96282-1_8</v>
      </c>
      <c r="BG82" t="s">
        <v>74</v>
      </c>
      <c r="BH82" t="s">
        <v>74</v>
      </c>
      <c r="BI82" t="s">
        <v>74</v>
      </c>
      <c r="BJ82" t="s">
        <v>74</v>
      </c>
      <c r="BK82" t="s">
        <v>74</v>
      </c>
      <c r="BL82" t="s">
        <v>74</v>
      </c>
      <c r="BM82" t="s">
        <v>74</v>
      </c>
      <c r="BN82" t="s">
        <v>74</v>
      </c>
      <c r="BO82" t="s">
        <v>74</v>
      </c>
      <c r="BP82" t="s">
        <v>74</v>
      </c>
      <c r="BQ82" t="s">
        <v>74</v>
      </c>
      <c r="BR82" t="s">
        <v>74</v>
      </c>
      <c r="BS82" t="s">
        <v>910</v>
      </c>
      <c r="BT82" t="str">
        <f>HYPERLINK("https%3A%2F%2Fwww.webofscience.com%2Fwos%2Fwoscc%2Ffull-record%2FWOS:000774371600008","View Full Record in Web of Science")</f>
        <v>View Full Record in Web of Science</v>
      </c>
    </row>
    <row r="83" spans="1:72" x14ac:dyDescent="0.25">
      <c r="A83" t="s">
        <v>72</v>
      </c>
      <c r="B83" t="s">
        <v>911</v>
      </c>
      <c r="C83" t="s">
        <v>74</v>
      </c>
      <c r="D83" t="s">
        <v>74</v>
      </c>
      <c r="E83" t="s">
        <v>74</v>
      </c>
      <c r="F83" t="s">
        <v>912</v>
      </c>
      <c r="G83" t="s">
        <v>74</v>
      </c>
      <c r="H83" t="s">
        <v>74</v>
      </c>
      <c r="I83" t="s">
        <v>913</v>
      </c>
      <c r="J83" t="s">
        <v>914</v>
      </c>
      <c r="K83" t="s">
        <v>74</v>
      </c>
      <c r="L83" t="s">
        <v>74</v>
      </c>
      <c r="M83" t="s">
        <v>74</v>
      </c>
      <c r="N83" t="s">
        <v>74</v>
      </c>
      <c r="O83" t="s">
        <v>74</v>
      </c>
      <c r="P83" t="s">
        <v>74</v>
      </c>
      <c r="Q83" t="s">
        <v>74</v>
      </c>
      <c r="R83" t="s">
        <v>74</v>
      </c>
      <c r="S83" t="s">
        <v>74</v>
      </c>
      <c r="T83" t="s">
        <v>74</v>
      </c>
      <c r="U83" t="s">
        <v>74</v>
      </c>
      <c r="V83" t="s">
        <v>74</v>
      </c>
      <c r="W83" t="s">
        <v>74</v>
      </c>
      <c r="X83" t="s">
        <v>74</v>
      </c>
      <c r="Y83" t="s">
        <v>74</v>
      </c>
      <c r="Z83" t="s">
        <v>74</v>
      </c>
      <c r="AA83" t="s">
        <v>915</v>
      </c>
      <c r="AB83" t="s">
        <v>916</v>
      </c>
      <c r="AC83" t="s">
        <v>74</v>
      </c>
      <c r="AD83" t="s">
        <v>74</v>
      </c>
      <c r="AE83" t="s">
        <v>74</v>
      </c>
      <c r="AF83" t="s">
        <v>74</v>
      </c>
      <c r="AG83" t="s">
        <v>74</v>
      </c>
      <c r="AH83" t="s">
        <v>74</v>
      </c>
      <c r="AI83" t="s">
        <v>74</v>
      </c>
      <c r="AJ83" t="s">
        <v>74</v>
      </c>
      <c r="AK83" t="s">
        <v>74</v>
      </c>
      <c r="AL83" t="s">
        <v>74</v>
      </c>
      <c r="AM83" t="s">
        <v>74</v>
      </c>
      <c r="AN83" t="s">
        <v>74</v>
      </c>
      <c r="AO83" t="s">
        <v>917</v>
      </c>
      <c r="AP83" t="s">
        <v>918</v>
      </c>
      <c r="AQ83" t="s">
        <v>74</v>
      </c>
      <c r="AR83" t="s">
        <v>74</v>
      </c>
      <c r="AS83" t="s">
        <v>74</v>
      </c>
      <c r="AT83" t="s">
        <v>919</v>
      </c>
      <c r="AU83">
        <v>2022</v>
      </c>
      <c r="AV83">
        <v>56</v>
      </c>
      <c r="AW83">
        <v>8</v>
      </c>
      <c r="AX83" t="s">
        <v>74</v>
      </c>
      <c r="AY83" t="s">
        <v>74</v>
      </c>
      <c r="AZ83" t="s">
        <v>74</v>
      </c>
      <c r="BA83" t="s">
        <v>74</v>
      </c>
      <c r="BB83">
        <v>4721</v>
      </c>
      <c r="BC83">
        <v>4723</v>
      </c>
      <c r="BD83" t="s">
        <v>74</v>
      </c>
      <c r="BE83" t="s">
        <v>920</v>
      </c>
      <c r="BF83" t="str">
        <f>HYPERLINK("http://dx.doi.org/10.1021/acs.est.2c01562","http://dx.doi.org/10.1021/acs.est.2c01562")</f>
        <v>http://dx.doi.org/10.1021/acs.est.2c01562</v>
      </c>
      <c r="BG83" t="s">
        <v>74</v>
      </c>
      <c r="BH83" t="s">
        <v>74</v>
      </c>
      <c r="BI83" t="s">
        <v>74</v>
      </c>
      <c r="BJ83" t="s">
        <v>74</v>
      </c>
      <c r="BK83" t="s">
        <v>74</v>
      </c>
      <c r="BL83" t="s">
        <v>74</v>
      </c>
      <c r="BM83" t="s">
        <v>74</v>
      </c>
      <c r="BN83">
        <v>35380430</v>
      </c>
      <c r="BO83" t="s">
        <v>74</v>
      </c>
      <c r="BP83" t="s">
        <v>74</v>
      </c>
      <c r="BQ83" t="s">
        <v>74</v>
      </c>
      <c r="BR83" t="s">
        <v>74</v>
      </c>
      <c r="BS83" t="s">
        <v>921</v>
      </c>
      <c r="BT83" t="str">
        <f>HYPERLINK("https%3A%2F%2Fwww.webofscience.com%2Fwos%2Fwoscc%2Ffull-record%2FWOS:000793137500006","View Full Record in Web of Science")</f>
        <v>View Full Record in Web of Science</v>
      </c>
    </row>
    <row r="84" spans="1:72" x14ac:dyDescent="0.25">
      <c r="A84" t="s">
        <v>84</v>
      </c>
      <c r="B84" t="s">
        <v>922</v>
      </c>
      <c r="C84" t="s">
        <v>74</v>
      </c>
      <c r="D84" t="s">
        <v>74</v>
      </c>
      <c r="E84" t="s">
        <v>86</v>
      </c>
      <c r="F84" t="s">
        <v>923</v>
      </c>
      <c r="G84" t="s">
        <v>74</v>
      </c>
      <c r="H84" t="s">
        <v>74</v>
      </c>
      <c r="I84" t="s">
        <v>924</v>
      </c>
      <c r="J84" t="s">
        <v>925</v>
      </c>
      <c r="K84" t="s">
        <v>926</v>
      </c>
      <c r="L84" t="s">
        <v>74</v>
      </c>
      <c r="M84" t="s">
        <v>74</v>
      </c>
      <c r="N84" t="s">
        <v>74</v>
      </c>
      <c r="O84" t="s">
        <v>927</v>
      </c>
      <c r="P84" t="s">
        <v>928</v>
      </c>
      <c r="Q84" t="s">
        <v>929</v>
      </c>
      <c r="R84" t="s">
        <v>930</v>
      </c>
      <c r="S84" t="s">
        <v>931</v>
      </c>
      <c r="T84" t="s">
        <v>74</v>
      </c>
      <c r="U84" t="s">
        <v>74</v>
      </c>
      <c r="V84" t="s">
        <v>932</v>
      </c>
      <c r="W84" t="s">
        <v>74</v>
      </c>
      <c r="X84" t="s">
        <v>74</v>
      </c>
      <c r="Y84" t="s">
        <v>74</v>
      </c>
      <c r="Z84" t="s">
        <v>74</v>
      </c>
      <c r="AA84" t="s">
        <v>933</v>
      </c>
      <c r="AB84" t="s">
        <v>934</v>
      </c>
      <c r="AC84" t="s">
        <v>74</v>
      </c>
      <c r="AD84" t="s">
        <v>74</v>
      </c>
      <c r="AE84" t="s">
        <v>74</v>
      </c>
      <c r="AF84" t="s">
        <v>74</v>
      </c>
      <c r="AG84" t="s">
        <v>74</v>
      </c>
      <c r="AH84" t="s">
        <v>74</v>
      </c>
      <c r="AI84" t="s">
        <v>74</v>
      </c>
      <c r="AJ84" t="s">
        <v>74</v>
      </c>
      <c r="AK84" t="s">
        <v>74</v>
      </c>
      <c r="AL84" t="s">
        <v>74</v>
      </c>
      <c r="AM84" t="s">
        <v>74</v>
      </c>
      <c r="AN84" t="s">
        <v>74</v>
      </c>
      <c r="AO84" t="s">
        <v>935</v>
      </c>
      <c r="AP84" t="s">
        <v>74</v>
      </c>
      <c r="AQ84" t="s">
        <v>936</v>
      </c>
      <c r="AR84" t="s">
        <v>74</v>
      </c>
      <c r="AS84" t="s">
        <v>74</v>
      </c>
      <c r="AT84" t="s">
        <v>74</v>
      </c>
      <c r="AU84">
        <v>2022</v>
      </c>
      <c r="AV84" t="s">
        <v>74</v>
      </c>
      <c r="AW84" t="s">
        <v>74</v>
      </c>
      <c r="AX84" t="s">
        <v>74</v>
      </c>
      <c r="AY84" t="s">
        <v>74</v>
      </c>
      <c r="AZ84" t="s">
        <v>74</v>
      </c>
      <c r="BA84" t="s">
        <v>74</v>
      </c>
      <c r="BB84">
        <v>59</v>
      </c>
      <c r="BC84">
        <v>63</v>
      </c>
      <c r="BD84" t="s">
        <v>74</v>
      </c>
      <c r="BE84" t="s">
        <v>937</v>
      </c>
      <c r="BF84" t="str">
        <f>HYPERLINK("http://dx.doi.org/10.1109/ICTKE55848.2022.9983314","http://dx.doi.org/10.1109/ICTKE55848.2022.9983314")</f>
        <v>http://dx.doi.org/10.1109/ICTKE55848.2022.9983314</v>
      </c>
      <c r="BG84" t="s">
        <v>74</v>
      </c>
      <c r="BH84" t="s">
        <v>74</v>
      </c>
      <c r="BI84" t="s">
        <v>74</v>
      </c>
      <c r="BJ84" t="s">
        <v>74</v>
      </c>
      <c r="BK84" t="s">
        <v>74</v>
      </c>
      <c r="BL84" t="s">
        <v>74</v>
      </c>
      <c r="BM84" t="s">
        <v>74</v>
      </c>
      <c r="BN84" t="s">
        <v>74</v>
      </c>
      <c r="BO84" t="s">
        <v>74</v>
      </c>
      <c r="BP84" t="s">
        <v>74</v>
      </c>
      <c r="BQ84" t="s">
        <v>74</v>
      </c>
      <c r="BR84" t="s">
        <v>74</v>
      </c>
      <c r="BS84" t="s">
        <v>938</v>
      </c>
      <c r="BT84" t="str">
        <f>HYPERLINK("https%3A%2F%2Fwww.webofscience.com%2Fwos%2Fwoscc%2Ffull-record%2FWOS:000927636200011","View Full Record in Web of Science")</f>
        <v>View Full Record in Web of Science</v>
      </c>
    </row>
    <row r="85" spans="1:72" x14ac:dyDescent="0.25">
      <c r="A85" t="s">
        <v>84</v>
      </c>
      <c r="B85" t="s">
        <v>939</v>
      </c>
      <c r="C85" t="s">
        <v>74</v>
      </c>
      <c r="D85" t="s">
        <v>940</v>
      </c>
      <c r="E85" t="s">
        <v>74</v>
      </c>
      <c r="F85" t="s">
        <v>941</v>
      </c>
      <c r="G85" t="s">
        <v>74</v>
      </c>
      <c r="H85" t="s">
        <v>74</v>
      </c>
      <c r="I85" t="s">
        <v>942</v>
      </c>
      <c r="J85" t="s">
        <v>943</v>
      </c>
      <c r="K85" t="s">
        <v>158</v>
      </c>
      <c r="L85" t="s">
        <v>74</v>
      </c>
      <c r="M85" t="s">
        <v>74</v>
      </c>
      <c r="N85" t="s">
        <v>74</v>
      </c>
      <c r="O85" t="s">
        <v>944</v>
      </c>
      <c r="P85" t="s">
        <v>288</v>
      </c>
      <c r="Q85" t="s">
        <v>108</v>
      </c>
      <c r="R85" t="s">
        <v>74</v>
      </c>
      <c r="S85" t="s">
        <v>74</v>
      </c>
      <c r="T85" t="s">
        <v>74</v>
      </c>
      <c r="U85" t="s">
        <v>74</v>
      </c>
      <c r="V85" t="s">
        <v>945</v>
      </c>
      <c r="W85" t="s">
        <v>74</v>
      </c>
      <c r="X85" t="s">
        <v>74</v>
      </c>
      <c r="Y85" t="s">
        <v>74</v>
      </c>
      <c r="Z85" t="s">
        <v>74</v>
      </c>
      <c r="AA85" t="s">
        <v>74</v>
      </c>
      <c r="AB85" t="s">
        <v>74</v>
      </c>
      <c r="AC85" t="s">
        <v>74</v>
      </c>
      <c r="AD85" t="s">
        <v>74</v>
      </c>
      <c r="AE85" t="s">
        <v>74</v>
      </c>
      <c r="AF85" t="s">
        <v>74</v>
      </c>
      <c r="AG85" t="s">
        <v>74</v>
      </c>
      <c r="AH85" t="s">
        <v>74</v>
      </c>
      <c r="AI85" t="s">
        <v>74</v>
      </c>
      <c r="AJ85" t="s">
        <v>74</v>
      </c>
      <c r="AK85" t="s">
        <v>74</v>
      </c>
      <c r="AL85" t="s">
        <v>74</v>
      </c>
      <c r="AM85" t="s">
        <v>74</v>
      </c>
      <c r="AN85" t="s">
        <v>74</v>
      </c>
      <c r="AO85" t="s">
        <v>164</v>
      </c>
      <c r="AP85" t="s">
        <v>165</v>
      </c>
      <c r="AQ85" t="s">
        <v>946</v>
      </c>
      <c r="AR85" t="s">
        <v>74</v>
      </c>
      <c r="AS85" t="s">
        <v>74</v>
      </c>
      <c r="AT85" t="s">
        <v>74</v>
      </c>
      <c r="AU85">
        <v>2022</v>
      </c>
      <c r="AV85">
        <v>13324</v>
      </c>
      <c r="AW85" t="s">
        <v>74</v>
      </c>
      <c r="AX85" t="s">
        <v>74</v>
      </c>
      <c r="AY85" t="s">
        <v>74</v>
      </c>
      <c r="AZ85" t="s">
        <v>74</v>
      </c>
      <c r="BA85" t="s">
        <v>74</v>
      </c>
      <c r="BB85">
        <v>34</v>
      </c>
      <c r="BC85">
        <v>43</v>
      </c>
      <c r="BD85" t="s">
        <v>74</v>
      </c>
      <c r="BE85" t="s">
        <v>947</v>
      </c>
      <c r="BF85" t="str">
        <f>HYPERLINK("http://dx.doi.org/10.1007/978-3-031-05434-1_3","http://dx.doi.org/10.1007/978-3-031-05434-1_3")</f>
        <v>http://dx.doi.org/10.1007/978-3-031-05434-1_3</v>
      </c>
      <c r="BG85" t="s">
        <v>74</v>
      </c>
      <c r="BH85" t="s">
        <v>74</v>
      </c>
      <c r="BI85" t="s">
        <v>74</v>
      </c>
      <c r="BJ85" t="s">
        <v>74</v>
      </c>
      <c r="BK85" t="s">
        <v>74</v>
      </c>
      <c r="BL85" t="s">
        <v>74</v>
      </c>
      <c r="BM85" t="s">
        <v>74</v>
      </c>
      <c r="BN85" t="s">
        <v>74</v>
      </c>
      <c r="BO85" t="s">
        <v>74</v>
      </c>
      <c r="BP85" t="s">
        <v>74</v>
      </c>
      <c r="BQ85" t="s">
        <v>74</v>
      </c>
      <c r="BR85" t="s">
        <v>74</v>
      </c>
      <c r="BS85" t="s">
        <v>948</v>
      </c>
      <c r="BT85" t="str">
        <f>HYPERLINK("https%3A%2F%2Fwww.webofscience.com%2Fwos%2Fwoscc%2Ffull-record%2FWOS:000876897600003","View Full Record in Web of Science")</f>
        <v>View Full Record in Web of Science</v>
      </c>
    </row>
    <row r="86" spans="1:72" x14ac:dyDescent="0.25">
      <c r="A86" t="s">
        <v>72</v>
      </c>
      <c r="B86" t="s">
        <v>949</v>
      </c>
      <c r="C86" t="s">
        <v>74</v>
      </c>
      <c r="D86" t="s">
        <v>74</v>
      </c>
      <c r="E86" t="s">
        <v>74</v>
      </c>
      <c r="F86" t="s">
        <v>950</v>
      </c>
      <c r="G86" t="s">
        <v>74</v>
      </c>
      <c r="H86" t="s">
        <v>74</v>
      </c>
      <c r="I86" t="s">
        <v>951</v>
      </c>
      <c r="J86" t="s">
        <v>952</v>
      </c>
      <c r="K86" t="s">
        <v>74</v>
      </c>
      <c r="L86" t="s">
        <v>74</v>
      </c>
      <c r="M86" t="s">
        <v>74</v>
      </c>
      <c r="N86" t="s">
        <v>74</v>
      </c>
      <c r="O86" t="s">
        <v>74</v>
      </c>
      <c r="P86" t="s">
        <v>74</v>
      </c>
      <c r="Q86" t="s">
        <v>74</v>
      </c>
      <c r="R86" t="s">
        <v>74</v>
      </c>
      <c r="S86" t="s">
        <v>74</v>
      </c>
      <c r="T86" t="s">
        <v>74</v>
      </c>
      <c r="U86" t="s">
        <v>74</v>
      </c>
      <c r="V86" t="s">
        <v>953</v>
      </c>
      <c r="W86" t="s">
        <v>74</v>
      </c>
      <c r="X86" t="s">
        <v>74</v>
      </c>
      <c r="Y86" t="s">
        <v>74</v>
      </c>
      <c r="Z86" t="s">
        <v>74</v>
      </c>
      <c r="AA86" t="s">
        <v>954</v>
      </c>
      <c r="AB86" t="s">
        <v>955</v>
      </c>
      <c r="AC86" t="s">
        <v>74</v>
      </c>
      <c r="AD86" t="s">
        <v>74</v>
      </c>
      <c r="AE86" t="s">
        <v>74</v>
      </c>
      <c r="AF86" t="s">
        <v>74</v>
      </c>
      <c r="AG86" t="s">
        <v>74</v>
      </c>
      <c r="AH86" t="s">
        <v>74</v>
      </c>
      <c r="AI86" t="s">
        <v>74</v>
      </c>
      <c r="AJ86" t="s">
        <v>74</v>
      </c>
      <c r="AK86" t="s">
        <v>74</v>
      </c>
      <c r="AL86" t="s">
        <v>74</v>
      </c>
      <c r="AM86" t="s">
        <v>74</v>
      </c>
      <c r="AN86" t="s">
        <v>74</v>
      </c>
      <c r="AO86" t="s">
        <v>956</v>
      </c>
      <c r="AP86" t="s">
        <v>957</v>
      </c>
      <c r="AQ86" t="s">
        <v>74</v>
      </c>
      <c r="AR86" t="s">
        <v>74</v>
      </c>
      <c r="AS86" t="s">
        <v>74</v>
      </c>
      <c r="AT86" t="s">
        <v>74</v>
      </c>
      <c r="AU86" t="s">
        <v>74</v>
      </c>
      <c r="AV86" t="s">
        <v>74</v>
      </c>
      <c r="AW86" t="s">
        <v>74</v>
      </c>
      <c r="AX86" t="s">
        <v>74</v>
      </c>
      <c r="AY86" t="s">
        <v>74</v>
      </c>
      <c r="AZ86" t="s">
        <v>74</v>
      </c>
      <c r="BA86" t="s">
        <v>74</v>
      </c>
      <c r="BB86" t="s">
        <v>74</v>
      </c>
      <c r="BC86" t="s">
        <v>74</v>
      </c>
      <c r="BD86" t="s">
        <v>74</v>
      </c>
      <c r="BE86" t="s">
        <v>958</v>
      </c>
      <c r="BF86" t="str">
        <f>HYPERLINK("http://dx.doi.org/10.1093/pubmed/fdac159","http://dx.doi.org/10.1093/pubmed/fdac159")</f>
        <v>http://dx.doi.org/10.1093/pubmed/fdac159</v>
      </c>
      <c r="BG86" t="s">
        <v>74</v>
      </c>
      <c r="BH86" t="s">
        <v>426</v>
      </c>
      <c r="BI86" t="s">
        <v>74</v>
      </c>
      <c r="BJ86" t="s">
        <v>74</v>
      </c>
      <c r="BK86" t="s">
        <v>74</v>
      </c>
      <c r="BL86" t="s">
        <v>74</v>
      </c>
      <c r="BM86" t="s">
        <v>74</v>
      </c>
      <c r="BN86">
        <v>36542106</v>
      </c>
      <c r="BO86" t="s">
        <v>74</v>
      </c>
      <c r="BP86" t="s">
        <v>74</v>
      </c>
      <c r="BQ86" t="s">
        <v>74</v>
      </c>
      <c r="BR86" t="s">
        <v>74</v>
      </c>
      <c r="BS86" t="s">
        <v>959</v>
      </c>
      <c r="BT86" t="str">
        <f>HYPERLINK("https%3A%2F%2Fwww.webofscience.com%2Fwos%2Fwoscc%2Ffull-record%2FWOS:000901830500001","View Full Record in Web of Science")</f>
        <v>View Full Record in Web of Science</v>
      </c>
    </row>
    <row r="87" spans="1:72" x14ac:dyDescent="0.25">
      <c r="A87" t="s">
        <v>72</v>
      </c>
      <c r="B87" t="s">
        <v>960</v>
      </c>
      <c r="C87" t="s">
        <v>74</v>
      </c>
      <c r="D87" t="s">
        <v>74</v>
      </c>
      <c r="E87" t="s">
        <v>74</v>
      </c>
      <c r="F87" t="s">
        <v>961</v>
      </c>
      <c r="G87" t="s">
        <v>74</v>
      </c>
      <c r="H87" t="s">
        <v>74</v>
      </c>
      <c r="I87" t="s">
        <v>962</v>
      </c>
      <c r="J87" t="s">
        <v>963</v>
      </c>
      <c r="K87" t="s">
        <v>74</v>
      </c>
      <c r="L87" t="s">
        <v>74</v>
      </c>
      <c r="M87" t="s">
        <v>74</v>
      </c>
      <c r="N87" t="s">
        <v>74</v>
      </c>
      <c r="O87" t="s">
        <v>74</v>
      </c>
      <c r="P87" t="s">
        <v>74</v>
      </c>
      <c r="Q87" t="s">
        <v>74</v>
      </c>
      <c r="R87" t="s">
        <v>74</v>
      </c>
      <c r="S87" t="s">
        <v>74</v>
      </c>
      <c r="T87" t="s">
        <v>74</v>
      </c>
      <c r="U87" t="s">
        <v>74</v>
      </c>
      <c r="V87" t="s">
        <v>964</v>
      </c>
      <c r="W87" t="s">
        <v>74</v>
      </c>
      <c r="X87" t="s">
        <v>74</v>
      </c>
      <c r="Y87" t="s">
        <v>74</v>
      </c>
      <c r="Z87" t="s">
        <v>74</v>
      </c>
      <c r="AA87" t="s">
        <v>74</v>
      </c>
      <c r="AB87" t="s">
        <v>74</v>
      </c>
      <c r="AC87" t="s">
        <v>74</v>
      </c>
      <c r="AD87" t="s">
        <v>74</v>
      </c>
      <c r="AE87" t="s">
        <v>74</v>
      </c>
      <c r="AF87" t="s">
        <v>74</v>
      </c>
      <c r="AG87" t="s">
        <v>74</v>
      </c>
      <c r="AH87" t="s">
        <v>74</v>
      </c>
      <c r="AI87" t="s">
        <v>74</v>
      </c>
      <c r="AJ87" t="s">
        <v>74</v>
      </c>
      <c r="AK87" t="s">
        <v>74</v>
      </c>
      <c r="AL87" t="s">
        <v>74</v>
      </c>
      <c r="AM87" t="s">
        <v>74</v>
      </c>
      <c r="AN87" t="s">
        <v>74</v>
      </c>
      <c r="AO87" t="s">
        <v>74</v>
      </c>
      <c r="AP87" t="s">
        <v>965</v>
      </c>
      <c r="AQ87" t="s">
        <v>74</v>
      </c>
      <c r="AR87" t="s">
        <v>74</v>
      </c>
      <c r="AS87" t="s">
        <v>74</v>
      </c>
      <c r="AT87" t="s">
        <v>966</v>
      </c>
      <c r="AU87">
        <v>2023</v>
      </c>
      <c r="AV87">
        <v>9</v>
      </c>
      <c r="AW87" t="s">
        <v>74</v>
      </c>
      <c r="AX87" t="s">
        <v>74</v>
      </c>
      <c r="AY87" t="s">
        <v>74</v>
      </c>
      <c r="AZ87" t="s">
        <v>74</v>
      </c>
      <c r="BA87" t="s">
        <v>74</v>
      </c>
      <c r="BB87" t="s">
        <v>74</v>
      </c>
      <c r="BC87" t="s">
        <v>74</v>
      </c>
      <c r="BD87" t="s">
        <v>967</v>
      </c>
      <c r="BE87" t="s">
        <v>968</v>
      </c>
      <c r="BF87" t="str">
        <f>HYPERLINK("http://dx.doi.org/10.7717/peerj-cs.1252","http://dx.doi.org/10.7717/peerj-cs.1252")</f>
        <v>http://dx.doi.org/10.7717/peerj-cs.1252</v>
      </c>
      <c r="BG87" t="s">
        <v>74</v>
      </c>
      <c r="BH87" t="s">
        <v>74</v>
      </c>
      <c r="BI87" t="s">
        <v>74</v>
      </c>
      <c r="BJ87" t="s">
        <v>74</v>
      </c>
      <c r="BK87" t="s">
        <v>74</v>
      </c>
      <c r="BL87" t="s">
        <v>74</v>
      </c>
      <c r="BM87" t="s">
        <v>74</v>
      </c>
      <c r="BN87" t="s">
        <v>74</v>
      </c>
      <c r="BO87" t="s">
        <v>74</v>
      </c>
      <c r="BP87" t="s">
        <v>74</v>
      </c>
      <c r="BQ87" t="s">
        <v>74</v>
      </c>
      <c r="BR87" t="s">
        <v>74</v>
      </c>
      <c r="BS87" t="s">
        <v>969</v>
      </c>
      <c r="BT87" t="str">
        <f>HYPERLINK("https%3A%2F%2Fwww.webofscience.com%2Fwos%2Fwoscc%2Ffull-record%2FWOS:000964156800001","View Full Record in Web of Science")</f>
        <v>View Full Record in Web of Science</v>
      </c>
    </row>
    <row r="88" spans="1:72" x14ac:dyDescent="0.25">
      <c r="A88" t="s">
        <v>72</v>
      </c>
      <c r="B88" t="s">
        <v>970</v>
      </c>
      <c r="C88" t="s">
        <v>74</v>
      </c>
      <c r="D88" t="s">
        <v>74</v>
      </c>
      <c r="E88" t="s">
        <v>74</v>
      </c>
      <c r="F88" t="s">
        <v>971</v>
      </c>
      <c r="G88" t="s">
        <v>74</v>
      </c>
      <c r="H88" t="s">
        <v>74</v>
      </c>
      <c r="I88" t="s">
        <v>972</v>
      </c>
      <c r="J88" t="s">
        <v>952</v>
      </c>
      <c r="K88" t="s">
        <v>74</v>
      </c>
      <c r="L88" t="s">
        <v>74</v>
      </c>
      <c r="M88" t="s">
        <v>74</v>
      </c>
      <c r="N88" t="s">
        <v>74</v>
      </c>
      <c r="O88" t="s">
        <v>74</v>
      </c>
      <c r="P88" t="s">
        <v>74</v>
      </c>
      <c r="Q88" t="s">
        <v>74</v>
      </c>
      <c r="R88" t="s">
        <v>74</v>
      </c>
      <c r="S88" t="s">
        <v>74</v>
      </c>
      <c r="T88" t="s">
        <v>74</v>
      </c>
      <c r="U88" t="s">
        <v>74</v>
      </c>
      <c r="V88" t="s">
        <v>973</v>
      </c>
      <c r="W88" t="s">
        <v>74</v>
      </c>
      <c r="X88" t="s">
        <v>74</v>
      </c>
      <c r="Y88" t="s">
        <v>74</v>
      </c>
      <c r="Z88" t="s">
        <v>74</v>
      </c>
      <c r="AA88" t="s">
        <v>74</v>
      </c>
      <c r="AB88" t="s">
        <v>974</v>
      </c>
      <c r="AC88" t="s">
        <v>74</v>
      </c>
      <c r="AD88" t="s">
        <v>74</v>
      </c>
      <c r="AE88" t="s">
        <v>74</v>
      </c>
      <c r="AF88" t="s">
        <v>74</v>
      </c>
      <c r="AG88" t="s">
        <v>74</v>
      </c>
      <c r="AH88" t="s">
        <v>74</v>
      </c>
      <c r="AI88" t="s">
        <v>74</v>
      </c>
      <c r="AJ88" t="s">
        <v>74</v>
      </c>
      <c r="AK88" t="s">
        <v>74</v>
      </c>
      <c r="AL88" t="s">
        <v>74</v>
      </c>
      <c r="AM88" t="s">
        <v>74</v>
      </c>
      <c r="AN88" t="s">
        <v>74</v>
      </c>
      <c r="AO88" t="s">
        <v>956</v>
      </c>
      <c r="AP88" t="s">
        <v>957</v>
      </c>
      <c r="AQ88" t="s">
        <v>74</v>
      </c>
      <c r="AR88" t="s">
        <v>74</v>
      </c>
      <c r="AS88" t="s">
        <v>74</v>
      </c>
      <c r="AT88" t="s">
        <v>74</v>
      </c>
      <c r="AU88" t="s">
        <v>74</v>
      </c>
      <c r="AV88" t="s">
        <v>74</v>
      </c>
      <c r="AW88" t="s">
        <v>74</v>
      </c>
      <c r="AX88" t="s">
        <v>74</v>
      </c>
      <c r="AY88" t="s">
        <v>74</v>
      </c>
      <c r="AZ88" t="s">
        <v>74</v>
      </c>
      <c r="BA88" t="s">
        <v>74</v>
      </c>
      <c r="BB88" t="s">
        <v>74</v>
      </c>
      <c r="BC88" t="s">
        <v>74</v>
      </c>
      <c r="BD88" t="s">
        <v>74</v>
      </c>
      <c r="BE88" t="s">
        <v>975</v>
      </c>
      <c r="BF88" t="str">
        <f>HYPERLINK("http://dx.doi.org/10.1093/pubmed/fdad002","http://dx.doi.org/10.1093/pubmed/fdad002")</f>
        <v>http://dx.doi.org/10.1093/pubmed/fdad002</v>
      </c>
      <c r="BG88" t="s">
        <v>74</v>
      </c>
      <c r="BH88" t="s">
        <v>151</v>
      </c>
      <c r="BI88" t="s">
        <v>74</v>
      </c>
      <c r="BJ88" t="s">
        <v>74</v>
      </c>
      <c r="BK88" t="s">
        <v>74</v>
      </c>
      <c r="BL88" t="s">
        <v>74</v>
      </c>
      <c r="BM88" t="s">
        <v>74</v>
      </c>
      <c r="BN88">
        <v>36680432</v>
      </c>
      <c r="BO88" t="s">
        <v>74</v>
      </c>
      <c r="BP88" t="s">
        <v>74</v>
      </c>
      <c r="BQ88" t="s">
        <v>74</v>
      </c>
      <c r="BR88" t="s">
        <v>74</v>
      </c>
      <c r="BS88" t="s">
        <v>976</v>
      </c>
      <c r="BT88" t="str">
        <f>HYPERLINK("https%3A%2F%2Fwww.webofscience.com%2Fwos%2Fwoscc%2Ffull-record%2FWOS:000967786900001","View Full Record in Web of Science")</f>
        <v>View Full Record in Web of Science</v>
      </c>
    </row>
    <row r="89" spans="1:72" x14ac:dyDescent="0.25">
      <c r="A89" t="s">
        <v>72</v>
      </c>
      <c r="B89" t="s">
        <v>977</v>
      </c>
      <c r="C89" t="s">
        <v>74</v>
      </c>
      <c r="D89" t="s">
        <v>74</v>
      </c>
      <c r="E89" t="s">
        <v>74</v>
      </c>
      <c r="F89" t="s">
        <v>978</v>
      </c>
      <c r="G89" t="s">
        <v>74</v>
      </c>
      <c r="H89" t="s">
        <v>74</v>
      </c>
      <c r="I89" t="s">
        <v>979</v>
      </c>
      <c r="J89" t="s">
        <v>980</v>
      </c>
      <c r="K89" t="s">
        <v>74</v>
      </c>
      <c r="L89" t="s">
        <v>74</v>
      </c>
      <c r="M89" t="s">
        <v>74</v>
      </c>
      <c r="N89" t="s">
        <v>74</v>
      </c>
      <c r="O89" t="s">
        <v>74</v>
      </c>
      <c r="P89" t="s">
        <v>74</v>
      </c>
      <c r="Q89" t="s">
        <v>74</v>
      </c>
      <c r="R89" t="s">
        <v>74</v>
      </c>
      <c r="S89" t="s">
        <v>74</v>
      </c>
      <c r="T89" t="s">
        <v>74</v>
      </c>
      <c r="U89" t="s">
        <v>74</v>
      </c>
      <c r="V89" t="s">
        <v>981</v>
      </c>
      <c r="W89" t="s">
        <v>74</v>
      </c>
      <c r="X89" t="s">
        <v>74</v>
      </c>
      <c r="Y89" t="s">
        <v>74</v>
      </c>
      <c r="Z89" t="s">
        <v>74</v>
      </c>
      <c r="AA89" t="s">
        <v>74</v>
      </c>
      <c r="AB89" t="s">
        <v>74</v>
      </c>
      <c r="AC89" t="s">
        <v>74</v>
      </c>
      <c r="AD89" t="s">
        <v>74</v>
      </c>
      <c r="AE89" t="s">
        <v>74</v>
      </c>
      <c r="AF89" t="s">
        <v>74</v>
      </c>
      <c r="AG89" t="s">
        <v>74</v>
      </c>
      <c r="AH89" t="s">
        <v>74</v>
      </c>
      <c r="AI89" t="s">
        <v>74</v>
      </c>
      <c r="AJ89" t="s">
        <v>74</v>
      </c>
      <c r="AK89" t="s">
        <v>74</v>
      </c>
      <c r="AL89" t="s">
        <v>74</v>
      </c>
      <c r="AM89" t="s">
        <v>74</v>
      </c>
      <c r="AN89" t="s">
        <v>74</v>
      </c>
      <c r="AO89" t="s">
        <v>982</v>
      </c>
      <c r="AP89" t="s">
        <v>983</v>
      </c>
      <c r="AQ89" t="s">
        <v>74</v>
      </c>
      <c r="AR89" t="s">
        <v>74</v>
      </c>
      <c r="AS89" t="s">
        <v>74</v>
      </c>
      <c r="AT89" t="s">
        <v>984</v>
      </c>
      <c r="AU89">
        <v>2022</v>
      </c>
      <c r="AV89">
        <v>36</v>
      </c>
      <c r="AW89">
        <v>5</v>
      </c>
      <c r="AX89" t="s">
        <v>74</v>
      </c>
      <c r="AY89" t="s">
        <v>74</v>
      </c>
      <c r="AZ89" t="s">
        <v>74</v>
      </c>
      <c r="BA89" t="s">
        <v>74</v>
      </c>
      <c r="BB89">
        <v>197</v>
      </c>
      <c r="BC89">
        <v>204</v>
      </c>
      <c r="BD89" t="s">
        <v>74</v>
      </c>
      <c r="BE89" t="s">
        <v>985</v>
      </c>
      <c r="BF89" t="str">
        <f>HYPERLINK("http://dx.doi.org/10.1109/MNET.117.2200055","http://dx.doi.org/10.1109/MNET.117.2200055")</f>
        <v>http://dx.doi.org/10.1109/MNET.117.2200055</v>
      </c>
      <c r="BG89" t="s">
        <v>74</v>
      </c>
      <c r="BH89" t="s">
        <v>74</v>
      </c>
      <c r="BI89" t="s">
        <v>74</v>
      </c>
      <c r="BJ89" t="s">
        <v>74</v>
      </c>
      <c r="BK89" t="s">
        <v>74</v>
      </c>
      <c r="BL89" t="s">
        <v>74</v>
      </c>
      <c r="BM89" t="s">
        <v>74</v>
      </c>
      <c r="BN89" t="s">
        <v>74</v>
      </c>
      <c r="BO89" t="s">
        <v>74</v>
      </c>
      <c r="BP89" t="s">
        <v>74</v>
      </c>
      <c r="BQ89" t="s">
        <v>74</v>
      </c>
      <c r="BR89" t="s">
        <v>74</v>
      </c>
      <c r="BS89" t="s">
        <v>986</v>
      </c>
      <c r="BT89" t="str">
        <f>HYPERLINK("https%3A%2F%2Fwww.webofscience.com%2Fwos%2Fwoscc%2Ffull-record%2FWOS:000933406900043","View Full Record in Web of Science")</f>
        <v>View Full Record in Web of Science</v>
      </c>
    </row>
    <row r="90" spans="1:72" x14ac:dyDescent="0.25">
      <c r="A90" t="s">
        <v>84</v>
      </c>
      <c r="B90" t="s">
        <v>987</v>
      </c>
      <c r="C90" t="s">
        <v>74</v>
      </c>
      <c r="D90" t="s">
        <v>988</v>
      </c>
      <c r="E90" t="s">
        <v>74</v>
      </c>
      <c r="F90" t="s">
        <v>989</v>
      </c>
      <c r="G90" t="s">
        <v>74</v>
      </c>
      <c r="H90" t="s">
        <v>74</v>
      </c>
      <c r="I90" t="s">
        <v>990</v>
      </c>
      <c r="J90" t="s">
        <v>991</v>
      </c>
      <c r="K90" t="s">
        <v>158</v>
      </c>
      <c r="L90" t="s">
        <v>74</v>
      </c>
      <c r="M90" t="s">
        <v>74</v>
      </c>
      <c r="N90" t="s">
        <v>74</v>
      </c>
      <c r="O90" t="s">
        <v>992</v>
      </c>
      <c r="P90" t="s">
        <v>288</v>
      </c>
      <c r="Q90" t="s">
        <v>108</v>
      </c>
      <c r="R90" t="s">
        <v>74</v>
      </c>
      <c r="S90" t="s">
        <v>74</v>
      </c>
      <c r="T90" t="s">
        <v>74</v>
      </c>
      <c r="U90" t="s">
        <v>74</v>
      </c>
      <c r="V90" t="s">
        <v>993</v>
      </c>
      <c r="W90" t="s">
        <v>74</v>
      </c>
      <c r="X90" t="s">
        <v>74</v>
      </c>
      <c r="Y90" t="s">
        <v>74</v>
      </c>
      <c r="Z90" t="s">
        <v>74</v>
      </c>
      <c r="AA90" t="s">
        <v>74</v>
      </c>
      <c r="AB90" t="s">
        <v>74</v>
      </c>
      <c r="AC90" t="s">
        <v>74</v>
      </c>
      <c r="AD90" t="s">
        <v>74</v>
      </c>
      <c r="AE90" t="s">
        <v>74</v>
      </c>
      <c r="AF90" t="s">
        <v>74</v>
      </c>
      <c r="AG90" t="s">
        <v>74</v>
      </c>
      <c r="AH90" t="s">
        <v>74</v>
      </c>
      <c r="AI90" t="s">
        <v>74</v>
      </c>
      <c r="AJ90" t="s">
        <v>74</v>
      </c>
      <c r="AK90" t="s">
        <v>74</v>
      </c>
      <c r="AL90" t="s">
        <v>74</v>
      </c>
      <c r="AM90" t="s">
        <v>74</v>
      </c>
      <c r="AN90" t="s">
        <v>74</v>
      </c>
      <c r="AO90" t="s">
        <v>164</v>
      </c>
      <c r="AP90" t="s">
        <v>165</v>
      </c>
      <c r="AQ90" t="s">
        <v>994</v>
      </c>
      <c r="AR90" t="s">
        <v>74</v>
      </c>
      <c r="AS90" t="s">
        <v>74</v>
      </c>
      <c r="AT90" t="s">
        <v>74</v>
      </c>
      <c r="AU90">
        <v>2022</v>
      </c>
      <c r="AV90">
        <v>13325</v>
      </c>
      <c r="AW90" t="s">
        <v>74</v>
      </c>
      <c r="AX90" t="s">
        <v>74</v>
      </c>
      <c r="AY90" t="s">
        <v>74</v>
      </c>
      <c r="AZ90" t="s">
        <v>74</v>
      </c>
      <c r="BA90" t="s">
        <v>74</v>
      </c>
      <c r="BB90">
        <v>392</v>
      </c>
      <c r="BC90">
        <v>403</v>
      </c>
      <c r="BD90" t="s">
        <v>74</v>
      </c>
      <c r="BE90" t="s">
        <v>995</v>
      </c>
      <c r="BF90" t="str">
        <f>HYPERLINK("http://dx.doi.org/10.1007/978-3-031-05463-1_27","http://dx.doi.org/10.1007/978-3-031-05463-1_27")</f>
        <v>http://dx.doi.org/10.1007/978-3-031-05463-1_27</v>
      </c>
      <c r="BG90" t="s">
        <v>74</v>
      </c>
      <c r="BH90" t="s">
        <v>74</v>
      </c>
      <c r="BI90" t="s">
        <v>74</v>
      </c>
      <c r="BJ90" t="s">
        <v>74</v>
      </c>
      <c r="BK90" t="s">
        <v>74</v>
      </c>
      <c r="BL90" t="s">
        <v>74</v>
      </c>
      <c r="BM90" t="s">
        <v>74</v>
      </c>
      <c r="BN90" t="s">
        <v>74</v>
      </c>
      <c r="BO90" t="s">
        <v>74</v>
      </c>
      <c r="BP90" t="s">
        <v>74</v>
      </c>
      <c r="BQ90" t="s">
        <v>74</v>
      </c>
      <c r="BR90" t="s">
        <v>74</v>
      </c>
      <c r="BS90" t="s">
        <v>996</v>
      </c>
      <c r="BT90" t="str">
        <f>HYPERLINK("https%3A%2F%2Fwww.webofscience.com%2Fwos%2Fwoscc%2Ffull-record%2FWOS:000870124200027","View Full Record in Web of Science")</f>
        <v>View Full Record in Web of Science</v>
      </c>
    </row>
    <row r="91" spans="1:72" x14ac:dyDescent="0.25">
      <c r="A91" t="s">
        <v>72</v>
      </c>
      <c r="B91" t="s">
        <v>997</v>
      </c>
      <c r="C91" t="s">
        <v>74</v>
      </c>
      <c r="D91" t="s">
        <v>74</v>
      </c>
      <c r="E91" t="s">
        <v>74</v>
      </c>
      <c r="F91" t="s">
        <v>998</v>
      </c>
      <c r="G91" t="s">
        <v>74</v>
      </c>
      <c r="H91" t="s">
        <v>74</v>
      </c>
      <c r="I91" t="s">
        <v>999</v>
      </c>
      <c r="J91" t="s">
        <v>460</v>
      </c>
      <c r="K91" t="s">
        <v>74</v>
      </c>
      <c r="L91" t="s">
        <v>74</v>
      </c>
      <c r="M91" t="s">
        <v>74</v>
      </c>
      <c r="N91" t="s">
        <v>74</v>
      </c>
      <c r="O91" t="s">
        <v>74</v>
      </c>
      <c r="P91" t="s">
        <v>74</v>
      </c>
      <c r="Q91" t="s">
        <v>74</v>
      </c>
      <c r="R91" t="s">
        <v>74</v>
      </c>
      <c r="S91" t="s">
        <v>74</v>
      </c>
      <c r="T91" t="s">
        <v>74</v>
      </c>
      <c r="U91" t="s">
        <v>74</v>
      </c>
      <c r="V91" t="s">
        <v>1000</v>
      </c>
      <c r="W91" t="s">
        <v>74</v>
      </c>
      <c r="X91" t="s">
        <v>74</v>
      </c>
      <c r="Y91" t="s">
        <v>74</v>
      </c>
      <c r="Z91" t="s">
        <v>74</v>
      </c>
      <c r="AA91" t="s">
        <v>1001</v>
      </c>
      <c r="AB91" t="s">
        <v>1002</v>
      </c>
      <c r="AC91" t="s">
        <v>74</v>
      </c>
      <c r="AD91" t="s">
        <v>74</v>
      </c>
      <c r="AE91" t="s">
        <v>74</v>
      </c>
      <c r="AF91" t="s">
        <v>74</v>
      </c>
      <c r="AG91" t="s">
        <v>74</v>
      </c>
      <c r="AH91" t="s">
        <v>74</v>
      </c>
      <c r="AI91" t="s">
        <v>74</v>
      </c>
      <c r="AJ91" t="s">
        <v>74</v>
      </c>
      <c r="AK91" t="s">
        <v>74</v>
      </c>
      <c r="AL91" t="s">
        <v>74</v>
      </c>
      <c r="AM91" t="s">
        <v>74</v>
      </c>
      <c r="AN91" t="s">
        <v>74</v>
      </c>
      <c r="AO91" t="s">
        <v>74</v>
      </c>
      <c r="AP91" t="s">
        <v>464</v>
      </c>
      <c r="AQ91" t="s">
        <v>74</v>
      </c>
      <c r="AR91" t="s">
        <v>74</v>
      </c>
      <c r="AS91" t="s">
        <v>74</v>
      </c>
      <c r="AT91" t="s">
        <v>366</v>
      </c>
      <c r="AU91">
        <v>2023</v>
      </c>
      <c r="AV91">
        <v>15</v>
      </c>
      <c r="AW91">
        <v>6</v>
      </c>
      <c r="AX91" t="s">
        <v>74</v>
      </c>
      <c r="AY91" t="s">
        <v>74</v>
      </c>
      <c r="AZ91" t="s">
        <v>74</v>
      </c>
      <c r="BA91" t="s">
        <v>74</v>
      </c>
      <c r="BB91" t="s">
        <v>74</v>
      </c>
      <c r="BC91" t="s">
        <v>74</v>
      </c>
      <c r="BD91">
        <v>5257</v>
      </c>
      <c r="BE91" t="s">
        <v>1003</v>
      </c>
      <c r="BF91" t="str">
        <f>HYPERLINK("http://dx.doi.org/10.3390/su15065257","http://dx.doi.org/10.3390/su15065257")</f>
        <v>http://dx.doi.org/10.3390/su15065257</v>
      </c>
      <c r="BG91" t="s">
        <v>74</v>
      </c>
      <c r="BH91" t="s">
        <v>74</v>
      </c>
      <c r="BI91" t="s">
        <v>74</v>
      </c>
      <c r="BJ91" t="s">
        <v>74</v>
      </c>
      <c r="BK91" t="s">
        <v>74</v>
      </c>
      <c r="BL91" t="s">
        <v>74</v>
      </c>
      <c r="BM91" t="s">
        <v>74</v>
      </c>
      <c r="BN91" t="s">
        <v>74</v>
      </c>
      <c r="BO91" t="s">
        <v>74</v>
      </c>
      <c r="BP91" t="s">
        <v>74</v>
      </c>
      <c r="BQ91" t="s">
        <v>74</v>
      </c>
      <c r="BR91" t="s">
        <v>74</v>
      </c>
      <c r="BS91" t="s">
        <v>1004</v>
      </c>
      <c r="BT91" t="str">
        <f>HYPERLINK("https%3A%2F%2Fwww.webofscience.com%2Fwos%2Fwoscc%2Ffull-record%2FWOS:000959059900001","View Full Record in Web of Science")</f>
        <v>View Full Record in Web of Science</v>
      </c>
    </row>
    <row r="92" spans="1:72" x14ac:dyDescent="0.25">
      <c r="A92" t="s">
        <v>84</v>
      </c>
      <c r="B92" t="s">
        <v>1005</v>
      </c>
      <c r="C92" t="s">
        <v>74</v>
      </c>
      <c r="D92" t="s">
        <v>1006</v>
      </c>
      <c r="E92" t="s">
        <v>74</v>
      </c>
      <c r="F92" t="s">
        <v>1007</v>
      </c>
      <c r="G92" t="s">
        <v>74</v>
      </c>
      <c r="H92" t="s">
        <v>74</v>
      </c>
      <c r="I92" t="s">
        <v>1008</v>
      </c>
      <c r="J92" t="s">
        <v>1009</v>
      </c>
      <c r="K92" t="s">
        <v>1010</v>
      </c>
      <c r="L92" t="s">
        <v>74</v>
      </c>
      <c r="M92" t="s">
        <v>74</v>
      </c>
      <c r="N92" t="s">
        <v>74</v>
      </c>
      <c r="O92" t="s">
        <v>1011</v>
      </c>
      <c r="P92" t="s">
        <v>1012</v>
      </c>
      <c r="Q92" t="s">
        <v>1013</v>
      </c>
      <c r="R92" t="s">
        <v>1014</v>
      </c>
      <c r="S92" t="s">
        <v>74</v>
      </c>
      <c r="T92" t="s">
        <v>74</v>
      </c>
      <c r="U92" t="s">
        <v>74</v>
      </c>
      <c r="V92" t="s">
        <v>1015</v>
      </c>
      <c r="W92" t="s">
        <v>74</v>
      </c>
      <c r="X92" t="s">
        <v>74</v>
      </c>
      <c r="Y92" t="s">
        <v>74</v>
      </c>
      <c r="Z92" t="s">
        <v>74</v>
      </c>
      <c r="AA92" t="s">
        <v>74</v>
      </c>
      <c r="AB92" t="s">
        <v>74</v>
      </c>
      <c r="AC92" t="s">
        <v>74</v>
      </c>
      <c r="AD92" t="s">
        <v>74</v>
      </c>
      <c r="AE92" t="s">
        <v>74</v>
      </c>
      <c r="AF92" t="s">
        <v>74</v>
      </c>
      <c r="AG92" t="s">
        <v>74</v>
      </c>
      <c r="AH92" t="s">
        <v>74</v>
      </c>
      <c r="AI92" t="s">
        <v>74</v>
      </c>
      <c r="AJ92" t="s">
        <v>74</v>
      </c>
      <c r="AK92" t="s">
        <v>74</v>
      </c>
      <c r="AL92" t="s">
        <v>74</v>
      </c>
      <c r="AM92" t="s">
        <v>74</v>
      </c>
      <c r="AN92" t="s">
        <v>74</v>
      </c>
      <c r="AO92" t="s">
        <v>1016</v>
      </c>
      <c r="AP92" t="s">
        <v>74</v>
      </c>
      <c r="AQ92" t="s">
        <v>74</v>
      </c>
      <c r="AR92" t="s">
        <v>74</v>
      </c>
      <c r="AS92" t="s">
        <v>74</v>
      </c>
      <c r="AT92" t="s">
        <v>74</v>
      </c>
      <c r="AU92">
        <v>2022</v>
      </c>
      <c r="AV92" t="s">
        <v>74</v>
      </c>
      <c r="AW92" t="s">
        <v>74</v>
      </c>
      <c r="AX92" t="s">
        <v>74</v>
      </c>
      <c r="AY92" t="s">
        <v>74</v>
      </c>
      <c r="AZ92" t="s">
        <v>74</v>
      </c>
      <c r="BA92" t="s">
        <v>74</v>
      </c>
      <c r="BB92">
        <v>148</v>
      </c>
      <c r="BC92">
        <v>154</v>
      </c>
      <c r="BD92" t="s">
        <v>74</v>
      </c>
      <c r="BE92" t="s">
        <v>74</v>
      </c>
      <c r="BF92" t="s">
        <v>74</v>
      </c>
      <c r="BG92" t="s">
        <v>74</v>
      </c>
      <c r="BH92" t="s">
        <v>74</v>
      </c>
      <c r="BI92" t="s">
        <v>74</v>
      </c>
      <c r="BJ92" t="s">
        <v>74</v>
      </c>
      <c r="BK92" t="s">
        <v>74</v>
      </c>
      <c r="BL92" t="s">
        <v>74</v>
      </c>
      <c r="BM92" t="s">
        <v>74</v>
      </c>
      <c r="BN92" t="s">
        <v>74</v>
      </c>
      <c r="BO92" t="s">
        <v>74</v>
      </c>
      <c r="BP92" t="s">
        <v>74</v>
      </c>
      <c r="BQ92" t="s">
        <v>74</v>
      </c>
      <c r="BR92" t="s">
        <v>74</v>
      </c>
      <c r="BS92" t="s">
        <v>1017</v>
      </c>
      <c r="BT92" t="str">
        <f>HYPERLINK("https%3A%2F%2Fwww.webofscience.com%2Fwos%2Fwoscc%2Ffull-record%2FWOS:000853259700017","View Full Record in Web of Science")</f>
        <v>View Full Record in Web of Science</v>
      </c>
    </row>
    <row r="93" spans="1:72" x14ac:dyDescent="0.25">
      <c r="A93" t="s">
        <v>72</v>
      </c>
      <c r="B93" t="s">
        <v>1018</v>
      </c>
      <c r="C93" t="s">
        <v>74</v>
      </c>
      <c r="D93" t="s">
        <v>74</v>
      </c>
      <c r="E93" t="s">
        <v>74</v>
      </c>
      <c r="F93" t="s">
        <v>1019</v>
      </c>
      <c r="G93" t="s">
        <v>74</v>
      </c>
      <c r="H93" t="s">
        <v>74</v>
      </c>
      <c r="I93" t="s">
        <v>1020</v>
      </c>
      <c r="J93" t="s">
        <v>201</v>
      </c>
      <c r="K93" t="s">
        <v>74</v>
      </c>
      <c r="L93" t="s">
        <v>74</v>
      </c>
      <c r="M93" t="s">
        <v>74</v>
      </c>
      <c r="N93" t="s">
        <v>74</v>
      </c>
      <c r="O93" t="s">
        <v>74</v>
      </c>
      <c r="P93" t="s">
        <v>74</v>
      </c>
      <c r="Q93" t="s">
        <v>74</v>
      </c>
      <c r="R93" t="s">
        <v>74</v>
      </c>
      <c r="S93" t="s">
        <v>74</v>
      </c>
      <c r="T93" t="s">
        <v>74</v>
      </c>
      <c r="U93" t="s">
        <v>74</v>
      </c>
      <c r="V93" t="s">
        <v>1021</v>
      </c>
      <c r="W93" t="s">
        <v>74</v>
      </c>
      <c r="X93" t="s">
        <v>74</v>
      </c>
      <c r="Y93" t="s">
        <v>74</v>
      </c>
      <c r="Z93" t="s">
        <v>74</v>
      </c>
      <c r="AA93" t="s">
        <v>1022</v>
      </c>
      <c r="AB93" t="s">
        <v>1023</v>
      </c>
      <c r="AC93" t="s">
        <v>74</v>
      </c>
      <c r="AD93" t="s">
        <v>74</v>
      </c>
      <c r="AE93" t="s">
        <v>74</v>
      </c>
      <c r="AF93" t="s">
        <v>74</v>
      </c>
      <c r="AG93" t="s">
        <v>74</v>
      </c>
      <c r="AH93" t="s">
        <v>74</v>
      </c>
      <c r="AI93" t="s">
        <v>74</v>
      </c>
      <c r="AJ93" t="s">
        <v>74</v>
      </c>
      <c r="AK93" t="s">
        <v>74</v>
      </c>
      <c r="AL93" t="s">
        <v>74</v>
      </c>
      <c r="AM93" t="s">
        <v>74</v>
      </c>
      <c r="AN93" t="s">
        <v>74</v>
      </c>
      <c r="AO93" t="s">
        <v>205</v>
      </c>
      <c r="AP93" t="s">
        <v>74</v>
      </c>
      <c r="AQ93" t="s">
        <v>74</v>
      </c>
      <c r="AR93" t="s">
        <v>74</v>
      </c>
      <c r="AS93" t="s">
        <v>74</v>
      </c>
      <c r="AT93" t="s">
        <v>74</v>
      </c>
      <c r="AU93">
        <v>2023</v>
      </c>
      <c r="AV93">
        <v>11</v>
      </c>
      <c r="AW93" t="s">
        <v>74</v>
      </c>
      <c r="AX93" t="s">
        <v>74</v>
      </c>
      <c r="AY93" t="s">
        <v>74</v>
      </c>
      <c r="AZ93" t="s">
        <v>74</v>
      </c>
      <c r="BA93" t="s">
        <v>74</v>
      </c>
      <c r="BB93">
        <v>12764</v>
      </c>
      <c r="BC93">
        <v>12794</v>
      </c>
      <c r="BD93" t="s">
        <v>74</v>
      </c>
      <c r="BE93" t="s">
        <v>1024</v>
      </c>
      <c r="BF93" t="str">
        <f>HYPERLINK("http://dx.doi.org/10.1109/ACCESS.2023.3241628","http://dx.doi.org/10.1109/ACCESS.2023.3241628")</f>
        <v>http://dx.doi.org/10.1109/ACCESS.2023.3241628</v>
      </c>
      <c r="BG93" t="s">
        <v>74</v>
      </c>
      <c r="BH93" t="s">
        <v>74</v>
      </c>
      <c r="BI93" t="s">
        <v>74</v>
      </c>
      <c r="BJ93" t="s">
        <v>74</v>
      </c>
      <c r="BK93" t="s">
        <v>74</v>
      </c>
      <c r="BL93" t="s">
        <v>74</v>
      </c>
      <c r="BM93" t="s">
        <v>74</v>
      </c>
      <c r="BN93" t="s">
        <v>74</v>
      </c>
      <c r="BO93" t="s">
        <v>74</v>
      </c>
      <c r="BP93" t="s">
        <v>74</v>
      </c>
      <c r="BQ93" t="s">
        <v>74</v>
      </c>
      <c r="BR93" t="s">
        <v>74</v>
      </c>
      <c r="BS93" t="s">
        <v>1025</v>
      </c>
      <c r="BT93" t="str">
        <f>HYPERLINK("https%3A%2F%2Fwww.webofscience.com%2Fwos%2Fwoscc%2Ffull-record%2FWOS:000935646100001","View Full Record in Web of Science")</f>
        <v>View Full Record in Web of Science</v>
      </c>
    </row>
    <row r="94" spans="1:72" x14ac:dyDescent="0.25">
      <c r="A94" t="s">
        <v>72</v>
      </c>
      <c r="B94" t="s">
        <v>1026</v>
      </c>
      <c r="C94" t="s">
        <v>74</v>
      </c>
      <c r="D94" t="s">
        <v>74</v>
      </c>
      <c r="E94" t="s">
        <v>74</v>
      </c>
      <c r="F94" t="s">
        <v>1027</v>
      </c>
      <c r="G94" t="s">
        <v>74</v>
      </c>
      <c r="H94" t="s">
        <v>74</v>
      </c>
      <c r="I94" t="s">
        <v>1028</v>
      </c>
      <c r="J94" t="s">
        <v>1029</v>
      </c>
      <c r="K94" t="s">
        <v>74</v>
      </c>
      <c r="L94" t="s">
        <v>74</v>
      </c>
      <c r="M94" t="s">
        <v>74</v>
      </c>
      <c r="N94" t="s">
        <v>74</v>
      </c>
      <c r="O94" t="s">
        <v>74</v>
      </c>
      <c r="P94" t="s">
        <v>74</v>
      </c>
      <c r="Q94" t="s">
        <v>74</v>
      </c>
      <c r="R94" t="s">
        <v>74</v>
      </c>
      <c r="S94" t="s">
        <v>74</v>
      </c>
      <c r="T94" t="s">
        <v>74</v>
      </c>
      <c r="U94" t="s">
        <v>74</v>
      </c>
      <c r="V94" t="s">
        <v>1030</v>
      </c>
      <c r="W94" t="s">
        <v>74</v>
      </c>
      <c r="X94" t="s">
        <v>74</v>
      </c>
      <c r="Y94" t="s">
        <v>74</v>
      </c>
      <c r="Z94" t="s">
        <v>74</v>
      </c>
      <c r="AA94" t="s">
        <v>1031</v>
      </c>
      <c r="AB94" t="s">
        <v>1032</v>
      </c>
      <c r="AC94" t="s">
        <v>74</v>
      </c>
      <c r="AD94" t="s">
        <v>74</v>
      </c>
      <c r="AE94" t="s">
        <v>74</v>
      </c>
      <c r="AF94" t="s">
        <v>74</v>
      </c>
      <c r="AG94" t="s">
        <v>74</v>
      </c>
      <c r="AH94" t="s">
        <v>74</v>
      </c>
      <c r="AI94" t="s">
        <v>74</v>
      </c>
      <c r="AJ94" t="s">
        <v>74</v>
      </c>
      <c r="AK94" t="s">
        <v>74</v>
      </c>
      <c r="AL94" t="s">
        <v>74</v>
      </c>
      <c r="AM94" t="s">
        <v>74</v>
      </c>
      <c r="AN94" t="s">
        <v>74</v>
      </c>
      <c r="AO94" t="s">
        <v>1033</v>
      </c>
      <c r="AP94" t="s">
        <v>1034</v>
      </c>
      <c r="AQ94" t="s">
        <v>74</v>
      </c>
      <c r="AR94" t="s">
        <v>74</v>
      </c>
      <c r="AS94" t="s">
        <v>74</v>
      </c>
      <c r="AT94" t="s">
        <v>81</v>
      </c>
      <c r="AU94">
        <v>2022</v>
      </c>
      <c r="AV94">
        <v>65</v>
      </c>
      <c r="AW94" t="s">
        <v>74</v>
      </c>
      <c r="AX94" t="s">
        <v>74</v>
      </c>
      <c r="AY94" t="s">
        <v>74</v>
      </c>
      <c r="AZ94" t="s">
        <v>74</v>
      </c>
      <c r="BA94" t="s">
        <v>74</v>
      </c>
      <c r="BB94">
        <v>653</v>
      </c>
      <c r="BC94">
        <v>659</v>
      </c>
      <c r="BD94" t="s">
        <v>74</v>
      </c>
      <c r="BE94" t="s">
        <v>1035</v>
      </c>
      <c r="BF94" t="str">
        <f>HYPERLINK("http://dx.doi.org/10.1016/j.jmsy.2022.11.004","http://dx.doi.org/10.1016/j.jmsy.2022.11.004")</f>
        <v>http://dx.doi.org/10.1016/j.jmsy.2022.11.004</v>
      </c>
      <c r="BG94" t="s">
        <v>74</v>
      </c>
      <c r="BH94" t="s">
        <v>74</v>
      </c>
      <c r="BI94" t="s">
        <v>74</v>
      </c>
      <c r="BJ94" t="s">
        <v>74</v>
      </c>
      <c r="BK94" t="s">
        <v>74</v>
      </c>
      <c r="BL94" t="s">
        <v>74</v>
      </c>
      <c r="BM94" t="s">
        <v>74</v>
      </c>
      <c r="BN94" t="s">
        <v>74</v>
      </c>
      <c r="BO94" t="s">
        <v>74</v>
      </c>
      <c r="BP94" t="s">
        <v>74</v>
      </c>
      <c r="BQ94" t="s">
        <v>74</v>
      </c>
      <c r="BR94" t="s">
        <v>74</v>
      </c>
      <c r="BS94" t="s">
        <v>1036</v>
      </c>
      <c r="BT94" t="str">
        <f>HYPERLINK("https%3A%2F%2Fwww.webofscience.com%2Fwos%2Fwoscc%2Ffull-record%2FWOS:000974372700001","View Full Record in Web of Science")</f>
        <v>View Full Record in Web of Science</v>
      </c>
    </row>
    <row r="95" spans="1:72" x14ac:dyDescent="0.25">
      <c r="A95" t="s">
        <v>72</v>
      </c>
      <c r="B95" t="s">
        <v>1037</v>
      </c>
      <c r="C95" t="s">
        <v>74</v>
      </c>
      <c r="D95" t="s">
        <v>74</v>
      </c>
      <c r="E95" t="s">
        <v>74</v>
      </c>
      <c r="F95" t="s">
        <v>1038</v>
      </c>
      <c r="G95" t="s">
        <v>74</v>
      </c>
      <c r="H95" t="s">
        <v>74</v>
      </c>
      <c r="I95" t="s">
        <v>1039</v>
      </c>
      <c r="J95" t="s">
        <v>460</v>
      </c>
      <c r="K95" t="s">
        <v>74</v>
      </c>
      <c r="L95" t="s">
        <v>74</v>
      </c>
      <c r="M95" t="s">
        <v>74</v>
      </c>
      <c r="N95" t="s">
        <v>74</v>
      </c>
      <c r="O95" t="s">
        <v>74</v>
      </c>
      <c r="P95" t="s">
        <v>74</v>
      </c>
      <c r="Q95" t="s">
        <v>74</v>
      </c>
      <c r="R95" t="s">
        <v>74</v>
      </c>
      <c r="S95" t="s">
        <v>74</v>
      </c>
      <c r="T95" t="s">
        <v>74</v>
      </c>
      <c r="U95" t="s">
        <v>74</v>
      </c>
      <c r="V95" t="s">
        <v>1040</v>
      </c>
      <c r="W95" t="s">
        <v>74</v>
      </c>
      <c r="X95" t="s">
        <v>74</v>
      </c>
      <c r="Y95" t="s">
        <v>74</v>
      </c>
      <c r="Z95" t="s">
        <v>74</v>
      </c>
      <c r="AA95" t="s">
        <v>74</v>
      </c>
      <c r="AB95" t="s">
        <v>1041</v>
      </c>
      <c r="AC95" t="s">
        <v>74</v>
      </c>
      <c r="AD95" t="s">
        <v>74</v>
      </c>
      <c r="AE95" t="s">
        <v>74</v>
      </c>
      <c r="AF95" t="s">
        <v>74</v>
      </c>
      <c r="AG95" t="s">
        <v>74</v>
      </c>
      <c r="AH95" t="s">
        <v>74</v>
      </c>
      <c r="AI95" t="s">
        <v>74</v>
      </c>
      <c r="AJ95" t="s">
        <v>74</v>
      </c>
      <c r="AK95" t="s">
        <v>74</v>
      </c>
      <c r="AL95" t="s">
        <v>74</v>
      </c>
      <c r="AM95" t="s">
        <v>74</v>
      </c>
      <c r="AN95" t="s">
        <v>74</v>
      </c>
      <c r="AO95" t="s">
        <v>74</v>
      </c>
      <c r="AP95" t="s">
        <v>464</v>
      </c>
      <c r="AQ95" t="s">
        <v>74</v>
      </c>
      <c r="AR95" t="s">
        <v>74</v>
      </c>
      <c r="AS95" t="s">
        <v>74</v>
      </c>
      <c r="AT95" t="s">
        <v>536</v>
      </c>
      <c r="AU95">
        <v>2022</v>
      </c>
      <c r="AV95">
        <v>14</v>
      </c>
      <c r="AW95">
        <v>14</v>
      </c>
      <c r="AX95" t="s">
        <v>74</v>
      </c>
      <c r="AY95" t="s">
        <v>74</v>
      </c>
      <c r="AZ95" t="s">
        <v>74</v>
      </c>
      <c r="BA95" t="s">
        <v>74</v>
      </c>
      <c r="BB95" t="s">
        <v>74</v>
      </c>
      <c r="BC95" t="s">
        <v>74</v>
      </c>
      <c r="BD95">
        <v>8604</v>
      </c>
      <c r="BE95" t="s">
        <v>1042</v>
      </c>
      <c r="BF95" t="str">
        <f>HYPERLINK("http://dx.doi.org/10.3390/su14148604","http://dx.doi.org/10.3390/su14148604")</f>
        <v>http://dx.doi.org/10.3390/su14148604</v>
      </c>
      <c r="BG95" t="s">
        <v>74</v>
      </c>
      <c r="BH95" t="s">
        <v>74</v>
      </c>
      <c r="BI95" t="s">
        <v>74</v>
      </c>
      <c r="BJ95" t="s">
        <v>74</v>
      </c>
      <c r="BK95" t="s">
        <v>74</v>
      </c>
      <c r="BL95" t="s">
        <v>74</v>
      </c>
      <c r="BM95" t="s">
        <v>74</v>
      </c>
      <c r="BN95" t="s">
        <v>74</v>
      </c>
      <c r="BO95" t="s">
        <v>74</v>
      </c>
      <c r="BP95" t="s">
        <v>74</v>
      </c>
      <c r="BQ95" t="s">
        <v>74</v>
      </c>
      <c r="BR95" t="s">
        <v>74</v>
      </c>
      <c r="BS95" t="s">
        <v>1043</v>
      </c>
      <c r="BT95" t="str">
        <f>HYPERLINK("https%3A%2F%2Fwww.webofscience.com%2Fwos%2Fwoscc%2Ffull-record%2FWOS:000832442800001","View Full Record in Web of Science")</f>
        <v>View Full Record in Web of Science</v>
      </c>
    </row>
    <row r="96" spans="1:72" x14ac:dyDescent="0.25">
      <c r="A96" t="s">
        <v>72</v>
      </c>
      <c r="B96" t="s">
        <v>428</v>
      </c>
      <c r="C96" t="s">
        <v>74</v>
      </c>
      <c r="D96" t="s">
        <v>74</v>
      </c>
      <c r="E96" t="s">
        <v>74</v>
      </c>
      <c r="F96" t="s">
        <v>429</v>
      </c>
      <c r="G96" t="s">
        <v>74</v>
      </c>
      <c r="H96" t="s">
        <v>74</v>
      </c>
      <c r="I96" t="s">
        <v>1044</v>
      </c>
      <c r="J96" t="s">
        <v>305</v>
      </c>
      <c r="K96" t="s">
        <v>74</v>
      </c>
      <c r="L96" t="s">
        <v>74</v>
      </c>
      <c r="M96" t="s">
        <v>74</v>
      </c>
      <c r="N96" t="s">
        <v>74</v>
      </c>
      <c r="O96" t="s">
        <v>74</v>
      </c>
      <c r="P96" t="s">
        <v>74</v>
      </c>
      <c r="Q96" t="s">
        <v>74</v>
      </c>
      <c r="R96" t="s">
        <v>74</v>
      </c>
      <c r="S96" t="s">
        <v>74</v>
      </c>
      <c r="T96" t="s">
        <v>74</v>
      </c>
      <c r="U96" t="s">
        <v>74</v>
      </c>
      <c r="V96" t="s">
        <v>1045</v>
      </c>
      <c r="W96" t="s">
        <v>74</v>
      </c>
      <c r="X96" t="s">
        <v>74</v>
      </c>
      <c r="Y96" t="s">
        <v>74</v>
      </c>
      <c r="Z96" t="s">
        <v>74</v>
      </c>
      <c r="AA96" t="s">
        <v>74</v>
      </c>
      <c r="AB96" t="s">
        <v>74</v>
      </c>
      <c r="AC96" t="s">
        <v>74</v>
      </c>
      <c r="AD96" t="s">
        <v>74</v>
      </c>
      <c r="AE96" t="s">
        <v>74</v>
      </c>
      <c r="AF96" t="s">
        <v>74</v>
      </c>
      <c r="AG96" t="s">
        <v>74</v>
      </c>
      <c r="AH96" t="s">
        <v>74</v>
      </c>
      <c r="AI96" t="s">
        <v>74</v>
      </c>
      <c r="AJ96" t="s">
        <v>74</v>
      </c>
      <c r="AK96" t="s">
        <v>74</v>
      </c>
      <c r="AL96" t="s">
        <v>74</v>
      </c>
      <c r="AM96" t="s">
        <v>74</v>
      </c>
      <c r="AN96" t="s">
        <v>74</v>
      </c>
      <c r="AO96" t="s">
        <v>307</v>
      </c>
      <c r="AP96" t="s">
        <v>308</v>
      </c>
      <c r="AQ96" t="s">
        <v>74</v>
      </c>
      <c r="AR96" t="s">
        <v>74</v>
      </c>
      <c r="AS96" t="s">
        <v>74</v>
      </c>
      <c r="AT96" t="s">
        <v>1046</v>
      </c>
      <c r="AU96">
        <v>2022</v>
      </c>
      <c r="AV96">
        <v>24</v>
      </c>
      <c r="AW96">
        <v>3</v>
      </c>
      <c r="AX96" t="s">
        <v>74</v>
      </c>
      <c r="AY96" t="s">
        <v>74</v>
      </c>
      <c r="AZ96" t="s">
        <v>74</v>
      </c>
      <c r="BA96" t="s">
        <v>74</v>
      </c>
      <c r="BB96">
        <v>4</v>
      </c>
      <c r="BC96">
        <v>7</v>
      </c>
      <c r="BD96" t="s">
        <v>74</v>
      </c>
      <c r="BE96" t="s">
        <v>1047</v>
      </c>
      <c r="BF96" t="str">
        <f>HYPERLINK("http://dx.doi.org/10.1109/MITP.2022.3178509","http://dx.doi.org/10.1109/MITP.2022.3178509")</f>
        <v>http://dx.doi.org/10.1109/MITP.2022.3178509</v>
      </c>
      <c r="BG96" t="s">
        <v>74</v>
      </c>
      <c r="BH96" t="s">
        <v>74</v>
      </c>
      <c r="BI96" t="s">
        <v>74</v>
      </c>
      <c r="BJ96" t="s">
        <v>74</v>
      </c>
      <c r="BK96" t="s">
        <v>74</v>
      </c>
      <c r="BL96" t="s">
        <v>74</v>
      </c>
      <c r="BM96" t="s">
        <v>74</v>
      </c>
      <c r="BN96" t="s">
        <v>74</v>
      </c>
      <c r="BO96" t="s">
        <v>74</v>
      </c>
      <c r="BP96" t="s">
        <v>74</v>
      </c>
      <c r="BQ96" t="s">
        <v>74</v>
      </c>
      <c r="BR96" t="s">
        <v>74</v>
      </c>
      <c r="BS96" t="s">
        <v>1048</v>
      </c>
      <c r="BT96" t="str">
        <f>HYPERLINK("https%3A%2F%2Fwww.webofscience.com%2Fwos%2Fwoscc%2Ffull-record%2FWOS:000819825800006","View Full Record in Web of Science")</f>
        <v>View Full Record in Web of Science</v>
      </c>
    </row>
    <row r="97" spans="1:72" x14ac:dyDescent="0.25">
      <c r="A97" t="s">
        <v>72</v>
      </c>
      <c r="B97" t="s">
        <v>1049</v>
      </c>
      <c r="C97" t="s">
        <v>74</v>
      </c>
      <c r="D97" t="s">
        <v>74</v>
      </c>
      <c r="E97" t="s">
        <v>74</v>
      </c>
      <c r="F97" t="s">
        <v>1050</v>
      </c>
      <c r="G97" t="s">
        <v>74</v>
      </c>
      <c r="H97" t="s">
        <v>74</v>
      </c>
      <c r="I97" t="s">
        <v>1051</v>
      </c>
      <c r="J97" t="s">
        <v>1052</v>
      </c>
      <c r="K97" t="s">
        <v>74</v>
      </c>
      <c r="L97" t="s">
        <v>74</v>
      </c>
      <c r="M97" t="s">
        <v>74</v>
      </c>
      <c r="N97" t="s">
        <v>74</v>
      </c>
      <c r="O97" t="s">
        <v>74</v>
      </c>
      <c r="P97" t="s">
        <v>74</v>
      </c>
      <c r="Q97" t="s">
        <v>74</v>
      </c>
      <c r="R97" t="s">
        <v>74</v>
      </c>
      <c r="S97" t="s">
        <v>74</v>
      </c>
      <c r="T97" t="s">
        <v>74</v>
      </c>
      <c r="U97" t="s">
        <v>74</v>
      </c>
      <c r="V97" t="s">
        <v>1053</v>
      </c>
      <c r="W97" t="s">
        <v>74</v>
      </c>
      <c r="X97" t="s">
        <v>74</v>
      </c>
      <c r="Y97" t="s">
        <v>74</v>
      </c>
      <c r="Z97" t="s">
        <v>74</v>
      </c>
      <c r="AA97" t="s">
        <v>74</v>
      </c>
      <c r="AB97" t="s">
        <v>74</v>
      </c>
      <c r="AC97" t="s">
        <v>74</v>
      </c>
      <c r="AD97" t="s">
        <v>74</v>
      </c>
      <c r="AE97" t="s">
        <v>74</v>
      </c>
      <c r="AF97" t="s">
        <v>74</v>
      </c>
      <c r="AG97" t="s">
        <v>74</v>
      </c>
      <c r="AH97" t="s">
        <v>74</v>
      </c>
      <c r="AI97" t="s">
        <v>74</v>
      </c>
      <c r="AJ97" t="s">
        <v>74</v>
      </c>
      <c r="AK97" t="s">
        <v>74</v>
      </c>
      <c r="AL97" t="s">
        <v>74</v>
      </c>
      <c r="AM97" t="s">
        <v>74</v>
      </c>
      <c r="AN97" t="s">
        <v>74</v>
      </c>
      <c r="AO97" t="s">
        <v>1054</v>
      </c>
      <c r="AP97" t="s">
        <v>74</v>
      </c>
      <c r="AQ97" t="s">
        <v>74</v>
      </c>
      <c r="AR97" t="s">
        <v>74</v>
      </c>
      <c r="AS97" t="s">
        <v>74</v>
      </c>
      <c r="AT97" t="s">
        <v>1055</v>
      </c>
      <c r="AU97">
        <v>2023</v>
      </c>
      <c r="AV97">
        <v>10</v>
      </c>
      <c r="AW97">
        <v>5</v>
      </c>
      <c r="AX97" t="s">
        <v>74</v>
      </c>
      <c r="AY97" t="s">
        <v>74</v>
      </c>
      <c r="AZ97" t="s">
        <v>74</v>
      </c>
      <c r="BA97" t="s">
        <v>74</v>
      </c>
      <c r="BB97">
        <v>4420</v>
      </c>
      <c r="BC97">
        <v>4430</v>
      </c>
      <c r="BD97" t="s">
        <v>74</v>
      </c>
      <c r="BE97" t="s">
        <v>1056</v>
      </c>
      <c r="BF97" t="str">
        <f>HYPERLINK("http://dx.doi.org/10.1109/JIOT.2022.3217821","http://dx.doi.org/10.1109/JIOT.2022.3217821")</f>
        <v>http://dx.doi.org/10.1109/JIOT.2022.3217821</v>
      </c>
      <c r="BG97" t="s">
        <v>74</v>
      </c>
      <c r="BH97" t="s">
        <v>74</v>
      </c>
      <c r="BI97" t="s">
        <v>74</v>
      </c>
      <c r="BJ97" t="s">
        <v>74</v>
      </c>
      <c r="BK97" t="s">
        <v>74</v>
      </c>
      <c r="BL97" t="s">
        <v>74</v>
      </c>
      <c r="BM97" t="s">
        <v>74</v>
      </c>
      <c r="BN97" t="s">
        <v>74</v>
      </c>
      <c r="BO97" t="s">
        <v>74</v>
      </c>
      <c r="BP97" t="s">
        <v>74</v>
      </c>
      <c r="BQ97" t="s">
        <v>74</v>
      </c>
      <c r="BR97" t="s">
        <v>74</v>
      </c>
      <c r="BS97" t="s">
        <v>1057</v>
      </c>
      <c r="BT97" t="str">
        <f>HYPERLINK("https%3A%2F%2Fwww.webofscience.com%2Fwos%2Fwoscc%2Ffull-record%2FWOS:000966895900001","View Full Record in Web of Science")</f>
        <v>View Full Record in Web of Science</v>
      </c>
    </row>
    <row r="98" spans="1:72" x14ac:dyDescent="0.25">
      <c r="A98" t="s">
        <v>72</v>
      </c>
      <c r="B98" t="s">
        <v>1058</v>
      </c>
      <c r="C98" t="s">
        <v>74</v>
      </c>
      <c r="D98" t="s">
        <v>74</v>
      </c>
      <c r="E98" t="s">
        <v>74</v>
      </c>
      <c r="F98" t="s">
        <v>1059</v>
      </c>
      <c r="G98" t="s">
        <v>74</v>
      </c>
      <c r="H98" t="s">
        <v>74</v>
      </c>
      <c r="I98" t="s">
        <v>1060</v>
      </c>
      <c r="J98" t="s">
        <v>1061</v>
      </c>
      <c r="K98" t="s">
        <v>74</v>
      </c>
      <c r="L98" t="s">
        <v>74</v>
      </c>
      <c r="M98" t="s">
        <v>74</v>
      </c>
      <c r="N98" t="s">
        <v>74</v>
      </c>
      <c r="O98" t="s">
        <v>74</v>
      </c>
      <c r="P98" t="s">
        <v>74</v>
      </c>
      <c r="Q98" t="s">
        <v>74</v>
      </c>
      <c r="R98" t="s">
        <v>74</v>
      </c>
      <c r="S98" t="s">
        <v>74</v>
      </c>
      <c r="T98" t="s">
        <v>74</v>
      </c>
      <c r="U98" t="s">
        <v>74</v>
      </c>
      <c r="V98" t="s">
        <v>1062</v>
      </c>
      <c r="W98" t="s">
        <v>74</v>
      </c>
      <c r="X98" t="s">
        <v>74</v>
      </c>
      <c r="Y98" t="s">
        <v>74</v>
      </c>
      <c r="Z98" t="s">
        <v>74</v>
      </c>
      <c r="AA98" t="s">
        <v>74</v>
      </c>
      <c r="AB98" t="s">
        <v>74</v>
      </c>
      <c r="AC98" t="s">
        <v>74</v>
      </c>
      <c r="AD98" t="s">
        <v>74</v>
      </c>
      <c r="AE98" t="s">
        <v>74</v>
      </c>
      <c r="AF98" t="s">
        <v>74</v>
      </c>
      <c r="AG98" t="s">
        <v>74</v>
      </c>
      <c r="AH98" t="s">
        <v>74</v>
      </c>
      <c r="AI98" t="s">
        <v>74</v>
      </c>
      <c r="AJ98" t="s">
        <v>74</v>
      </c>
      <c r="AK98" t="s">
        <v>74</v>
      </c>
      <c r="AL98" t="s">
        <v>74</v>
      </c>
      <c r="AM98" t="s">
        <v>74</v>
      </c>
      <c r="AN98" t="s">
        <v>74</v>
      </c>
      <c r="AO98" t="s">
        <v>1063</v>
      </c>
      <c r="AP98" t="s">
        <v>74</v>
      </c>
      <c r="AQ98" t="s">
        <v>74</v>
      </c>
      <c r="AR98" t="s">
        <v>74</v>
      </c>
      <c r="AS98" t="s">
        <v>74</v>
      </c>
      <c r="AT98" t="s">
        <v>175</v>
      </c>
      <c r="AU98">
        <v>2023</v>
      </c>
      <c r="AV98">
        <v>34</v>
      </c>
      <c r="AW98">
        <v>1</v>
      </c>
      <c r="AX98" t="s">
        <v>74</v>
      </c>
      <c r="AY98" t="s">
        <v>74</v>
      </c>
      <c r="AZ98" t="s">
        <v>74</v>
      </c>
      <c r="BA98" t="s">
        <v>74</v>
      </c>
      <c r="BB98" t="s">
        <v>74</v>
      </c>
      <c r="BC98" t="s">
        <v>74</v>
      </c>
      <c r="BD98" t="s">
        <v>74</v>
      </c>
      <c r="BE98" t="s">
        <v>1064</v>
      </c>
      <c r="BF98" t="str">
        <f>HYPERLINK("http://dx.doi.org/10.1002/ett.4658","http://dx.doi.org/10.1002/ett.4658")</f>
        <v>http://dx.doi.org/10.1002/ett.4658</v>
      </c>
      <c r="BG98" t="s">
        <v>74</v>
      </c>
      <c r="BH98" t="s">
        <v>1065</v>
      </c>
      <c r="BI98" t="s">
        <v>74</v>
      </c>
      <c r="BJ98" t="s">
        <v>74</v>
      </c>
      <c r="BK98" t="s">
        <v>74</v>
      </c>
      <c r="BL98" t="s">
        <v>74</v>
      </c>
      <c r="BM98" t="s">
        <v>74</v>
      </c>
      <c r="BN98" t="s">
        <v>74</v>
      </c>
      <c r="BO98" t="s">
        <v>74</v>
      </c>
      <c r="BP98" t="s">
        <v>74</v>
      </c>
      <c r="BQ98" t="s">
        <v>74</v>
      </c>
      <c r="BR98" t="s">
        <v>74</v>
      </c>
      <c r="BS98" t="s">
        <v>1066</v>
      </c>
      <c r="BT98" t="str">
        <f>HYPERLINK("https%3A%2F%2Fwww.webofscience.com%2Fwos%2Fwoscc%2Ffull-record%2FWOS:000864919300001","View Full Record in Web of Science")</f>
        <v>View Full Record in Web of Science</v>
      </c>
    </row>
    <row r="99" spans="1:72" x14ac:dyDescent="0.25">
      <c r="A99" t="s">
        <v>84</v>
      </c>
      <c r="B99" t="s">
        <v>1067</v>
      </c>
      <c r="C99" t="s">
        <v>74</v>
      </c>
      <c r="D99" t="s">
        <v>1068</v>
      </c>
      <c r="E99" t="s">
        <v>74</v>
      </c>
      <c r="F99" t="s">
        <v>1069</v>
      </c>
      <c r="G99" t="s">
        <v>74</v>
      </c>
      <c r="H99" t="s">
        <v>74</v>
      </c>
      <c r="I99" t="s">
        <v>1070</v>
      </c>
      <c r="J99" t="s">
        <v>1071</v>
      </c>
      <c r="K99" t="s">
        <v>158</v>
      </c>
      <c r="L99" t="s">
        <v>74</v>
      </c>
      <c r="M99" t="s">
        <v>74</v>
      </c>
      <c r="N99" t="s">
        <v>74</v>
      </c>
      <c r="O99" t="s">
        <v>557</v>
      </c>
      <c r="P99" t="s">
        <v>288</v>
      </c>
      <c r="Q99" t="s">
        <v>558</v>
      </c>
      <c r="R99" t="s">
        <v>74</v>
      </c>
      <c r="S99" t="s">
        <v>74</v>
      </c>
      <c r="T99" t="s">
        <v>74</v>
      </c>
      <c r="U99" t="s">
        <v>74</v>
      </c>
      <c r="V99" t="s">
        <v>1072</v>
      </c>
      <c r="W99" t="s">
        <v>74</v>
      </c>
      <c r="X99" t="s">
        <v>74</v>
      </c>
      <c r="Y99" t="s">
        <v>74</v>
      </c>
      <c r="Z99" t="s">
        <v>74</v>
      </c>
      <c r="AA99" t="s">
        <v>74</v>
      </c>
      <c r="AB99" t="s">
        <v>1073</v>
      </c>
      <c r="AC99" t="s">
        <v>74</v>
      </c>
      <c r="AD99" t="s">
        <v>74</v>
      </c>
      <c r="AE99" t="s">
        <v>74</v>
      </c>
      <c r="AF99" t="s">
        <v>74</v>
      </c>
      <c r="AG99" t="s">
        <v>74</v>
      </c>
      <c r="AH99" t="s">
        <v>74</v>
      </c>
      <c r="AI99" t="s">
        <v>74</v>
      </c>
      <c r="AJ99" t="s">
        <v>74</v>
      </c>
      <c r="AK99" t="s">
        <v>74</v>
      </c>
      <c r="AL99" t="s">
        <v>74</v>
      </c>
      <c r="AM99" t="s">
        <v>74</v>
      </c>
      <c r="AN99" t="s">
        <v>74</v>
      </c>
      <c r="AO99" t="s">
        <v>164</v>
      </c>
      <c r="AP99" t="s">
        <v>165</v>
      </c>
      <c r="AQ99" t="s">
        <v>1074</v>
      </c>
      <c r="AR99" t="s">
        <v>74</v>
      </c>
      <c r="AS99" t="s">
        <v>74</v>
      </c>
      <c r="AT99" t="s">
        <v>74</v>
      </c>
      <c r="AU99">
        <v>2022</v>
      </c>
      <c r="AV99">
        <v>13306</v>
      </c>
      <c r="AW99" t="s">
        <v>74</v>
      </c>
      <c r="AX99" t="s">
        <v>74</v>
      </c>
      <c r="AY99" t="s">
        <v>74</v>
      </c>
      <c r="AZ99" t="s">
        <v>74</v>
      </c>
      <c r="BA99" t="s">
        <v>74</v>
      </c>
      <c r="BB99">
        <v>131</v>
      </c>
      <c r="BC99">
        <v>145</v>
      </c>
      <c r="BD99" t="s">
        <v>74</v>
      </c>
      <c r="BE99" t="s">
        <v>1075</v>
      </c>
      <c r="BF99" t="str">
        <f>HYPERLINK("http://dx.doi.org/10.1007/978-3-031-06509-5_10","http://dx.doi.org/10.1007/978-3-031-06509-5_10")</f>
        <v>http://dx.doi.org/10.1007/978-3-031-06509-5_10</v>
      </c>
      <c r="BG99" t="s">
        <v>74</v>
      </c>
      <c r="BH99" t="s">
        <v>74</v>
      </c>
      <c r="BI99" t="s">
        <v>74</v>
      </c>
      <c r="BJ99" t="s">
        <v>74</v>
      </c>
      <c r="BK99" t="s">
        <v>74</v>
      </c>
      <c r="BL99" t="s">
        <v>74</v>
      </c>
      <c r="BM99" t="s">
        <v>74</v>
      </c>
      <c r="BN99" t="s">
        <v>74</v>
      </c>
      <c r="BO99" t="s">
        <v>74</v>
      </c>
      <c r="BP99" t="s">
        <v>74</v>
      </c>
      <c r="BQ99" t="s">
        <v>74</v>
      </c>
      <c r="BR99" t="s">
        <v>74</v>
      </c>
      <c r="BS99" t="s">
        <v>1076</v>
      </c>
      <c r="BT99" t="str">
        <f>HYPERLINK("https%3A%2F%2Fwww.webofscience.com%2Fwos%2Fwoscc%2Ffull-record%2FWOS:000931950100009","View Full Record in Web of Science")</f>
        <v>View Full Record in Web of Science</v>
      </c>
    </row>
    <row r="100" spans="1:72" x14ac:dyDescent="0.25">
      <c r="A100" t="s">
        <v>72</v>
      </c>
      <c r="B100" t="s">
        <v>1077</v>
      </c>
      <c r="C100" t="s">
        <v>74</v>
      </c>
      <c r="D100" t="s">
        <v>74</v>
      </c>
      <c r="E100" t="s">
        <v>74</v>
      </c>
      <c r="F100" t="s">
        <v>1078</v>
      </c>
      <c r="G100" t="s">
        <v>74</v>
      </c>
      <c r="H100" t="s">
        <v>74</v>
      </c>
      <c r="I100" t="s">
        <v>1079</v>
      </c>
      <c r="J100" t="s">
        <v>1080</v>
      </c>
      <c r="K100" t="s">
        <v>74</v>
      </c>
      <c r="L100" t="s">
        <v>74</v>
      </c>
      <c r="M100" t="s">
        <v>74</v>
      </c>
      <c r="N100" t="s">
        <v>74</v>
      </c>
      <c r="O100" t="s">
        <v>74</v>
      </c>
      <c r="P100" t="s">
        <v>74</v>
      </c>
      <c r="Q100" t="s">
        <v>74</v>
      </c>
      <c r="R100" t="s">
        <v>74</v>
      </c>
      <c r="S100" t="s">
        <v>74</v>
      </c>
      <c r="T100" t="s">
        <v>74</v>
      </c>
      <c r="U100" t="s">
        <v>74</v>
      </c>
      <c r="V100" t="s">
        <v>1081</v>
      </c>
      <c r="W100" t="s">
        <v>74</v>
      </c>
      <c r="X100" t="s">
        <v>74</v>
      </c>
      <c r="Y100" t="s">
        <v>74</v>
      </c>
      <c r="Z100" t="s">
        <v>74</v>
      </c>
      <c r="AA100" t="s">
        <v>74</v>
      </c>
      <c r="AB100" t="s">
        <v>74</v>
      </c>
      <c r="AC100" t="s">
        <v>74</v>
      </c>
      <c r="AD100" t="s">
        <v>74</v>
      </c>
      <c r="AE100" t="s">
        <v>74</v>
      </c>
      <c r="AF100" t="s">
        <v>74</v>
      </c>
      <c r="AG100" t="s">
        <v>74</v>
      </c>
      <c r="AH100" t="s">
        <v>74</v>
      </c>
      <c r="AI100" t="s">
        <v>74</v>
      </c>
      <c r="AJ100" t="s">
        <v>74</v>
      </c>
      <c r="AK100" t="s">
        <v>74</v>
      </c>
      <c r="AL100" t="s">
        <v>74</v>
      </c>
      <c r="AM100" t="s">
        <v>74</v>
      </c>
      <c r="AN100" t="s">
        <v>74</v>
      </c>
      <c r="AO100" t="s">
        <v>1082</v>
      </c>
      <c r="AP100" t="s">
        <v>74</v>
      </c>
      <c r="AQ100" t="s">
        <v>74</v>
      </c>
      <c r="AR100" t="s">
        <v>74</v>
      </c>
      <c r="AS100" t="s">
        <v>74</v>
      </c>
      <c r="AT100" t="s">
        <v>1083</v>
      </c>
      <c r="AU100">
        <v>2022</v>
      </c>
      <c r="AV100">
        <v>10</v>
      </c>
      <c r="AW100">
        <v>1</v>
      </c>
      <c r="AX100" t="s">
        <v>74</v>
      </c>
      <c r="AY100" t="s">
        <v>74</v>
      </c>
      <c r="AZ100" t="s">
        <v>74</v>
      </c>
      <c r="BA100" t="s">
        <v>74</v>
      </c>
      <c r="BB100" t="s">
        <v>74</v>
      </c>
      <c r="BC100" t="s">
        <v>74</v>
      </c>
      <c r="BD100">
        <v>148</v>
      </c>
      <c r="BE100" t="s">
        <v>1084</v>
      </c>
      <c r="BF100" t="str">
        <f>HYPERLINK("http://dx.doi.org/10.1186/s40494-022-00749-8","http://dx.doi.org/10.1186/s40494-022-00749-8")</f>
        <v>http://dx.doi.org/10.1186/s40494-022-00749-8</v>
      </c>
      <c r="BG100" t="s">
        <v>74</v>
      </c>
      <c r="BH100" t="s">
        <v>74</v>
      </c>
      <c r="BI100" t="s">
        <v>74</v>
      </c>
      <c r="BJ100" t="s">
        <v>74</v>
      </c>
      <c r="BK100" t="s">
        <v>74</v>
      </c>
      <c r="BL100" t="s">
        <v>74</v>
      </c>
      <c r="BM100" t="s">
        <v>74</v>
      </c>
      <c r="BN100">
        <v>36185636</v>
      </c>
      <c r="BO100" t="s">
        <v>74</v>
      </c>
      <c r="BP100" t="s">
        <v>74</v>
      </c>
      <c r="BQ100" t="s">
        <v>74</v>
      </c>
      <c r="BR100" t="s">
        <v>74</v>
      </c>
      <c r="BS100" t="s">
        <v>1085</v>
      </c>
      <c r="BT100" t="str">
        <f>HYPERLINK("https%3A%2F%2Fwww.webofscience.com%2Fwos%2Fwoscc%2Ffull-record%2FWOS:000856978800001","View Full Record in Web of Science")</f>
        <v>View Full Record in Web of Science</v>
      </c>
    </row>
    <row r="101" spans="1:72" x14ac:dyDescent="0.25">
      <c r="A101" t="s">
        <v>72</v>
      </c>
      <c r="B101" t="s">
        <v>1086</v>
      </c>
      <c r="C101" t="s">
        <v>74</v>
      </c>
      <c r="D101" t="s">
        <v>74</v>
      </c>
      <c r="E101" t="s">
        <v>74</v>
      </c>
      <c r="F101" t="s">
        <v>1087</v>
      </c>
      <c r="G101" t="s">
        <v>74</v>
      </c>
      <c r="H101" t="s">
        <v>74</v>
      </c>
      <c r="I101" t="s">
        <v>1088</v>
      </c>
      <c r="J101" t="s">
        <v>1089</v>
      </c>
      <c r="K101" t="s">
        <v>74</v>
      </c>
      <c r="L101" t="s">
        <v>74</v>
      </c>
      <c r="M101" t="s">
        <v>74</v>
      </c>
      <c r="N101" t="s">
        <v>74</v>
      </c>
      <c r="O101" t="s">
        <v>74</v>
      </c>
      <c r="P101" t="s">
        <v>74</v>
      </c>
      <c r="Q101" t="s">
        <v>74</v>
      </c>
      <c r="R101" t="s">
        <v>74</v>
      </c>
      <c r="S101" t="s">
        <v>74</v>
      </c>
      <c r="T101" t="s">
        <v>74</v>
      </c>
      <c r="U101" t="s">
        <v>74</v>
      </c>
      <c r="V101" t="s">
        <v>1090</v>
      </c>
      <c r="W101" t="s">
        <v>74</v>
      </c>
      <c r="X101" t="s">
        <v>74</v>
      </c>
      <c r="Y101" t="s">
        <v>74</v>
      </c>
      <c r="Z101" t="s">
        <v>74</v>
      </c>
      <c r="AA101" t="s">
        <v>1091</v>
      </c>
      <c r="AB101" t="s">
        <v>74</v>
      </c>
      <c r="AC101" t="s">
        <v>74</v>
      </c>
      <c r="AD101" t="s">
        <v>74</v>
      </c>
      <c r="AE101" t="s">
        <v>74</v>
      </c>
      <c r="AF101" t="s">
        <v>74</v>
      </c>
      <c r="AG101" t="s">
        <v>74</v>
      </c>
      <c r="AH101" t="s">
        <v>74</v>
      </c>
      <c r="AI101" t="s">
        <v>74</v>
      </c>
      <c r="AJ101" t="s">
        <v>74</v>
      </c>
      <c r="AK101" t="s">
        <v>74</v>
      </c>
      <c r="AL101" t="s">
        <v>74</v>
      </c>
      <c r="AM101" t="s">
        <v>74</v>
      </c>
      <c r="AN101" t="s">
        <v>74</v>
      </c>
      <c r="AO101" t="s">
        <v>1092</v>
      </c>
      <c r="AP101" t="s">
        <v>1093</v>
      </c>
      <c r="AQ101" t="s">
        <v>74</v>
      </c>
      <c r="AR101" t="s">
        <v>74</v>
      </c>
      <c r="AS101" t="s">
        <v>74</v>
      </c>
      <c r="AT101" t="s">
        <v>1094</v>
      </c>
      <c r="AU101">
        <v>2022</v>
      </c>
      <c r="AV101">
        <v>2022</v>
      </c>
      <c r="AW101" t="s">
        <v>74</v>
      </c>
      <c r="AX101" t="s">
        <v>74</v>
      </c>
      <c r="AY101" t="s">
        <v>74</v>
      </c>
      <c r="AZ101" t="s">
        <v>74</v>
      </c>
      <c r="BA101" t="s">
        <v>74</v>
      </c>
      <c r="BB101" t="s">
        <v>74</v>
      </c>
      <c r="BC101" t="s">
        <v>74</v>
      </c>
      <c r="BD101">
        <v>1938329</v>
      </c>
      <c r="BE101" t="s">
        <v>1095</v>
      </c>
      <c r="BF101" t="str">
        <f>HYPERLINK("http://dx.doi.org/10.1155/2022/1938329","http://dx.doi.org/10.1155/2022/1938329")</f>
        <v>http://dx.doi.org/10.1155/2022/1938329</v>
      </c>
      <c r="BG101" t="s">
        <v>74</v>
      </c>
      <c r="BH101" t="s">
        <v>74</v>
      </c>
      <c r="BI101" t="s">
        <v>74</v>
      </c>
      <c r="BJ101" t="s">
        <v>74</v>
      </c>
      <c r="BK101" t="s">
        <v>74</v>
      </c>
      <c r="BL101" t="s">
        <v>74</v>
      </c>
      <c r="BM101" t="s">
        <v>74</v>
      </c>
      <c r="BN101" t="s">
        <v>74</v>
      </c>
      <c r="BO101" t="s">
        <v>74</v>
      </c>
      <c r="BP101" t="s">
        <v>74</v>
      </c>
      <c r="BQ101" t="s">
        <v>74</v>
      </c>
      <c r="BR101" t="s">
        <v>74</v>
      </c>
      <c r="BS101" t="s">
        <v>1096</v>
      </c>
      <c r="BT101" t="str">
        <f>HYPERLINK("https%3A%2F%2Fwww.webofscience.com%2Fwos%2Fwoscc%2Ffull-record%2FWOS:000882943800003","View Full Record in Web of Science")</f>
        <v>View Full Record in Web of Science</v>
      </c>
    </row>
    <row r="102" spans="1:72" x14ac:dyDescent="0.25">
      <c r="A102" t="s">
        <v>72</v>
      </c>
      <c r="B102" t="s">
        <v>1097</v>
      </c>
      <c r="C102" t="s">
        <v>74</v>
      </c>
      <c r="D102" t="s">
        <v>74</v>
      </c>
      <c r="E102" t="s">
        <v>74</v>
      </c>
      <c r="F102" t="s">
        <v>1098</v>
      </c>
      <c r="G102" t="s">
        <v>74</v>
      </c>
      <c r="H102" t="s">
        <v>74</v>
      </c>
      <c r="I102" t="s">
        <v>1099</v>
      </c>
      <c r="J102" t="s">
        <v>1100</v>
      </c>
      <c r="K102" t="s">
        <v>74</v>
      </c>
      <c r="L102" t="s">
        <v>74</v>
      </c>
      <c r="M102" t="s">
        <v>74</v>
      </c>
      <c r="N102" t="s">
        <v>74</v>
      </c>
      <c r="O102" t="s">
        <v>74</v>
      </c>
      <c r="P102" t="s">
        <v>74</v>
      </c>
      <c r="Q102" t="s">
        <v>74</v>
      </c>
      <c r="R102" t="s">
        <v>74</v>
      </c>
      <c r="S102" t="s">
        <v>74</v>
      </c>
      <c r="T102" t="s">
        <v>74</v>
      </c>
      <c r="U102" t="s">
        <v>74</v>
      </c>
      <c r="V102" t="s">
        <v>1101</v>
      </c>
      <c r="W102" t="s">
        <v>74</v>
      </c>
      <c r="X102" t="s">
        <v>74</v>
      </c>
      <c r="Y102" t="s">
        <v>74</v>
      </c>
      <c r="Z102" t="s">
        <v>74</v>
      </c>
      <c r="AA102" t="s">
        <v>1102</v>
      </c>
      <c r="AB102" t="s">
        <v>1103</v>
      </c>
      <c r="AC102" t="s">
        <v>74</v>
      </c>
      <c r="AD102" t="s">
        <v>74</v>
      </c>
      <c r="AE102" t="s">
        <v>74</v>
      </c>
      <c r="AF102" t="s">
        <v>74</v>
      </c>
      <c r="AG102" t="s">
        <v>74</v>
      </c>
      <c r="AH102" t="s">
        <v>74</v>
      </c>
      <c r="AI102" t="s">
        <v>74</v>
      </c>
      <c r="AJ102" t="s">
        <v>74</v>
      </c>
      <c r="AK102" t="s">
        <v>74</v>
      </c>
      <c r="AL102" t="s">
        <v>74</v>
      </c>
      <c r="AM102" t="s">
        <v>74</v>
      </c>
      <c r="AN102" t="s">
        <v>74</v>
      </c>
      <c r="AO102" t="s">
        <v>1104</v>
      </c>
      <c r="AP102" t="s">
        <v>1105</v>
      </c>
      <c r="AQ102" t="s">
        <v>74</v>
      </c>
      <c r="AR102" t="s">
        <v>74</v>
      </c>
      <c r="AS102" t="s">
        <v>74</v>
      </c>
      <c r="AT102" t="s">
        <v>74</v>
      </c>
      <c r="AU102" t="s">
        <v>74</v>
      </c>
      <c r="AV102" t="s">
        <v>74</v>
      </c>
      <c r="AW102" t="s">
        <v>74</v>
      </c>
      <c r="AX102" t="s">
        <v>74</v>
      </c>
      <c r="AY102" t="s">
        <v>74</v>
      </c>
      <c r="AZ102" t="s">
        <v>74</v>
      </c>
      <c r="BA102" t="s">
        <v>74</v>
      </c>
      <c r="BB102" t="s">
        <v>74</v>
      </c>
      <c r="BC102" t="s">
        <v>74</v>
      </c>
      <c r="BD102" t="s">
        <v>74</v>
      </c>
      <c r="BE102" t="s">
        <v>1106</v>
      </c>
      <c r="BF102" t="str">
        <f>HYPERLINK("http://dx.doi.org/10.1002/smr.2531","http://dx.doi.org/10.1002/smr.2531")</f>
        <v>http://dx.doi.org/10.1002/smr.2531</v>
      </c>
      <c r="BG102" t="s">
        <v>74</v>
      </c>
      <c r="BH102" t="s">
        <v>151</v>
      </c>
      <c r="BI102" t="s">
        <v>74</v>
      </c>
      <c r="BJ102" t="s">
        <v>74</v>
      </c>
      <c r="BK102" t="s">
        <v>74</v>
      </c>
      <c r="BL102" t="s">
        <v>74</v>
      </c>
      <c r="BM102" t="s">
        <v>74</v>
      </c>
      <c r="BN102" t="s">
        <v>74</v>
      </c>
      <c r="BO102" t="s">
        <v>74</v>
      </c>
      <c r="BP102" t="s">
        <v>74</v>
      </c>
      <c r="BQ102" t="s">
        <v>74</v>
      </c>
      <c r="BR102" t="s">
        <v>74</v>
      </c>
      <c r="BS102" t="s">
        <v>1107</v>
      </c>
      <c r="BT102" t="str">
        <f>HYPERLINK("https%3A%2F%2Fwww.webofscience.com%2Fwos%2Fwoscc%2Ffull-record%2FWOS:000907544800001","View Full Record in Web of Science")</f>
        <v>View Full Record in Web of Science</v>
      </c>
    </row>
    <row r="103" spans="1:72" x14ac:dyDescent="0.25">
      <c r="A103" t="s">
        <v>72</v>
      </c>
      <c r="B103" t="s">
        <v>1108</v>
      </c>
      <c r="C103" t="s">
        <v>74</v>
      </c>
      <c r="D103" t="s">
        <v>74</v>
      </c>
      <c r="E103" t="s">
        <v>74</v>
      </c>
      <c r="F103" t="s">
        <v>1109</v>
      </c>
      <c r="G103" t="s">
        <v>74</v>
      </c>
      <c r="H103" t="s">
        <v>74</v>
      </c>
      <c r="I103" t="s">
        <v>1110</v>
      </c>
      <c r="J103" t="s">
        <v>817</v>
      </c>
      <c r="K103" t="s">
        <v>74</v>
      </c>
      <c r="L103" t="s">
        <v>74</v>
      </c>
      <c r="M103" t="s">
        <v>74</v>
      </c>
      <c r="N103" t="s">
        <v>74</v>
      </c>
      <c r="O103" t="s">
        <v>74</v>
      </c>
      <c r="P103" t="s">
        <v>74</v>
      </c>
      <c r="Q103" t="s">
        <v>74</v>
      </c>
      <c r="R103" t="s">
        <v>74</v>
      </c>
      <c r="S103" t="s">
        <v>74</v>
      </c>
      <c r="T103" t="s">
        <v>74</v>
      </c>
      <c r="U103" t="s">
        <v>74</v>
      </c>
      <c r="V103" t="s">
        <v>1111</v>
      </c>
      <c r="W103" t="s">
        <v>74</v>
      </c>
      <c r="X103" t="s">
        <v>74</v>
      </c>
      <c r="Y103" t="s">
        <v>74</v>
      </c>
      <c r="Z103" t="s">
        <v>74</v>
      </c>
      <c r="AA103" t="s">
        <v>74</v>
      </c>
      <c r="AB103" t="s">
        <v>1112</v>
      </c>
      <c r="AC103" t="s">
        <v>74</v>
      </c>
      <c r="AD103" t="s">
        <v>74</v>
      </c>
      <c r="AE103" t="s">
        <v>74</v>
      </c>
      <c r="AF103" t="s">
        <v>74</v>
      </c>
      <c r="AG103" t="s">
        <v>74</v>
      </c>
      <c r="AH103" t="s">
        <v>74</v>
      </c>
      <c r="AI103" t="s">
        <v>74</v>
      </c>
      <c r="AJ103" t="s">
        <v>74</v>
      </c>
      <c r="AK103" t="s">
        <v>74</v>
      </c>
      <c r="AL103" t="s">
        <v>74</v>
      </c>
      <c r="AM103" t="s">
        <v>74</v>
      </c>
      <c r="AN103" t="s">
        <v>74</v>
      </c>
      <c r="AO103" t="s">
        <v>820</v>
      </c>
      <c r="AP103" t="s">
        <v>74</v>
      </c>
      <c r="AQ103" t="s">
        <v>74</v>
      </c>
      <c r="AR103" t="s">
        <v>74</v>
      </c>
      <c r="AS103" t="s">
        <v>74</v>
      </c>
      <c r="AT103" t="s">
        <v>74</v>
      </c>
      <c r="AU103" t="s">
        <v>74</v>
      </c>
      <c r="AV103" t="s">
        <v>74</v>
      </c>
      <c r="AW103" t="s">
        <v>74</v>
      </c>
      <c r="AX103" t="s">
        <v>74</v>
      </c>
      <c r="AY103" t="s">
        <v>74</v>
      </c>
      <c r="AZ103" t="s">
        <v>74</v>
      </c>
      <c r="BA103" t="s">
        <v>74</v>
      </c>
      <c r="BB103" t="s">
        <v>74</v>
      </c>
      <c r="BC103" t="s">
        <v>74</v>
      </c>
      <c r="BD103" t="s">
        <v>74</v>
      </c>
      <c r="BE103" t="s">
        <v>1113</v>
      </c>
      <c r="BF103" t="str">
        <f>HYPERLINK("http://dx.doi.org/10.1109/TCSS.2022.3211679","http://dx.doi.org/10.1109/TCSS.2022.3211679")</f>
        <v>http://dx.doi.org/10.1109/TCSS.2022.3211679</v>
      </c>
      <c r="BG103" t="s">
        <v>74</v>
      </c>
      <c r="BH103" t="s">
        <v>683</v>
      </c>
      <c r="BI103" t="s">
        <v>74</v>
      </c>
      <c r="BJ103" t="s">
        <v>74</v>
      </c>
      <c r="BK103" t="s">
        <v>74</v>
      </c>
      <c r="BL103" t="s">
        <v>74</v>
      </c>
      <c r="BM103" t="s">
        <v>74</v>
      </c>
      <c r="BN103" t="s">
        <v>74</v>
      </c>
      <c r="BO103" t="s">
        <v>74</v>
      </c>
      <c r="BP103" t="s">
        <v>74</v>
      </c>
      <c r="BQ103" t="s">
        <v>74</v>
      </c>
      <c r="BR103" t="s">
        <v>74</v>
      </c>
      <c r="BS103" t="s">
        <v>1114</v>
      </c>
      <c r="BT103" t="str">
        <f>HYPERLINK("https%3A%2F%2Fwww.webofscience.com%2Fwos%2Fwoscc%2Ffull-record%2FWOS:000890855800001","View Full Record in Web of Science")</f>
        <v>View Full Record in Web of Science</v>
      </c>
    </row>
    <row r="104" spans="1:72" x14ac:dyDescent="0.25">
      <c r="A104" t="s">
        <v>72</v>
      </c>
      <c r="B104" t="s">
        <v>1115</v>
      </c>
      <c r="C104" t="s">
        <v>74</v>
      </c>
      <c r="D104" t="s">
        <v>74</v>
      </c>
      <c r="E104" t="s">
        <v>74</v>
      </c>
      <c r="F104" t="s">
        <v>1116</v>
      </c>
      <c r="G104" t="s">
        <v>74</v>
      </c>
      <c r="H104" t="s">
        <v>74</v>
      </c>
      <c r="I104" t="s">
        <v>1117</v>
      </c>
      <c r="J104" t="s">
        <v>1118</v>
      </c>
      <c r="K104" t="s">
        <v>74</v>
      </c>
      <c r="L104" t="s">
        <v>74</v>
      </c>
      <c r="M104" t="s">
        <v>74</v>
      </c>
      <c r="N104" t="s">
        <v>74</v>
      </c>
      <c r="O104" t="s">
        <v>74</v>
      </c>
      <c r="P104" t="s">
        <v>74</v>
      </c>
      <c r="Q104" t="s">
        <v>74</v>
      </c>
      <c r="R104" t="s">
        <v>74</v>
      </c>
      <c r="S104" t="s">
        <v>74</v>
      </c>
      <c r="T104" t="s">
        <v>74</v>
      </c>
      <c r="U104" t="s">
        <v>74</v>
      </c>
      <c r="V104" t="s">
        <v>1119</v>
      </c>
      <c r="W104" t="s">
        <v>74</v>
      </c>
      <c r="X104" t="s">
        <v>74</v>
      </c>
      <c r="Y104" t="s">
        <v>74</v>
      </c>
      <c r="Z104" t="s">
        <v>74</v>
      </c>
      <c r="AA104" t="s">
        <v>1120</v>
      </c>
      <c r="AB104" t="s">
        <v>74</v>
      </c>
      <c r="AC104" t="s">
        <v>74</v>
      </c>
      <c r="AD104" t="s">
        <v>74</v>
      </c>
      <c r="AE104" t="s">
        <v>74</v>
      </c>
      <c r="AF104" t="s">
        <v>74</v>
      </c>
      <c r="AG104" t="s">
        <v>74</v>
      </c>
      <c r="AH104" t="s">
        <v>74</v>
      </c>
      <c r="AI104" t="s">
        <v>74</v>
      </c>
      <c r="AJ104" t="s">
        <v>74</v>
      </c>
      <c r="AK104" t="s">
        <v>74</v>
      </c>
      <c r="AL104" t="s">
        <v>74</v>
      </c>
      <c r="AM104" t="s">
        <v>74</v>
      </c>
      <c r="AN104" t="s">
        <v>74</v>
      </c>
      <c r="AO104" t="s">
        <v>1121</v>
      </c>
      <c r="AP104" t="s">
        <v>1122</v>
      </c>
      <c r="AQ104" t="s">
        <v>74</v>
      </c>
      <c r="AR104" t="s">
        <v>74</v>
      </c>
      <c r="AS104" t="s">
        <v>74</v>
      </c>
      <c r="AT104" t="s">
        <v>74</v>
      </c>
      <c r="AU104">
        <v>2023</v>
      </c>
      <c r="AV104">
        <v>44</v>
      </c>
      <c r="AW104">
        <v>2</v>
      </c>
      <c r="AX104" t="s">
        <v>74</v>
      </c>
      <c r="AY104" t="s">
        <v>74</v>
      </c>
      <c r="AZ104" t="s">
        <v>74</v>
      </c>
      <c r="BA104" t="s">
        <v>74</v>
      </c>
      <c r="BB104">
        <v>2981</v>
      </c>
      <c r="BC104">
        <v>2997</v>
      </c>
      <c r="BD104" t="s">
        <v>74</v>
      </c>
      <c r="BE104" t="s">
        <v>1123</v>
      </c>
      <c r="BF104" t="str">
        <f>HYPERLINK("http://dx.doi.org/10.3233/JIFS-222779","http://dx.doi.org/10.3233/JIFS-222779")</f>
        <v>http://dx.doi.org/10.3233/JIFS-222779</v>
      </c>
      <c r="BG104" t="s">
        <v>74</v>
      </c>
      <c r="BH104" t="s">
        <v>74</v>
      </c>
      <c r="BI104" t="s">
        <v>74</v>
      </c>
      <c r="BJ104" t="s">
        <v>74</v>
      </c>
      <c r="BK104" t="s">
        <v>74</v>
      </c>
      <c r="BL104" t="s">
        <v>74</v>
      </c>
      <c r="BM104" t="s">
        <v>74</v>
      </c>
      <c r="BN104" t="s">
        <v>74</v>
      </c>
      <c r="BO104" t="s">
        <v>74</v>
      </c>
      <c r="BP104" t="s">
        <v>74</v>
      </c>
      <c r="BQ104" t="s">
        <v>74</v>
      </c>
      <c r="BR104" t="s">
        <v>74</v>
      </c>
      <c r="BS104" t="s">
        <v>1124</v>
      </c>
      <c r="BT104" t="str">
        <f>HYPERLINK("https%3A%2F%2Fwww.webofscience.com%2Fwos%2Fwoscc%2Ffull-record%2FWOS:000925063400093","View Full Record in Web of Science")</f>
        <v>View Full Record in Web of Science</v>
      </c>
    </row>
    <row r="105" spans="1:72" x14ac:dyDescent="0.25">
      <c r="A105" t="s">
        <v>84</v>
      </c>
      <c r="B105" t="s">
        <v>1125</v>
      </c>
      <c r="C105" t="s">
        <v>74</v>
      </c>
      <c r="D105" t="s">
        <v>74</v>
      </c>
      <c r="E105" t="s">
        <v>233</v>
      </c>
      <c r="F105" t="s">
        <v>1126</v>
      </c>
      <c r="G105" t="s">
        <v>74</v>
      </c>
      <c r="H105" t="s">
        <v>74</v>
      </c>
      <c r="I105" t="s">
        <v>1127</v>
      </c>
      <c r="J105" t="s">
        <v>798</v>
      </c>
      <c r="K105" t="s">
        <v>74</v>
      </c>
      <c r="L105" t="s">
        <v>74</v>
      </c>
      <c r="M105" t="s">
        <v>74</v>
      </c>
      <c r="N105" t="s">
        <v>74</v>
      </c>
      <c r="O105" t="s">
        <v>799</v>
      </c>
      <c r="P105" t="s">
        <v>800</v>
      </c>
      <c r="Q105" t="s">
        <v>108</v>
      </c>
      <c r="R105" t="s">
        <v>801</v>
      </c>
      <c r="S105" t="s">
        <v>74</v>
      </c>
      <c r="T105" t="s">
        <v>74</v>
      </c>
      <c r="U105" t="s">
        <v>74</v>
      </c>
      <c r="V105" t="s">
        <v>1128</v>
      </c>
      <c r="W105" t="s">
        <v>74</v>
      </c>
      <c r="X105" t="s">
        <v>74</v>
      </c>
      <c r="Y105" t="s">
        <v>74</v>
      </c>
      <c r="Z105" t="s">
        <v>74</v>
      </c>
      <c r="AA105" t="s">
        <v>74</v>
      </c>
      <c r="AB105" t="s">
        <v>74</v>
      </c>
      <c r="AC105" t="s">
        <v>74</v>
      </c>
      <c r="AD105" t="s">
        <v>74</v>
      </c>
      <c r="AE105" t="s">
        <v>74</v>
      </c>
      <c r="AF105" t="s">
        <v>74</v>
      </c>
      <c r="AG105" t="s">
        <v>74</v>
      </c>
      <c r="AH105" t="s">
        <v>74</v>
      </c>
      <c r="AI105" t="s">
        <v>74</v>
      </c>
      <c r="AJ105" t="s">
        <v>74</v>
      </c>
      <c r="AK105" t="s">
        <v>74</v>
      </c>
      <c r="AL105" t="s">
        <v>74</v>
      </c>
      <c r="AM105" t="s">
        <v>74</v>
      </c>
      <c r="AN105" t="s">
        <v>74</v>
      </c>
      <c r="AO105" t="s">
        <v>74</v>
      </c>
      <c r="AP105" t="s">
        <v>74</v>
      </c>
      <c r="AQ105" t="s">
        <v>804</v>
      </c>
      <c r="AR105" t="s">
        <v>74</v>
      </c>
      <c r="AS105" t="s">
        <v>74</v>
      </c>
      <c r="AT105" t="s">
        <v>74</v>
      </c>
      <c r="AU105">
        <v>2022</v>
      </c>
      <c r="AV105" t="s">
        <v>74</v>
      </c>
      <c r="AW105" t="s">
        <v>74</v>
      </c>
      <c r="AX105" t="s">
        <v>74</v>
      </c>
      <c r="AY105" t="s">
        <v>74</v>
      </c>
      <c r="AZ105" t="s">
        <v>74</v>
      </c>
      <c r="BA105" t="s">
        <v>74</v>
      </c>
      <c r="BB105">
        <v>194</v>
      </c>
      <c r="BC105">
        <v>194</v>
      </c>
      <c r="BD105" t="s">
        <v>74</v>
      </c>
      <c r="BE105" t="s">
        <v>1129</v>
      </c>
      <c r="BF105" t="str">
        <f>HYPERLINK("http://dx.doi.org/10.1109/VRW55335.2022.00049","http://dx.doi.org/10.1109/VRW55335.2022.00049")</f>
        <v>http://dx.doi.org/10.1109/VRW55335.2022.00049</v>
      </c>
      <c r="BG105" t="s">
        <v>74</v>
      </c>
      <c r="BH105" t="s">
        <v>74</v>
      </c>
      <c r="BI105" t="s">
        <v>74</v>
      </c>
      <c r="BJ105" t="s">
        <v>74</v>
      </c>
      <c r="BK105" t="s">
        <v>74</v>
      </c>
      <c r="BL105" t="s">
        <v>74</v>
      </c>
      <c r="BM105" t="s">
        <v>74</v>
      </c>
      <c r="BN105" t="s">
        <v>74</v>
      </c>
      <c r="BO105" t="s">
        <v>74</v>
      </c>
      <c r="BP105" t="s">
        <v>74</v>
      </c>
      <c r="BQ105" t="s">
        <v>74</v>
      </c>
      <c r="BR105" t="s">
        <v>74</v>
      </c>
      <c r="BS105" t="s">
        <v>1130</v>
      </c>
      <c r="BT105" t="str">
        <f>HYPERLINK("https%3A%2F%2Fwww.webofscience.com%2Fwos%2Fwoscc%2Ffull-record%2FWOS:000808111800040","View Full Record in Web of Science")</f>
        <v>View Full Record in Web of Science</v>
      </c>
    </row>
    <row r="106" spans="1:72" x14ac:dyDescent="0.25">
      <c r="A106" t="s">
        <v>84</v>
      </c>
      <c r="B106" t="s">
        <v>1131</v>
      </c>
      <c r="C106" t="s">
        <v>74</v>
      </c>
      <c r="D106" t="s">
        <v>745</v>
      </c>
      <c r="E106" t="s">
        <v>74</v>
      </c>
      <c r="F106" t="s">
        <v>1132</v>
      </c>
      <c r="G106" t="s">
        <v>74</v>
      </c>
      <c r="H106" t="s">
        <v>74</v>
      </c>
      <c r="I106" t="s">
        <v>1133</v>
      </c>
      <c r="J106" t="s">
        <v>748</v>
      </c>
      <c r="K106" t="s">
        <v>74</v>
      </c>
      <c r="L106" t="s">
        <v>74</v>
      </c>
      <c r="M106" t="s">
        <v>74</v>
      </c>
      <c r="N106" t="s">
        <v>74</v>
      </c>
      <c r="O106" t="s">
        <v>749</v>
      </c>
      <c r="P106" t="s">
        <v>750</v>
      </c>
      <c r="Q106" t="s">
        <v>751</v>
      </c>
      <c r="R106" t="s">
        <v>752</v>
      </c>
      <c r="S106" t="s">
        <v>74</v>
      </c>
      <c r="T106" t="s">
        <v>74</v>
      </c>
      <c r="U106" t="s">
        <v>74</v>
      </c>
      <c r="V106" t="s">
        <v>1134</v>
      </c>
      <c r="W106" t="s">
        <v>74</v>
      </c>
      <c r="X106" t="s">
        <v>74</v>
      </c>
      <c r="Y106" t="s">
        <v>74</v>
      </c>
      <c r="Z106" t="s">
        <v>74</v>
      </c>
      <c r="AA106" t="s">
        <v>1135</v>
      </c>
      <c r="AB106" t="s">
        <v>74</v>
      </c>
      <c r="AC106" t="s">
        <v>74</v>
      </c>
      <c r="AD106" t="s">
        <v>74</v>
      </c>
      <c r="AE106" t="s">
        <v>74</v>
      </c>
      <c r="AF106" t="s">
        <v>74</v>
      </c>
      <c r="AG106" t="s">
        <v>74</v>
      </c>
      <c r="AH106" t="s">
        <v>74</v>
      </c>
      <c r="AI106" t="s">
        <v>74</v>
      </c>
      <c r="AJ106" t="s">
        <v>74</v>
      </c>
      <c r="AK106" t="s">
        <v>74</v>
      </c>
      <c r="AL106" t="s">
        <v>74</v>
      </c>
      <c r="AM106" t="s">
        <v>74</v>
      </c>
      <c r="AN106" t="s">
        <v>74</v>
      </c>
      <c r="AO106" t="s">
        <v>74</v>
      </c>
      <c r="AP106" t="s">
        <v>74</v>
      </c>
      <c r="AQ106" t="s">
        <v>755</v>
      </c>
      <c r="AR106" t="s">
        <v>74</v>
      </c>
      <c r="AS106" t="s">
        <v>74</v>
      </c>
      <c r="AT106" t="s">
        <v>74</v>
      </c>
      <c r="AU106">
        <v>2022</v>
      </c>
      <c r="AV106" t="s">
        <v>74</v>
      </c>
      <c r="AW106" t="s">
        <v>74</v>
      </c>
      <c r="AX106" t="s">
        <v>74</v>
      </c>
      <c r="AY106" t="s">
        <v>74</v>
      </c>
      <c r="AZ106" t="s">
        <v>74</v>
      </c>
      <c r="BA106" t="s">
        <v>74</v>
      </c>
      <c r="BB106">
        <v>231</v>
      </c>
      <c r="BC106">
        <v>236</v>
      </c>
      <c r="BD106" t="s">
        <v>74</v>
      </c>
      <c r="BE106" t="s">
        <v>1136</v>
      </c>
      <c r="BF106" t="str">
        <f>HYPERLINK("http://dx.doi.org/10.1109/BCCA55292.2022.9922509","http://dx.doi.org/10.1109/BCCA55292.2022.9922509")</f>
        <v>http://dx.doi.org/10.1109/BCCA55292.2022.9922509</v>
      </c>
      <c r="BG106" t="s">
        <v>74</v>
      </c>
      <c r="BH106" t="s">
        <v>74</v>
      </c>
      <c r="BI106" t="s">
        <v>74</v>
      </c>
      <c r="BJ106" t="s">
        <v>74</v>
      </c>
      <c r="BK106" t="s">
        <v>74</v>
      </c>
      <c r="BL106" t="s">
        <v>74</v>
      </c>
      <c r="BM106" t="s">
        <v>74</v>
      </c>
      <c r="BN106" t="s">
        <v>74</v>
      </c>
      <c r="BO106" t="s">
        <v>74</v>
      </c>
      <c r="BP106" t="s">
        <v>74</v>
      </c>
      <c r="BQ106" t="s">
        <v>74</v>
      </c>
      <c r="BR106" t="s">
        <v>74</v>
      </c>
      <c r="BS106" t="s">
        <v>1137</v>
      </c>
      <c r="BT106" t="str">
        <f>HYPERLINK("https%3A%2F%2Fwww.webofscience.com%2Fwos%2Fwoscc%2Ffull-record%2FWOS:000884604500032","View Full Record in Web of Science")</f>
        <v>View Full Record in Web of Science</v>
      </c>
    </row>
    <row r="107" spans="1:72" x14ac:dyDescent="0.25">
      <c r="A107" t="s">
        <v>72</v>
      </c>
      <c r="B107" t="s">
        <v>1138</v>
      </c>
      <c r="C107" t="s">
        <v>74</v>
      </c>
      <c r="D107" t="s">
        <v>74</v>
      </c>
      <c r="E107" t="s">
        <v>74</v>
      </c>
      <c r="F107" t="s">
        <v>1139</v>
      </c>
      <c r="G107" t="s">
        <v>74</v>
      </c>
      <c r="H107" t="s">
        <v>74</v>
      </c>
      <c r="I107" t="s">
        <v>1140</v>
      </c>
      <c r="J107" t="s">
        <v>1141</v>
      </c>
      <c r="K107" t="s">
        <v>74</v>
      </c>
      <c r="L107" t="s">
        <v>74</v>
      </c>
      <c r="M107" t="s">
        <v>74</v>
      </c>
      <c r="N107" t="s">
        <v>74</v>
      </c>
      <c r="O107" t="s">
        <v>74</v>
      </c>
      <c r="P107" t="s">
        <v>74</v>
      </c>
      <c r="Q107" t="s">
        <v>74</v>
      </c>
      <c r="R107" t="s">
        <v>74</v>
      </c>
      <c r="S107" t="s">
        <v>74</v>
      </c>
      <c r="T107" t="s">
        <v>74</v>
      </c>
      <c r="U107" t="s">
        <v>74</v>
      </c>
      <c r="V107" t="s">
        <v>1142</v>
      </c>
      <c r="W107" t="s">
        <v>74</v>
      </c>
      <c r="X107" t="s">
        <v>74</v>
      </c>
      <c r="Y107" t="s">
        <v>74</v>
      </c>
      <c r="Z107" t="s">
        <v>74</v>
      </c>
      <c r="AA107" t="s">
        <v>1143</v>
      </c>
      <c r="AB107" t="s">
        <v>1144</v>
      </c>
      <c r="AC107" t="s">
        <v>74</v>
      </c>
      <c r="AD107" t="s">
        <v>74</v>
      </c>
      <c r="AE107" t="s">
        <v>74</v>
      </c>
      <c r="AF107" t="s">
        <v>74</v>
      </c>
      <c r="AG107" t="s">
        <v>74</v>
      </c>
      <c r="AH107" t="s">
        <v>74</v>
      </c>
      <c r="AI107" t="s">
        <v>74</v>
      </c>
      <c r="AJ107" t="s">
        <v>74</v>
      </c>
      <c r="AK107" t="s">
        <v>74</v>
      </c>
      <c r="AL107" t="s">
        <v>74</v>
      </c>
      <c r="AM107" t="s">
        <v>74</v>
      </c>
      <c r="AN107" t="s">
        <v>74</v>
      </c>
      <c r="AO107" t="s">
        <v>1145</v>
      </c>
      <c r="AP107" t="s">
        <v>1146</v>
      </c>
      <c r="AQ107" t="s">
        <v>74</v>
      </c>
      <c r="AR107" t="s">
        <v>74</v>
      </c>
      <c r="AS107" t="s">
        <v>74</v>
      </c>
      <c r="AT107" t="s">
        <v>74</v>
      </c>
      <c r="AU107" t="s">
        <v>74</v>
      </c>
      <c r="AV107" t="s">
        <v>74</v>
      </c>
      <c r="AW107" t="s">
        <v>74</v>
      </c>
      <c r="AX107" t="s">
        <v>74</v>
      </c>
      <c r="AY107" t="s">
        <v>74</v>
      </c>
      <c r="AZ107" t="s">
        <v>74</v>
      </c>
      <c r="BA107" t="s">
        <v>74</v>
      </c>
      <c r="BB107" t="s">
        <v>74</v>
      </c>
      <c r="BC107" t="s">
        <v>74</v>
      </c>
      <c r="BD107" t="s">
        <v>74</v>
      </c>
      <c r="BE107" t="s">
        <v>1147</v>
      </c>
      <c r="BF107" t="str">
        <f>HYPERLINK("http://dx.doi.org/10.1109/TITS.2022.3186294","http://dx.doi.org/10.1109/TITS.2022.3186294")</f>
        <v>http://dx.doi.org/10.1109/TITS.2022.3186294</v>
      </c>
      <c r="BG107" t="s">
        <v>74</v>
      </c>
      <c r="BH107" t="s">
        <v>1148</v>
      </c>
      <c r="BI107" t="s">
        <v>74</v>
      </c>
      <c r="BJ107" t="s">
        <v>74</v>
      </c>
      <c r="BK107" t="s">
        <v>74</v>
      </c>
      <c r="BL107" t="s">
        <v>74</v>
      </c>
      <c r="BM107" t="s">
        <v>74</v>
      </c>
      <c r="BN107" t="s">
        <v>74</v>
      </c>
      <c r="BO107" t="s">
        <v>74</v>
      </c>
      <c r="BP107" t="s">
        <v>74</v>
      </c>
      <c r="BQ107" t="s">
        <v>74</v>
      </c>
      <c r="BR107" t="s">
        <v>74</v>
      </c>
      <c r="BS107" t="s">
        <v>1149</v>
      </c>
      <c r="BT107" t="str">
        <f>HYPERLINK("https%3A%2F%2Fwww.webofscience.com%2Fwos%2Fwoscc%2Ffull-record%2FWOS:000826059700001","View Full Record in Web of Science")</f>
        <v>View Full Record in Web of Science</v>
      </c>
    </row>
    <row r="108" spans="1:72" x14ac:dyDescent="0.25">
      <c r="A108" t="s">
        <v>72</v>
      </c>
      <c r="B108" t="s">
        <v>699</v>
      </c>
      <c r="C108" t="s">
        <v>74</v>
      </c>
      <c r="D108" t="s">
        <v>74</v>
      </c>
      <c r="E108" t="s">
        <v>74</v>
      </c>
      <c r="F108" t="s">
        <v>700</v>
      </c>
      <c r="G108" t="s">
        <v>74</v>
      </c>
      <c r="H108" t="s">
        <v>74</v>
      </c>
      <c r="I108" t="s">
        <v>1150</v>
      </c>
      <c r="J108" t="s">
        <v>431</v>
      </c>
      <c r="K108" t="s">
        <v>74</v>
      </c>
      <c r="L108" t="s">
        <v>74</v>
      </c>
      <c r="M108" t="s">
        <v>74</v>
      </c>
      <c r="N108" t="s">
        <v>74</v>
      </c>
      <c r="O108" t="s">
        <v>74</v>
      </c>
      <c r="P108" t="s">
        <v>74</v>
      </c>
      <c r="Q108" t="s">
        <v>74</v>
      </c>
      <c r="R108" t="s">
        <v>74</v>
      </c>
      <c r="S108" t="s">
        <v>74</v>
      </c>
      <c r="T108" t="s">
        <v>74</v>
      </c>
      <c r="U108" t="s">
        <v>74</v>
      </c>
      <c r="V108" t="s">
        <v>1151</v>
      </c>
      <c r="W108" t="s">
        <v>74</v>
      </c>
      <c r="X108" t="s">
        <v>74</v>
      </c>
      <c r="Y108" t="s">
        <v>74</v>
      </c>
      <c r="Z108" t="s">
        <v>74</v>
      </c>
      <c r="AA108" t="s">
        <v>74</v>
      </c>
      <c r="AB108" t="s">
        <v>74</v>
      </c>
      <c r="AC108" t="s">
        <v>74</v>
      </c>
      <c r="AD108" t="s">
        <v>74</v>
      </c>
      <c r="AE108" t="s">
        <v>74</v>
      </c>
      <c r="AF108" t="s">
        <v>74</v>
      </c>
      <c r="AG108" t="s">
        <v>74</v>
      </c>
      <c r="AH108" t="s">
        <v>74</v>
      </c>
      <c r="AI108" t="s">
        <v>74</v>
      </c>
      <c r="AJ108" t="s">
        <v>74</v>
      </c>
      <c r="AK108" t="s">
        <v>74</v>
      </c>
      <c r="AL108" t="s">
        <v>74</v>
      </c>
      <c r="AM108" t="s">
        <v>74</v>
      </c>
      <c r="AN108" t="s">
        <v>74</v>
      </c>
      <c r="AO108" t="s">
        <v>433</v>
      </c>
      <c r="AP108" t="s">
        <v>434</v>
      </c>
      <c r="AQ108" t="s">
        <v>74</v>
      </c>
      <c r="AR108" t="s">
        <v>74</v>
      </c>
      <c r="AS108" t="s">
        <v>74</v>
      </c>
      <c r="AT108" t="s">
        <v>389</v>
      </c>
      <c r="AU108">
        <v>2022</v>
      </c>
      <c r="AV108">
        <v>55</v>
      </c>
      <c r="AW108">
        <v>9</v>
      </c>
      <c r="AX108" t="s">
        <v>74</v>
      </c>
      <c r="AY108" t="s">
        <v>74</v>
      </c>
      <c r="AZ108" t="s">
        <v>74</v>
      </c>
      <c r="BA108" t="s">
        <v>74</v>
      </c>
      <c r="BB108">
        <v>120</v>
      </c>
      <c r="BC108">
        <v>128</v>
      </c>
      <c r="BD108" t="s">
        <v>74</v>
      </c>
      <c r="BE108" t="s">
        <v>1152</v>
      </c>
      <c r="BF108" t="str">
        <f>HYPERLINK("http://dx.doi.org/10.1109/MC.2022.3182035","http://dx.doi.org/10.1109/MC.2022.3182035")</f>
        <v>http://dx.doi.org/10.1109/MC.2022.3182035</v>
      </c>
      <c r="BG108" t="s">
        <v>74</v>
      </c>
      <c r="BH108" t="s">
        <v>74</v>
      </c>
      <c r="BI108" t="s">
        <v>74</v>
      </c>
      <c r="BJ108" t="s">
        <v>74</v>
      </c>
      <c r="BK108" t="s">
        <v>74</v>
      </c>
      <c r="BL108" t="s">
        <v>74</v>
      </c>
      <c r="BM108" t="s">
        <v>74</v>
      </c>
      <c r="BN108" t="s">
        <v>74</v>
      </c>
      <c r="BO108" t="s">
        <v>74</v>
      </c>
      <c r="BP108" t="s">
        <v>74</v>
      </c>
      <c r="BQ108" t="s">
        <v>74</v>
      </c>
      <c r="BR108" t="s">
        <v>74</v>
      </c>
      <c r="BS108" t="s">
        <v>1153</v>
      </c>
      <c r="BT108" t="str">
        <f>HYPERLINK("https%3A%2F%2Fwww.webofscience.com%2Fwos%2Fwoscc%2Ffull-record%2FWOS:000848240100017","View Full Record in Web of Science")</f>
        <v>View Full Record in Web of Science</v>
      </c>
    </row>
    <row r="109" spans="1:72" x14ac:dyDescent="0.25">
      <c r="A109" t="s">
        <v>72</v>
      </c>
      <c r="B109" t="s">
        <v>1154</v>
      </c>
      <c r="C109" t="s">
        <v>74</v>
      </c>
      <c r="D109" t="s">
        <v>74</v>
      </c>
      <c r="E109" t="s">
        <v>74</v>
      </c>
      <c r="F109" t="s">
        <v>1155</v>
      </c>
      <c r="G109" t="s">
        <v>74</v>
      </c>
      <c r="H109" t="s">
        <v>74</v>
      </c>
      <c r="I109" t="s">
        <v>1156</v>
      </c>
      <c r="J109" t="s">
        <v>1118</v>
      </c>
      <c r="K109" t="s">
        <v>74</v>
      </c>
      <c r="L109" t="s">
        <v>74</v>
      </c>
      <c r="M109" t="s">
        <v>74</v>
      </c>
      <c r="N109" t="s">
        <v>74</v>
      </c>
      <c r="O109" t="s">
        <v>74</v>
      </c>
      <c r="P109" t="s">
        <v>74</v>
      </c>
      <c r="Q109" t="s">
        <v>74</v>
      </c>
      <c r="R109" t="s">
        <v>74</v>
      </c>
      <c r="S109" t="s">
        <v>74</v>
      </c>
      <c r="T109" t="s">
        <v>74</v>
      </c>
      <c r="U109" t="s">
        <v>74</v>
      </c>
      <c r="V109" t="s">
        <v>1157</v>
      </c>
      <c r="W109" t="s">
        <v>74</v>
      </c>
      <c r="X109" t="s">
        <v>74</v>
      </c>
      <c r="Y109" t="s">
        <v>74</v>
      </c>
      <c r="Z109" t="s">
        <v>74</v>
      </c>
      <c r="AA109" t="s">
        <v>1120</v>
      </c>
      <c r="AB109" t="s">
        <v>74</v>
      </c>
      <c r="AC109" t="s">
        <v>74</v>
      </c>
      <c r="AD109" t="s">
        <v>74</v>
      </c>
      <c r="AE109" t="s">
        <v>74</v>
      </c>
      <c r="AF109" t="s">
        <v>74</v>
      </c>
      <c r="AG109" t="s">
        <v>74</v>
      </c>
      <c r="AH109" t="s">
        <v>74</v>
      </c>
      <c r="AI109" t="s">
        <v>74</v>
      </c>
      <c r="AJ109" t="s">
        <v>74</v>
      </c>
      <c r="AK109" t="s">
        <v>74</v>
      </c>
      <c r="AL109" t="s">
        <v>74</v>
      </c>
      <c r="AM109" t="s">
        <v>74</v>
      </c>
      <c r="AN109" t="s">
        <v>74</v>
      </c>
      <c r="AO109" t="s">
        <v>1121</v>
      </c>
      <c r="AP109" t="s">
        <v>1122</v>
      </c>
      <c r="AQ109" t="s">
        <v>74</v>
      </c>
      <c r="AR109" t="s">
        <v>74</v>
      </c>
      <c r="AS109" t="s">
        <v>74</v>
      </c>
      <c r="AT109" t="s">
        <v>74</v>
      </c>
      <c r="AU109">
        <v>2023</v>
      </c>
      <c r="AV109">
        <v>44</v>
      </c>
      <c r="AW109">
        <v>3</v>
      </c>
      <c r="AX109" t="s">
        <v>74</v>
      </c>
      <c r="AY109" t="s">
        <v>74</v>
      </c>
      <c r="AZ109" t="s">
        <v>74</v>
      </c>
      <c r="BA109" t="s">
        <v>74</v>
      </c>
      <c r="BB109">
        <v>4999</v>
      </c>
      <c r="BC109">
        <v>5019</v>
      </c>
      <c r="BD109" t="s">
        <v>74</v>
      </c>
      <c r="BE109" t="s">
        <v>1158</v>
      </c>
      <c r="BF109" t="str">
        <f>HYPERLINK("http://dx.doi.org/10.3233/JIFS-223351","http://dx.doi.org/10.3233/JIFS-223351")</f>
        <v>http://dx.doi.org/10.3233/JIFS-223351</v>
      </c>
      <c r="BG109" t="s">
        <v>74</v>
      </c>
      <c r="BH109" t="s">
        <v>74</v>
      </c>
      <c r="BI109" t="s">
        <v>74</v>
      </c>
      <c r="BJ109" t="s">
        <v>74</v>
      </c>
      <c r="BK109" t="s">
        <v>74</v>
      </c>
      <c r="BL109" t="s">
        <v>74</v>
      </c>
      <c r="BM109" t="s">
        <v>74</v>
      </c>
      <c r="BN109" t="s">
        <v>74</v>
      </c>
      <c r="BO109" t="s">
        <v>74</v>
      </c>
      <c r="BP109" t="s">
        <v>74</v>
      </c>
      <c r="BQ109" t="s">
        <v>74</v>
      </c>
      <c r="BR109" t="s">
        <v>74</v>
      </c>
      <c r="BS109" t="s">
        <v>1159</v>
      </c>
      <c r="BT109" t="str">
        <f>HYPERLINK("https%3A%2F%2Fwww.webofscience.com%2Fwos%2Fwoscc%2Ffull-record%2FWOS:000949027400075","View Full Record in Web of Science")</f>
        <v>View Full Record in Web of Science</v>
      </c>
    </row>
    <row r="110" spans="1:72" x14ac:dyDescent="0.25">
      <c r="A110" t="s">
        <v>84</v>
      </c>
      <c r="B110" t="s">
        <v>1160</v>
      </c>
      <c r="C110" t="s">
        <v>74</v>
      </c>
      <c r="D110" t="s">
        <v>74</v>
      </c>
      <c r="E110" t="s">
        <v>86</v>
      </c>
      <c r="F110" t="s">
        <v>1161</v>
      </c>
      <c r="G110" t="s">
        <v>74</v>
      </c>
      <c r="H110" t="s">
        <v>74</v>
      </c>
      <c r="I110" t="s">
        <v>1162</v>
      </c>
      <c r="J110" t="s">
        <v>1163</v>
      </c>
      <c r="K110" t="s">
        <v>1164</v>
      </c>
      <c r="L110" t="s">
        <v>74</v>
      </c>
      <c r="M110" t="s">
        <v>74</v>
      </c>
      <c r="N110" t="s">
        <v>74</v>
      </c>
      <c r="O110" t="s">
        <v>1165</v>
      </c>
      <c r="P110" t="s">
        <v>1166</v>
      </c>
      <c r="Q110" t="s">
        <v>1167</v>
      </c>
      <c r="R110" t="s">
        <v>1168</v>
      </c>
      <c r="S110" t="s">
        <v>74</v>
      </c>
      <c r="T110" t="s">
        <v>74</v>
      </c>
      <c r="U110" t="s">
        <v>74</v>
      </c>
      <c r="V110" t="s">
        <v>1169</v>
      </c>
      <c r="W110" t="s">
        <v>74</v>
      </c>
      <c r="X110" t="s">
        <v>74</v>
      </c>
      <c r="Y110" t="s">
        <v>74</v>
      </c>
      <c r="Z110" t="s">
        <v>74</v>
      </c>
      <c r="AA110" t="s">
        <v>74</v>
      </c>
      <c r="AB110" t="s">
        <v>74</v>
      </c>
      <c r="AC110" t="s">
        <v>74</v>
      </c>
      <c r="AD110" t="s">
        <v>74</v>
      </c>
      <c r="AE110" t="s">
        <v>74</v>
      </c>
      <c r="AF110" t="s">
        <v>74</v>
      </c>
      <c r="AG110" t="s">
        <v>74</v>
      </c>
      <c r="AH110" t="s">
        <v>74</v>
      </c>
      <c r="AI110" t="s">
        <v>74</v>
      </c>
      <c r="AJ110" t="s">
        <v>74</v>
      </c>
      <c r="AK110" t="s">
        <v>74</v>
      </c>
      <c r="AL110" t="s">
        <v>74</v>
      </c>
      <c r="AM110" t="s">
        <v>74</v>
      </c>
      <c r="AN110" t="s">
        <v>74</v>
      </c>
      <c r="AO110" t="s">
        <v>1170</v>
      </c>
      <c r="AP110" t="s">
        <v>74</v>
      </c>
      <c r="AQ110" t="s">
        <v>1171</v>
      </c>
      <c r="AR110" t="s">
        <v>74</v>
      </c>
      <c r="AS110" t="s">
        <v>74</v>
      </c>
      <c r="AT110" t="s">
        <v>74</v>
      </c>
      <c r="AU110">
        <v>2022</v>
      </c>
      <c r="AV110" t="s">
        <v>74</v>
      </c>
      <c r="AW110" t="s">
        <v>74</v>
      </c>
      <c r="AX110" t="s">
        <v>74</v>
      </c>
      <c r="AY110" t="s">
        <v>74</v>
      </c>
      <c r="AZ110" t="s">
        <v>74</v>
      </c>
      <c r="BA110" t="s">
        <v>74</v>
      </c>
      <c r="BB110" t="s">
        <v>74</v>
      </c>
      <c r="BC110" t="s">
        <v>74</v>
      </c>
      <c r="BD110" t="s">
        <v>74</v>
      </c>
      <c r="BE110" t="s">
        <v>1172</v>
      </c>
      <c r="BF110" t="str">
        <f>HYPERLINK("http://dx.doi.org/10.1109/FUZZ-IEEE55066.2022.9882549","http://dx.doi.org/10.1109/FUZZ-IEEE55066.2022.9882549")</f>
        <v>http://dx.doi.org/10.1109/FUZZ-IEEE55066.2022.9882549</v>
      </c>
      <c r="BG110" t="s">
        <v>74</v>
      </c>
      <c r="BH110" t="s">
        <v>74</v>
      </c>
      <c r="BI110" t="s">
        <v>74</v>
      </c>
      <c r="BJ110" t="s">
        <v>74</v>
      </c>
      <c r="BK110" t="s">
        <v>74</v>
      </c>
      <c r="BL110" t="s">
        <v>74</v>
      </c>
      <c r="BM110" t="s">
        <v>74</v>
      </c>
      <c r="BN110" t="s">
        <v>74</v>
      </c>
      <c r="BO110" t="s">
        <v>74</v>
      </c>
      <c r="BP110" t="s">
        <v>74</v>
      </c>
      <c r="BQ110" t="s">
        <v>74</v>
      </c>
      <c r="BR110" t="s">
        <v>74</v>
      </c>
      <c r="BS110" t="s">
        <v>1173</v>
      </c>
      <c r="BT110" t="str">
        <f>HYPERLINK("https%3A%2F%2Fwww.webofscience.com%2Fwos%2Fwoscc%2Ffull-record%2FWOS:000861288500005","View Full Record in Web of Science")</f>
        <v>View Full Record in Web of Science</v>
      </c>
    </row>
    <row r="111" spans="1:72" x14ac:dyDescent="0.25">
      <c r="A111" t="s">
        <v>84</v>
      </c>
      <c r="B111" t="s">
        <v>977</v>
      </c>
      <c r="C111" t="s">
        <v>74</v>
      </c>
      <c r="D111" t="s">
        <v>74</v>
      </c>
      <c r="E111" t="s">
        <v>233</v>
      </c>
      <c r="F111" t="s">
        <v>978</v>
      </c>
      <c r="G111" t="s">
        <v>74</v>
      </c>
      <c r="H111" t="s">
        <v>74</v>
      </c>
      <c r="I111" t="s">
        <v>1174</v>
      </c>
      <c r="J111" t="s">
        <v>798</v>
      </c>
      <c r="K111" t="s">
        <v>74</v>
      </c>
      <c r="L111" t="s">
        <v>74</v>
      </c>
      <c r="M111" t="s">
        <v>74</v>
      </c>
      <c r="N111" t="s">
        <v>74</v>
      </c>
      <c r="O111" t="s">
        <v>799</v>
      </c>
      <c r="P111" t="s">
        <v>800</v>
      </c>
      <c r="Q111" t="s">
        <v>108</v>
      </c>
      <c r="R111" t="s">
        <v>801</v>
      </c>
      <c r="S111" t="s">
        <v>74</v>
      </c>
      <c r="T111" t="s">
        <v>74</v>
      </c>
      <c r="U111" t="s">
        <v>74</v>
      </c>
      <c r="V111" t="s">
        <v>1175</v>
      </c>
      <c r="W111" t="s">
        <v>74</v>
      </c>
      <c r="X111" t="s">
        <v>74</v>
      </c>
      <c r="Y111" t="s">
        <v>74</v>
      </c>
      <c r="Z111" t="s">
        <v>74</v>
      </c>
      <c r="AA111" t="s">
        <v>74</v>
      </c>
      <c r="AB111" t="s">
        <v>74</v>
      </c>
      <c r="AC111" t="s">
        <v>74</v>
      </c>
      <c r="AD111" t="s">
        <v>74</v>
      </c>
      <c r="AE111" t="s">
        <v>74</v>
      </c>
      <c r="AF111" t="s">
        <v>74</v>
      </c>
      <c r="AG111" t="s">
        <v>74</v>
      </c>
      <c r="AH111" t="s">
        <v>74</v>
      </c>
      <c r="AI111" t="s">
        <v>74</v>
      </c>
      <c r="AJ111" t="s">
        <v>74</v>
      </c>
      <c r="AK111" t="s">
        <v>74</v>
      </c>
      <c r="AL111" t="s">
        <v>74</v>
      </c>
      <c r="AM111" t="s">
        <v>74</v>
      </c>
      <c r="AN111" t="s">
        <v>74</v>
      </c>
      <c r="AO111" t="s">
        <v>74</v>
      </c>
      <c r="AP111" t="s">
        <v>74</v>
      </c>
      <c r="AQ111" t="s">
        <v>804</v>
      </c>
      <c r="AR111" t="s">
        <v>74</v>
      </c>
      <c r="AS111" t="s">
        <v>74</v>
      </c>
      <c r="AT111" t="s">
        <v>74</v>
      </c>
      <c r="AU111">
        <v>2022</v>
      </c>
      <c r="AV111" t="s">
        <v>74</v>
      </c>
      <c r="AW111" t="s">
        <v>74</v>
      </c>
      <c r="AX111" t="s">
        <v>74</v>
      </c>
      <c r="AY111" t="s">
        <v>74</v>
      </c>
      <c r="AZ111" t="s">
        <v>74</v>
      </c>
      <c r="BA111" t="s">
        <v>74</v>
      </c>
      <c r="BB111">
        <v>132</v>
      </c>
      <c r="BC111">
        <v>139</v>
      </c>
      <c r="BD111" t="s">
        <v>74</v>
      </c>
      <c r="BE111" t="s">
        <v>1176</v>
      </c>
      <c r="BF111" t="str">
        <f>HYPERLINK("http://dx.doi.org/10.1109/VRW55335.2022.00040","http://dx.doi.org/10.1109/VRW55335.2022.00040")</f>
        <v>http://dx.doi.org/10.1109/VRW55335.2022.00040</v>
      </c>
      <c r="BG111" t="s">
        <v>74</v>
      </c>
      <c r="BH111" t="s">
        <v>74</v>
      </c>
      <c r="BI111" t="s">
        <v>74</v>
      </c>
      <c r="BJ111" t="s">
        <v>74</v>
      </c>
      <c r="BK111" t="s">
        <v>74</v>
      </c>
      <c r="BL111" t="s">
        <v>74</v>
      </c>
      <c r="BM111" t="s">
        <v>74</v>
      </c>
      <c r="BN111" t="s">
        <v>74</v>
      </c>
      <c r="BO111" t="s">
        <v>74</v>
      </c>
      <c r="BP111" t="s">
        <v>74</v>
      </c>
      <c r="BQ111" t="s">
        <v>74</v>
      </c>
      <c r="BR111" t="s">
        <v>74</v>
      </c>
      <c r="BS111" t="s">
        <v>1177</v>
      </c>
      <c r="BT111" t="str">
        <f>HYPERLINK("https%3A%2F%2Fwww.webofscience.com%2Fwos%2Fwoscc%2Ffull-record%2FWOS:000808111800031","View Full Record in Web of Science")</f>
        <v>View Full Record in Web of Science</v>
      </c>
    </row>
    <row r="112" spans="1:72" x14ac:dyDescent="0.25">
      <c r="A112" t="s">
        <v>72</v>
      </c>
      <c r="B112" t="s">
        <v>1178</v>
      </c>
      <c r="C112" t="s">
        <v>74</v>
      </c>
      <c r="D112" t="s">
        <v>74</v>
      </c>
      <c r="E112" t="s">
        <v>74</v>
      </c>
      <c r="F112" t="s">
        <v>1179</v>
      </c>
      <c r="G112" t="s">
        <v>74</v>
      </c>
      <c r="H112" t="s">
        <v>74</v>
      </c>
      <c r="I112" t="s">
        <v>1180</v>
      </c>
      <c r="J112" t="s">
        <v>1118</v>
      </c>
      <c r="K112" t="s">
        <v>74</v>
      </c>
      <c r="L112" t="s">
        <v>74</v>
      </c>
      <c r="M112" t="s">
        <v>74</v>
      </c>
      <c r="N112" t="s">
        <v>74</v>
      </c>
      <c r="O112" t="s">
        <v>74</v>
      </c>
      <c r="P112" t="s">
        <v>74</v>
      </c>
      <c r="Q112" t="s">
        <v>74</v>
      </c>
      <c r="R112" t="s">
        <v>74</v>
      </c>
      <c r="S112" t="s">
        <v>74</v>
      </c>
      <c r="T112" t="s">
        <v>74</v>
      </c>
      <c r="U112" t="s">
        <v>74</v>
      </c>
      <c r="V112" t="s">
        <v>1181</v>
      </c>
      <c r="W112" t="s">
        <v>74</v>
      </c>
      <c r="X112" t="s">
        <v>74</v>
      </c>
      <c r="Y112" t="s">
        <v>74</v>
      </c>
      <c r="Z112" t="s">
        <v>74</v>
      </c>
      <c r="AA112" t="s">
        <v>74</v>
      </c>
      <c r="AB112" t="s">
        <v>1182</v>
      </c>
      <c r="AC112" t="s">
        <v>74</v>
      </c>
      <c r="AD112" t="s">
        <v>74</v>
      </c>
      <c r="AE112" t="s">
        <v>74</v>
      </c>
      <c r="AF112" t="s">
        <v>74</v>
      </c>
      <c r="AG112" t="s">
        <v>74</v>
      </c>
      <c r="AH112" t="s">
        <v>74</v>
      </c>
      <c r="AI112" t="s">
        <v>74</v>
      </c>
      <c r="AJ112" t="s">
        <v>74</v>
      </c>
      <c r="AK112" t="s">
        <v>74</v>
      </c>
      <c r="AL112" t="s">
        <v>74</v>
      </c>
      <c r="AM112" t="s">
        <v>74</v>
      </c>
      <c r="AN112" t="s">
        <v>74</v>
      </c>
      <c r="AO112" t="s">
        <v>1121</v>
      </c>
      <c r="AP112" t="s">
        <v>1122</v>
      </c>
      <c r="AQ112" t="s">
        <v>74</v>
      </c>
      <c r="AR112" t="s">
        <v>74</v>
      </c>
      <c r="AS112" t="s">
        <v>74</v>
      </c>
      <c r="AT112" t="s">
        <v>74</v>
      </c>
      <c r="AU112">
        <v>2023</v>
      </c>
      <c r="AV112">
        <v>44</v>
      </c>
      <c r="AW112">
        <v>3</v>
      </c>
      <c r="AX112" t="s">
        <v>74</v>
      </c>
      <c r="AY112" t="s">
        <v>74</v>
      </c>
      <c r="AZ112" t="s">
        <v>74</v>
      </c>
      <c r="BA112" t="s">
        <v>74</v>
      </c>
      <c r="BB112">
        <v>3475</v>
      </c>
      <c r="BC112">
        <v>3500</v>
      </c>
      <c r="BD112" t="s">
        <v>74</v>
      </c>
      <c r="BE112" t="s">
        <v>1183</v>
      </c>
      <c r="BF112" t="str">
        <f>HYPERLINK("http://dx.doi.org/10.3233/JIFS-221671","http://dx.doi.org/10.3233/JIFS-221671")</f>
        <v>http://dx.doi.org/10.3233/JIFS-221671</v>
      </c>
      <c r="BG112" t="s">
        <v>74</v>
      </c>
      <c r="BH112" t="s">
        <v>74</v>
      </c>
      <c r="BI112" t="s">
        <v>74</v>
      </c>
      <c r="BJ112" t="s">
        <v>74</v>
      </c>
      <c r="BK112" t="s">
        <v>74</v>
      </c>
      <c r="BL112" t="s">
        <v>74</v>
      </c>
      <c r="BM112" t="s">
        <v>74</v>
      </c>
      <c r="BN112" t="s">
        <v>74</v>
      </c>
      <c r="BO112" t="s">
        <v>74</v>
      </c>
      <c r="BP112" t="s">
        <v>74</v>
      </c>
      <c r="BQ112" t="s">
        <v>74</v>
      </c>
      <c r="BR112" t="s">
        <v>74</v>
      </c>
      <c r="BS112" t="s">
        <v>1184</v>
      </c>
      <c r="BT112" t="str">
        <f>HYPERLINK("https%3A%2F%2Fwww.webofscience.com%2Fwos%2Fwoscc%2Ffull-record%2FWOS:000949027400053","View Full Record in Web of Science")</f>
        <v>View Full Record in Web of Science</v>
      </c>
    </row>
    <row r="113" spans="1:72" x14ac:dyDescent="0.25">
      <c r="A113" t="s">
        <v>72</v>
      </c>
      <c r="B113" t="s">
        <v>1185</v>
      </c>
      <c r="C113" t="s">
        <v>74</v>
      </c>
      <c r="D113" t="s">
        <v>74</v>
      </c>
      <c r="E113" t="s">
        <v>74</v>
      </c>
      <c r="F113" t="s">
        <v>1186</v>
      </c>
      <c r="G113" t="s">
        <v>74</v>
      </c>
      <c r="H113" t="s">
        <v>74</v>
      </c>
      <c r="I113" t="s">
        <v>1187</v>
      </c>
      <c r="J113" t="s">
        <v>1188</v>
      </c>
      <c r="K113" t="s">
        <v>74</v>
      </c>
      <c r="L113" t="s">
        <v>74</v>
      </c>
      <c r="M113" t="s">
        <v>74</v>
      </c>
      <c r="N113" t="s">
        <v>74</v>
      </c>
      <c r="O113" t="s">
        <v>74</v>
      </c>
      <c r="P113" t="s">
        <v>74</v>
      </c>
      <c r="Q113" t="s">
        <v>74</v>
      </c>
      <c r="R113" t="s">
        <v>74</v>
      </c>
      <c r="S113" t="s">
        <v>74</v>
      </c>
      <c r="T113" t="s">
        <v>74</v>
      </c>
      <c r="U113" t="s">
        <v>74</v>
      </c>
      <c r="V113" t="s">
        <v>1189</v>
      </c>
      <c r="W113" t="s">
        <v>74</v>
      </c>
      <c r="X113" t="s">
        <v>74</v>
      </c>
      <c r="Y113" t="s">
        <v>74</v>
      </c>
      <c r="Z113" t="s">
        <v>74</v>
      </c>
      <c r="AA113" t="s">
        <v>1190</v>
      </c>
      <c r="AB113" t="s">
        <v>1191</v>
      </c>
      <c r="AC113" t="s">
        <v>74</v>
      </c>
      <c r="AD113" t="s">
        <v>74</v>
      </c>
      <c r="AE113" t="s">
        <v>74</v>
      </c>
      <c r="AF113" t="s">
        <v>74</v>
      </c>
      <c r="AG113" t="s">
        <v>74</v>
      </c>
      <c r="AH113" t="s">
        <v>74</v>
      </c>
      <c r="AI113" t="s">
        <v>74</v>
      </c>
      <c r="AJ113" t="s">
        <v>74</v>
      </c>
      <c r="AK113" t="s">
        <v>74</v>
      </c>
      <c r="AL113" t="s">
        <v>74</v>
      </c>
      <c r="AM113" t="s">
        <v>74</v>
      </c>
      <c r="AN113" t="s">
        <v>74</v>
      </c>
      <c r="AO113" t="s">
        <v>1192</v>
      </c>
      <c r="AP113" t="s">
        <v>1193</v>
      </c>
      <c r="AQ113" t="s">
        <v>74</v>
      </c>
      <c r="AR113" t="s">
        <v>74</v>
      </c>
      <c r="AS113" t="s">
        <v>74</v>
      </c>
      <c r="AT113" t="s">
        <v>712</v>
      </c>
      <c r="AU113">
        <v>2022</v>
      </c>
      <c r="AV113">
        <v>11</v>
      </c>
      <c r="AW113">
        <v>8</v>
      </c>
      <c r="AX113" t="s">
        <v>74</v>
      </c>
      <c r="AY113" t="s">
        <v>74</v>
      </c>
      <c r="AZ113" t="s">
        <v>74</v>
      </c>
      <c r="BA113" t="s">
        <v>74</v>
      </c>
      <c r="BB113">
        <v>1733</v>
      </c>
      <c r="BC113">
        <v>1737</v>
      </c>
      <c r="BD113" t="s">
        <v>74</v>
      </c>
      <c r="BE113" t="s">
        <v>1194</v>
      </c>
      <c r="BF113" t="str">
        <f>HYPERLINK("http://dx.doi.org/10.1109/LWC.2022.3179207","http://dx.doi.org/10.1109/LWC.2022.3179207")</f>
        <v>http://dx.doi.org/10.1109/LWC.2022.3179207</v>
      </c>
      <c r="BG113" t="s">
        <v>74</v>
      </c>
      <c r="BH113" t="s">
        <v>74</v>
      </c>
      <c r="BI113" t="s">
        <v>74</v>
      </c>
      <c r="BJ113" t="s">
        <v>74</v>
      </c>
      <c r="BK113" t="s">
        <v>74</v>
      </c>
      <c r="BL113" t="s">
        <v>74</v>
      </c>
      <c r="BM113" t="s">
        <v>74</v>
      </c>
      <c r="BN113" t="s">
        <v>74</v>
      </c>
      <c r="BO113" t="s">
        <v>74</v>
      </c>
      <c r="BP113" t="s">
        <v>74</v>
      </c>
      <c r="BQ113" t="s">
        <v>74</v>
      </c>
      <c r="BR113" t="s">
        <v>74</v>
      </c>
      <c r="BS113" t="s">
        <v>1195</v>
      </c>
      <c r="BT113" t="str">
        <f>HYPERLINK("https%3A%2F%2Fwww.webofscience.com%2Fwos%2Fwoscc%2Ffull-record%2FWOS:000838680900039","View Full Record in Web of Science")</f>
        <v>View Full Record in Web of Science</v>
      </c>
    </row>
    <row r="114" spans="1:72" x14ac:dyDescent="0.25">
      <c r="A114" t="s">
        <v>72</v>
      </c>
      <c r="B114" t="s">
        <v>1196</v>
      </c>
      <c r="C114" t="s">
        <v>74</v>
      </c>
      <c r="D114" t="s">
        <v>74</v>
      </c>
      <c r="E114" t="s">
        <v>74</v>
      </c>
      <c r="F114" t="s">
        <v>1197</v>
      </c>
      <c r="G114" t="s">
        <v>74</v>
      </c>
      <c r="H114" t="s">
        <v>74</v>
      </c>
      <c r="I114" t="s">
        <v>1198</v>
      </c>
      <c r="J114" t="s">
        <v>460</v>
      </c>
      <c r="K114" t="s">
        <v>74</v>
      </c>
      <c r="L114" t="s">
        <v>74</v>
      </c>
      <c r="M114" t="s">
        <v>74</v>
      </c>
      <c r="N114" t="s">
        <v>74</v>
      </c>
      <c r="O114" t="s">
        <v>74</v>
      </c>
      <c r="P114" t="s">
        <v>74</v>
      </c>
      <c r="Q114" t="s">
        <v>74</v>
      </c>
      <c r="R114" t="s">
        <v>74</v>
      </c>
      <c r="S114" t="s">
        <v>74</v>
      </c>
      <c r="T114" t="s">
        <v>74</v>
      </c>
      <c r="U114" t="s">
        <v>74</v>
      </c>
      <c r="V114" t="s">
        <v>1199</v>
      </c>
      <c r="W114" t="s">
        <v>74</v>
      </c>
      <c r="X114" t="s">
        <v>74</v>
      </c>
      <c r="Y114" t="s">
        <v>74</v>
      </c>
      <c r="Z114" t="s">
        <v>74</v>
      </c>
      <c r="AA114" t="s">
        <v>1200</v>
      </c>
      <c r="AB114" t="s">
        <v>1201</v>
      </c>
      <c r="AC114" t="s">
        <v>74</v>
      </c>
      <c r="AD114" t="s">
        <v>74</v>
      </c>
      <c r="AE114" t="s">
        <v>74</v>
      </c>
      <c r="AF114" t="s">
        <v>74</v>
      </c>
      <c r="AG114" t="s">
        <v>74</v>
      </c>
      <c r="AH114" t="s">
        <v>74</v>
      </c>
      <c r="AI114" t="s">
        <v>74</v>
      </c>
      <c r="AJ114" t="s">
        <v>74</v>
      </c>
      <c r="AK114" t="s">
        <v>74</v>
      </c>
      <c r="AL114" t="s">
        <v>74</v>
      </c>
      <c r="AM114" t="s">
        <v>74</v>
      </c>
      <c r="AN114" t="s">
        <v>74</v>
      </c>
      <c r="AO114" t="s">
        <v>74</v>
      </c>
      <c r="AP114" t="s">
        <v>464</v>
      </c>
      <c r="AQ114" t="s">
        <v>74</v>
      </c>
      <c r="AR114" t="s">
        <v>74</v>
      </c>
      <c r="AS114" t="s">
        <v>74</v>
      </c>
      <c r="AT114" t="s">
        <v>1202</v>
      </c>
      <c r="AU114">
        <v>2023</v>
      </c>
      <c r="AV114">
        <v>15</v>
      </c>
      <c r="AW114">
        <v>7</v>
      </c>
      <c r="AX114" t="s">
        <v>74</v>
      </c>
      <c r="AY114" t="s">
        <v>74</v>
      </c>
      <c r="AZ114" t="s">
        <v>74</v>
      </c>
      <c r="BA114" t="s">
        <v>74</v>
      </c>
      <c r="BB114" t="s">
        <v>74</v>
      </c>
      <c r="BC114" t="s">
        <v>74</v>
      </c>
      <c r="BD114">
        <v>6079</v>
      </c>
      <c r="BE114" t="s">
        <v>1203</v>
      </c>
      <c r="BF114" t="str">
        <f>HYPERLINK("http://dx.doi.org/10.3390/su15076079","http://dx.doi.org/10.3390/su15076079")</f>
        <v>http://dx.doi.org/10.3390/su15076079</v>
      </c>
      <c r="BG114" t="s">
        <v>74</v>
      </c>
      <c r="BH114" t="s">
        <v>74</v>
      </c>
      <c r="BI114" t="s">
        <v>74</v>
      </c>
      <c r="BJ114" t="s">
        <v>74</v>
      </c>
      <c r="BK114" t="s">
        <v>74</v>
      </c>
      <c r="BL114" t="s">
        <v>74</v>
      </c>
      <c r="BM114" t="s">
        <v>74</v>
      </c>
      <c r="BN114" t="s">
        <v>74</v>
      </c>
      <c r="BO114" t="s">
        <v>74</v>
      </c>
      <c r="BP114" t="s">
        <v>74</v>
      </c>
      <c r="BQ114" t="s">
        <v>74</v>
      </c>
      <c r="BR114" t="s">
        <v>74</v>
      </c>
      <c r="BS114" t="s">
        <v>1204</v>
      </c>
      <c r="BT114" t="str">
        <f>HYPERLINK("https%3A%2F%2Fwww.webofscience.com%2Fwos%2Fwoscc%2Ffull-record%2FWOS:000970428000001","View Full Record in Web of Science")</f>
        <v>View Full Record in Web of Science</v>
      </c>
    </row>
    <row r="115" spans="1:72" x14ac:dyDescent="0.25">
      <c r="A115" t="s">
        <v>72</v>
      </c>
      <c r="B115" t="s">
        <v>1205</v>
      </c>
      <c r="C115" t="s">
        <v>74</v>
      </c>
      <c r="D115" t="s">
        <v>74</v>
      </c>
      <c r="E115" t="s">
        <v>74</v>
      </c>
      <c r="F115" t="s">
        <v>1206</v>
      </c>
      <c r="G115" t="s">
        <v>74</v>
      </c>
      <c r="H115" t="s">
        <v>74</v>
      </c>
      <c r="I115" t="s">
        <v>1207</v>
      </c>
      <c r="J115" t="s">
        <v>1118</v>
      </c>
      <c r="K115" t="s">
        <v>74</v>
      </c>
      <c r="L115" t="s">
        <v>74</v>
      </c>
      <c r="M115" t="s">
        <v>74</v>
      </c>
      <c r="N115" t="s">
        <v>74</v>
      </c>
      <c r="O115" t="s">
        <v>74</v>
      </c>
      <c r="P115" t="s">
        <v>74</v>
      </c>
      <c r="Q115" t="s">
        <v>74</v>
      </c>
      <c r="R115" t="s">
        <v>74</v>
      </c>
      <c r="S115" t="s">
        <v>74</v>
      </c>
      <c r="T115" t="s">
        <v>74</v>
      </c>
      <c r="U115" t="s">
        <v>74</v>
      </c>
      <c r="V115" t="s">
        <v>1181</v>
      </c>
      <c r="W115" t="s">
        <v>74</v>
      </c>
      <c r="X115" t="s">
        <v>74</v>
      </c>
      <c r="Y115" t="s">
        <v>74</v>
      </c>
      <c r="Z115" t="s">
        <v>74</v>
      </c>
      <c r="AA115" t="s">
        <v>74</v>
      </c>
      <c r="AB115" t="s">
        <v>74</v>
      </c>
      <c r="AC115" t="s">
        <v>74</v>
      </c>
      <c r="AD115" t="s">
        <v>74</v>
      </c>
      <c r="AE115" t="s">
        <v>74</v>
      </c>
      <c r="AF115" t="s">
        <v>74</v>
      </c>
      <c r="AG115" t="s">
        <v>74</v>
      </c>
      <c r="AH115" t="s">
        <v>74</v>
      </c>
      <c r="AI115" t="s">
        <v>74</v>
      </c>
      <c r="AJ115" t="s">
        <v>74</v>
      </c>
      <c r="AK115" t="s">
        <v>74</v>
      </c>
      <c r="AL115" t="s">
        <v>74</v>
      </c>
      <c r="AM115" t="s">
        <v>74</v>
      </c>
      <c r="AN115" t="s">
        <v>74</v>
      </c>
      <c r="AO115" t="s">
        <v>1121</v>
      </c>
      <c r="AP115" t="s">
        <v>1122</v>
      </c>
      <c r="AQ115" t="s">
        <v>74</v>
      </c>
      <c r="AR115" t="s">
        <v>74</v>
      </c>
      <c r="AS115" t="s">
        <v>74</v>
      </c>
      <c r="AT115" t="s">
        <v>74</v>
      </c>
      <c r="AU115">
        <v>2023</v>
      </c>
      <c r="AV115">
        <v>44</v>
      </c>
      <c r="AW115">
        <v>4</v>
      </c>
      <c r="AX115" t="s">
        <v>74</v>
      </c>
      <c r="AY115" t="s">
        <v>74</v>
      </c>
      <c r="AZ115" t="s">
        <v>74</v>
      </c>
      <c r="BA115" t="s">
        <v>74</v>
      </c>
      <c r="BB115">
        <v>5893</v>
      </c>
      <c r="BC115">
        <v>5919</v>
      </c>
      <c r="BD115" t="s">
        <v>74</v>
      </c>
      <c r="BE115" t="s">
        <v>1208</v>
      </c>
      <c r="BF115" t="str">
        <f>HYPERLINK("http://dx.doi.org/10.3233/JIFS-220931","http://dx.doi.org/10.3233/JIFS-220931")</f>
        <v>http://dx.doi.org/10.3233/JIFS-220931</v>
      </c>
      <c r="BG115" t="s">
        <v>74</v>
      </c>
      <c r="BH115" t="s">
        <v>74</v>
      </c>
      <c r="BI115" t="s">
        <v>74</v>
      </c>
      <c r="BJ115" t="s">
        <v>74</v>
      </c>
      <c r="BK115" t="s">
        <v>74</v>
      </c>
      <c r="BL115" t="s">
        <v>74</v>
      </c>
      <c r="BM115" t="s">
        <v>74</v>
      </c>
      <c r="BN115" t="s">
        <v>74</v>
      </c>
      <c r="BO115" t="s">
        <v>74</v>
      </c>
      <c r="BP115" t="s">
        <v>74</v>
      </c>
      <c r="BQ115" t="s">
        <v>74</v>
      </c>
      <c r="BR115" t="s">
        <v>74</v>
      </c>
      <c r="BS115" t="s">
        <v>1209</v>
      </c>
      <c r="BT115" t="str">
        <f>HYPERLINK("https%3A%2F%2Fwww.webofscience.com%2Fwos%2Fwoscc%2Ffull-record%2FWOS:000967533700027","View Full Record in Web of Science")</f>
        <v>View Full Record in Web of Science</v>
      </c>
    </row>
    <row r="116" spans="1:72" x14ac:dyDescent="0.25">
      <c r="A116" t="s">
        <v>84</v>
      </c>
      <c r="B116" t="s">
        <v>1210</v>
      </c>
      <c r="C116" t="s">
        <v>74</v>
      </c>
      <c r="D116" t="s">
        <v>1211</v>
      </c>
      <c r="E116" t="s">
        <v>74</v>
      </c>
      <c r="F116" t="s">
        <v>1212</v>
      </c>
      <c r="G116" t="s">
        <v>74</v>
      </c>
      <c r="H116" t="s">
        <v>74</v>
      </c>
      <c r="I116" t="s">
        <v>1213</v>
      </c>
      <c r="J116" t="s">
        <v>1214</v>
      </c>
      <c r="K116" t="s">
        <v>158</v>
      </c>
      <c r="L116" t="s">
        <v>74</v>
      </c>
      <c r="M116" t="s">
        <v>74</v>
      </c>
      <c r="N116" t="s">
        <v>74</v>
      </c>
      <c r="O116" t="s">
        <v>1215</v>
      </c>
      <c r="P116" t="s">
        <v>288</v>
      </c>
      <c r="Q116" t="s">
        <v>108</v>
      </c>
      <c r="R116" t="s">
        <v>74</v>
      </c>
      <c r="S116" t="s">
        <v>74</v>
      </c>
      <c r="T116" t="s">
        <v>74</v>
      </c>
      <c r="U116" t="s">
        <v>74</v>
      </c>
      <c r="V116" t="s">
        <v>1216</v>
      </c>
      <c r="W116" t="s">
        <v>74</v>
      </c>
      <c r="X116" t="s">
        <v>74</v>
      </c>
      <c r="Y116" t="s">
        <v>74</v>
      </c>
      <c r="Z116" t="s">
        <v>74</v>
      </c>
      <c r="AA116" t="s">
        <v>1217</v>
      </c>
      <c r="AB116" t="s">
        <v>1218</v>
      </c>
      <c r="AC116" t="s">
        <v>74</v>
      </c>
      <c r="AD116" t="s">
        <v>74</v>
      </c>
      <c r="AE116" t="s">
        <v>74</v>
      </c>
      <c r="AF116" t="s">
        <v>74</v>
      </c>
      <c r="AG116" t="s">
        <v>74</v>
      </c>
      <c r="AH116" t="s">
        <v>74</v>
      </c>
      <c r="AI116" t="s">
        <v>74</v>
      </c>
      <c r="AJ116" t="s">
        <v>74</v>
      </c>
      <c r="AK116" t="s">
        <v>74</v>
      </c>
      <c r="AL116" t="s">
        <v>74</v>
      </c>
      <c r="AM116" t="s">
        <v>74</v>
      </c>
      <c r="AN116" t="s">
        <v>74</v>
      </c>
      <c r="AO116" t="s">
        <v>164</v>
      </c>
      <c r="AP116" t="s">
        <v>165</v>
      </c>
      <c r="AQ116" t="s">
        <v>1219</v>
      </c>
      <c r="AR116" t="s">
        <v>74</v>
      </c>
      <c r="AS116" t="s">
        <v>74</v>
      </c>
      <c r="AT116" t="s">
        <v>74</v>
      </c>
      <c r="AU116">
        <v>2022</v>
      </c>
      <c r="AV116">
        <v>13302</v>
      </c>
      <c r="AW116" t="s">
        <v>74</v>
      </c>
      <c r="AX116" t="s">
        <v>74</v>
      </c>
      <c r="AY116" t="s">
        <v>74</v>
      </c>
      <c r="AZ116" t="s">
        <v>74</v>
      </c>
      <c r="BA116" t="s">
        <v>74</v>
      </c>
      <c r="BB116">
        <v>527</v>
      </c>
      <c r="BC116">
        <v>541</v>
      </c>
      <c r="BD116" t="s">
        <v>74</v>
      </c>
      <c r="BE116" t="s">
        <v>1220</v>
      </c>
      <c r="BF116" t="str">
        <f>HYPERLINK("http://dx.doi.org/10.1007/978-3-031-05311-5_37","http://dx.doi.org/10.1007/978-3-031-05311-5_37")</f>
        <v>http://dx.doi.org/10.1007/978-3-031-05311-5_37</v>
      </c>
      <c r="BG116" t="s">
        <v>74</v>
      </c>
      <c r="BH116" t="s">
        <v>74</v>
      </c>
      <c r="BI116" t="s">
        <v>74</v>
      </c>
      <c r="BJ116" t="s">
        <v>74</v>
      </c>
      <c r="BK116" t="s">
        <v>74</v>
      </c>
      <c r="BL116" t="s">
        <v>74</v>
      </c>
      <c r="BM116" t="s">
        <v>74</v>
      </c>
      <c r="BN116" t="s">
        <v>74</v>
      </c>
      <c r="BO116" t="s">
        <v>74</v>
      </c>
      <c r="BP116" t="s">
        <v>74</v>
      </c>
      <c r="BQ116" t="s">
        <v>74</v>
      </c>
      <c r="BR116" t="s">
        <v>74</v>
      </c>
      <c r="BS116" t="s">
        <v>1221</v>
      </c>
      <c r="BT116" t="str">
        <f>HYPERLINK("https%3A%2F%2Fwww.webofscience.com%2Fwos%2Fwoscc%2Ffull-record%2FWOS:000870723000037","View Full Record in Web of Science")</f>
        <v>View Full Record in Web of Science</v>
      </c>
    </row>
    <row r="117" spans="1:72" x14ac:dyDescent="0.25">
      <c r="A117" t="s">
        <v>72</v>
      </c>
      <c r="B117" t="s">
        <v>1222</v>
      </c>
      <c r="C117" t="s">
        <v>74</v>
      </c>
      <c r="D117" t="s">
        <v>74</v>
      </c>
      <c r="E117" t="s">
        <v>74</v>
      </c>
      <c r="F117" t="s">
        <v>1223</v>
      </c>
      <c r="G117" t="s">
        <v>74</v>
      </c>
      <c r="H117" t="s">
        <v>74</v>
      </c>
      <c r="I117" t="s">
        <v>1224</v>
      </c>
      <c r="J117" t="s">
        <v>1225</v>
      </c>
      <c r="K117" t="s">
        <v>74</v>
      </c>
      <c r="L117" t="s">
        <v>74</v>
      </c>
      <c r="M117" t="s">
        <v>74</v>
      </c>
      <c r="N117" t="s">
        <v>74</v>
      </c>
      <c r="O117" t="s">
        <v>74</v>
      </c>
      <c r="P117" t="s">
        <v>74</v>
      </c>
      <c r="Q117" t="s">
        <v>74</v>
      </c>
      <c r="R117" t="s">
        <v>74</v>
      </c>
      <c r="S117" t="s">
        <v>74</v>
      </c>
      <c r="T117" t="s">
        <v>74</v>
      </c>
      <c r="U117" t="s">
        <v>74</v>
      </c>
      <c r="V117" t="s">
        <v>1226</v>
      </c>
      <c r="W117" t="s">
        <v>74</v>
      </c>
      <c r="X117" t="s">
        <v>74</v>
      </c>
      <c r="Y117" t="s">
        <v>74</v>
      </c>
      <c r="Z117" t="s">
        <v>74</v>
      </c>
      <c r="AA117" t="s">
        <v>1227</v>
      </c>
      <c r="AB117" t="s">
        <v>1228</v>
      </c>
      <c r="AC117" t="s">
        <v>74</v>
      </c>
      <c r="AD117" t="s">
        <v>74</v>
      </c>
      <c r="AE117" t="s">
        <v>74</v>
      </c>
      <c r="AF117" t="s">
        <v>74</v>
      </c>
      <c r="AG117" t="s">
        <v>74</v>
      </c>
      <c r="AH117" t="s">
        <v>74</v>
      </c>
      <c r="AI117" t="s">
        <v>74</v>
      </c>
      <c r="AJ117" t="s">
        <v>74</v>
      </c>
      <c r="AK117" t="s">
        <v>74</v>
      </c>
      <c r="AL117" t="s">
        <v>74</v>
      </c>
      <c r="AM117" t="s">
        <v>74</v>
      </c>
      <c r="AN117" t="s">
        <v>74</v>
      </c>
      <c r="AO117" t="s">
        <v>74</v>
      </c>
      <c r="AP117" t="s">
        <v>1229</v>
      </c>
      <c r="AQ117" t="s">
        <v>74</v>
      </c>
      <c r="AR117" t="s">
        <v>74</v>
      </c>
      <c r="AS117" t="s">
        <v>74</v>
      </c>
      <c r="AT117" t="s">
        <v>465</v>
      </c>
      <c r="AU117">
        <v>2022</v>
      </c>
      <c r="AV117">
        <v>10</v>
      </c>
      <c r="AW117">
        <v>12</v>
      </c>
      <c r="AX117" t="s">
        <v>74</v>
      </c>
      <c r="AY117" t="s">
        <v>74</v>
      </c>
      <c r="AZ117" t="s">
        <v>74</v>
      </c>
      <c r="BA117" t="s">
        <v>74</v>
      </c>
      <c r="BB117" t="s">
        <v>74</v>
      </c>
      <c r="BC117" t="s">
        <v>74</v>
      </c>
      <c r="BD117">
        <v>2601</v>
      </c>
      <c r="BE117" t="s">
        <v>1230</v>
      </c>
      <c r="BF117" t="str">
        <f>HYPERLINK("http://dx.doi.org/10.3390/pr10122601","http://dx.doi.org/10.3390/pr10122601")</f>
        <v>http://dx.doi.org/10.3390/pr10122601</v>
      </c>
      <c r="BG117" t="s">
        <v>74</v>
      </c>
      <c r="BH117" t="s">
        <v>74</v>
      </c>
      <c r="BI117" t="s">
        <v>74</v>
      </c>
      <c r="BJ117" t="s">
        <v>74</v>
      </c>
      <c r="BK117" t="s">
        <v>74</v>
      </c>
      <c r="BL117" t="s">
        <v>74</v>
      </c>
      <c r="BM117" t="s">
        <v>74</v>
      </c>
      <c r="BN117" t="s">
        <v>74</v>
      </c>
      <c r="BO117" t="s">
        <v>74</v>
      </c>
      <c r="BP117" t="s">
        <v>74</v>
      </c>
      <c r="BQ117" t="s">
        <v>74</v>
      </c>
      <c r="BR117" t="s">
        <v>74</v>
      </c>
      <c r="BS117" t="s">
        <v>1231</v>
      </c>
      <c r="BT117" t="str">
        <f>HYPERLINK("https%3A%2F%2Fwww.webofscience.com%2Fwos%2Fwoscc%2Ffull-record%2FWOS:000904117900001","View Full Record in Web of Science")</f>
        <v>View Full Record in Web of Science</v>
      </c>
    </row>
    <row r="118" spans="1:72" x14ac:dyDescent="0.25">
      <c r="A118" t="s">
        <v>72</v>
      </c>
      <c r="B118" t="s">
        <v>1232</v>
      </c>
      <c r="C118" t="s">
        <v>74</v>
      </c>
      <c r="D118" t="s">
        <v>74</v>
      </c>
      <c r="E118" t="s">
        <v>74</v>
      </c>
      <c r="F118" t="s">
        <v>1233</v>
      </c>
      <c r="G118" t="s">
        <v>74</v>
      </c>
      <c r="H118" t="s">
        <v>74</v>
      </c>
      <c r="I118" t="s">
        <v>1234</v>
      </c>
      <c r="J118" t="s">
        <v>1235</v>
      </c>
      <c r="K118" t="s">
        <v>74</v>
      </c>
      <c r="L118" t="s">
        <v>74</v>
      </c>
      <c r="M118" t="s">
        <v>74</v>
      </c>
      <c r="N118" t="s">
        <v>74</v>
      </c>
      <c r="O118" t="s">
        <v>74</v>
      </c>
      <c r="P118" t="s">
        <v>74</v>
      </c>
      <c r="Q118" t="s">
        <v>74</v>
      </c>
      <c r="R118" t="s">
        <v>74</v>
      </c>
      <c r="S118" t="s">
        <v>74</v>
      </c>
      <c r="T118" t="s">
        <v>74</v>
      </c>
      <c r="U118" t="s">
        <v>74</v>
      </c>
      <c r="V118" t="s">
        <v>1236</v>
      </c>
      <c r="W118" t="s">
        <v>74</v>
      </c>
      <c r="X118" t="s">
        <v>74</v>
      </c>
      <c r="Y118" t="s">
        <v>74</v>
      </c>
      <c r="Z118" t="s">
        <v>74</v>
      </c>
      <c r="AA118" t="s">
        <v>74</v>
      </c>
      <c r="AB118" t="s">
        <v>1237</v>
      </c>
      <c r="AC118" t="s">
        <v>74</v>
      </c>
      <c r="AD118" t="s">
        <v>74</v>
      </c>
      <c r="AE118" t="s">
        <v>74</v>
      </c>
      <c r="AF118" t="s">
        <v>74</v>
      </c>
      <c r="AG118" t="s">
        <v>74</v>
      </c>
      <c r="AH118" t="s">
        <v>74</v>
      </c>
      <c r="AI118" t="s">
        <v>74</v>
      </c>
      <c r="AJ118" t="s">
        <v>74</v>
      </c>
      <c r="AK118" t="s">
        <v>74</v>
      </c>
      <c r="AL118" t="s">
        <v>74</v>
      </c>
      <c r="AM118" t="s">
        <v>74</v>
      </c>
      <c r="AN118" t="s">
        <v>74</v>
      </c>
      <c r="AO118" t="s">
        <v>1238</v>
      </c>
      <c r="AP118" t="s">
        <v>1239</v>
      </c>
      <c r="AQ118" t="s">
        <v>74</v>
      </c>
      <c r="AR118" t="s">
        <v>74</v>
      </c>
      <c r="AS118" t="s">
        <v>74</v>
      </c>
      <c r="AT118" t="s">
        <v>366</v>
      </c>
      <c r="AU118">
        <v>2023</v>
      </c>
      <c r="AV118">
        <v>194</v>
      </c>
      <c r="AW118" t="s">
        <v>74</v>
      </c>
      <c r="AX118" t="s">
        <v>74</v>
      </c>
      <c r="AY118" t="s">
        <v>74</v>
      </c>
      <c r="AZ118" t="s">
        <v>74</v>
      </c>
      <c r="BA118" t="s">
        <v>74</v>
      </c>
      <c r="BB118" t="s">
        <v>74</v>
      </c>
      <c r="BC118" t="s">
        <v>74</v>
      </c>
      <c r="BD118">
        <v>104693</v>
      </c>
      <c r="BE118" t="s">
        <v>1240</v>
      </c>
      <c r="BF118" t="str">
        <f>HYPERLINK("http://dx.doi.org/10.1016/j.compedu.2022.104693","http://dx.doi.org/10.1016/j.compedu.2022.104693")</f>
        <v>http://dx.doi.org/10.1016/j.compedu.2022.104693</v>
      </c>
      <c r="BG118" t="s">
        <v>74</v>
      </c>
      <c r="BH118" t="s">
        <v>74</v>
      </c>
      <c r="BI118" t="s">
        <v>74</v>
      </c>
      <c r="BJ118" t="s">
        <v>74</v>
      </c>
      <c r="BK118" t="s">
        <v>74</v>
      </c>
      <c r="BL118" t="s">
        <v>74</v>
      </c>
      <c r="BM118" t="s">
        <v>74</v>
      </c>
      <c r="BN118" t="s">
        <v>74</v>
      </c>
      <c r="BO118" t="s">
        <v>74</v>
      </c>
      <c r="BP118" t="s">
        <v>74</v>
      </c>
      <c r="BQ118" t="s">
        <v>74</v>
      </c>
      <c r="BR118" t="s">
        <v>74</v>
      </c>
      <c r="BS118" t="s">
        <v>1241</v>
      </c>
      <c r="BT118" t="str">
        <f>HYPERLINK("https%3A%2F%2Fwww.webofscience.com%2Fwos%2Fwoscc%2Ffull-record%2FWOS:000901496100007","View Full Record in Web of Science")</f>
        <v>View Full Record in Web of Science</v>
      </c>
    </row>
    <row r="119" spans="1:72" x14ac:dyDescent="0.25">
      <c r="A119" t="s">
        <v>84</v>
      </c>
      <c r="B119" t="s">
        <v>1242</v>
      </c>
      <c r="C119" t="s">
        <v>74</v>
      </c>
      <c r="D119" t="s">
        <v>74</v>
      </c>
      <c r="E119" t="s">
        <v>86</v>
      </c>
      <c r="F119" t="s">
        <v>1243</v>
      </c>
      <c r="G119" t="s">
        <v>74</v>
      </c>
      <c r="H119" t="s">
        <v>74</v>
      </c>
      <c r="I119" t="s">
        <v>1244</v>
      </c>
      <c r="J119" t="s">
        <v>787</v>
      </c>
      <c r="K119" t="s">
        <v>788</v>
      </c>
      <c r="L119" t="s">
        <v>74</v>
      </c>
      <c r="M119" t="s">
        <v>74</v>
      </c>
      <c r="N119" t="s">
        <v>74</v>
      </c>
      <c r="O119" t="s">
        <v>272</v>
      </c>
      <c r="P119" t="s">
        <v>273</v>
      </c>
      <c r="Q119" t="s">
        <v>274</v>
      </c>
      <c r="R119" t="s">
        <v>789</v>
      </c>
      <c r="S119" t="s">
        <v>74</v>
      </c>
      <c r="T119" t="s">
        <v>74</v>
      </c>
      <c r="U119" t="s">
        <v>74</v>
      </c>
      <c r="V119" t="s">
        <v>1245</v>
      </c>
      <c r="W119" t="s">
        <v>74</v>
      </c>
      <c r="X119" t="s">
        <v>74</v>
      </c>
      <c r="Y119" t="s">
        <v>74</v>
      </c>
      <c r="Z119" t="s">
        <v>74</v>
      </c>
      <c r="AA119" t="s">
        <v>74</v>
      </c>
      <c r="AB119" t="s">
        <v>74</v>
      </c>
      <c r="AC119" t="s">
        <v>74</v>
      </c>
      <c r="AD119" t="s">
        <v>74</v>
      </c>
      <c r="AE119" t="s">
        <v>74</v>
      </c>
      <c r="AF119" t="s">
        <v>74</v>
      </c>
      <c r="AG119" t="s">
        <v>74</v>
      </c>
      <c r="AH119" t="s">
        <v>74</v>
      </c>
      <c r="AI119" t="s">
        <v>74</v>
      </c>
      <c r="AJ119" t="s">
        <v>74</v>
      </c>
      <c r="AK119" t="s">
        <v>74</v>
      </c>
      <c r="AL119" t="s">
        <v>74</v>
      </c>
      <c r="AM119" t="s">
        <v>74</v>
      </c>
      <c r="AN119" t="s">
        <v>74</v>
      </c>
      <c r="AO119" t="s">
        <v>792</v>
      </c>
      <c r="AP119" t="s">
        <v>74</v>
      </c>
      <c r="AQ119" t="s">
        <v>793</v>
      </c>
      <c r="AR119" t="s">
        <v>74</v>
      </c>
      <c r="AS119" t="s">
        <v>74</v>
      </c>
      <c r="AT119" t="s">
        <v>74</v>
      </c>
      <c r="AU119">
        <v>2022</v>
      </c>
      <c r="AV119" t="s">
        <v>74</v>
      </c>
      <c r="AW119" t="s">
        <v>74</v>
      </c>
      <c r="AX119" t="s">
        <v>74</v>
      </c>
      <c r="AY119" t="s">
        <v>74</v>
      </c>
      <c r="AZ119" t="s">
        <v>74</v>
      </c>
      <c r="BA119" t="s">
        <v>74</v>
      </c>
      <c r="BB119">
        <v>1196</v>
      </c>
      <c r="BC119">
        <v>1201</v>
      </c>
      <c r="BD119" t="s">
        <v>74</v>
      </c>
      <c r="BE119" t="s">
        <v>1246</v>
      </c>
      <c r="BF119" t="str">
        <f>HYPERLINK("http://dx.doi.org/10.1109/ICC45855.2022.9838422","http://dx.doi.org/10.1109/ICC45855.2022.9838422")</f>
        <v>http://dx.doi.org/10.1109/ICC45855.2022.9838422</v>
      </c>
      <c r="BG119" t="s">
        <v>74</v>
      </c>
      <c r="BH119" t="s">
        <v>74</v>
      </c>
      <c r="BI119" t="s">
        <v>74</v>
      </c>
      <c r="BJ119" t="s">
        <v>74</v>
      </c>
      <c r="BK119" t="s">
        <v>74</v>
      </c>
      <c r="BL119" t="s">
        <v>74</v>
      </c>
      <c r="BM119" t="s">
        <v>74</v>
      </c>
      <c r="BN119" t="s">
        <v>74</v>
      </c>
      <c r="BO119" t="s">
        <v>74</v>
      </c>
      <c r="BP119" t="s">
        <v>74</v>
      </c>
      <c r="BQ119" t="s">
        <v>74</v>
      </c>
      <c r="BR119" t="s">
        <v>74</v>
      </c>
      <c r="BS119" t="s">
        <v>1247</v>
      </c>
      <c r="BT119" t="str">
        <f>HYPERLINK("https%3A%2F%2Fwww.webofscience.com%2Fwos%2Fwoscc%2Ffull-record%2FWOS:000864709901087","View Full Record in Web of Science")</f>
        <v>View Full Record in Web of Science</v>
      </c>
    </row>
    <row r="120" spans="1:72" x14ac:dyDescent="0.25">
      <c r="A120" t="s">
        <v>84</v>
      </c>
      <c r="B120" t="s">
        <v>1248</v>
      </c>
      <c r="C120" t="s">
        <v>74</v>
      </c>
      <c r="D120" t="s">
        <v>1249</v>
      </c>
      <c r="E120" t="s">
        <v>74</v>
      </c>
      <c r="F120" t="s">
        <v>1250</v>
      </c>
      <c r="G120" t="s">
        <v>74</v>
      </c>
      <c r="H120" t="s">
        <v>74</v>
      </c>
      <c r="I120" t="s">
        <v>1251</v>
      </c>
      <c r="J120" t="s">
        <v>1252</v>
      </c>
      <c r="K120" t="s">
        <v>74</v>
      </c>
      <c r="L120" t="s">
        <v>74</v>
      </c>
      <c r="M120" t="s">
        <v>74</v>
      </c>
      <c r="N120" t="s">
        <v>74</v>
      </c>
      <c r="O120" t="s">
        <v>1253</v>
      </c>
      <c r="P120" t="s">
        <v>1254</v>
      </c>
      <c r="Q120" t="s">
        <v>1255</v>
      </c>
      <c r="R120" t="s">
        <v>1256</v>
      </c>
      <c r="S120" t="s">
        <v>74</v>
      </c>
      <c r="T120" t="s">
        <v>74</v>
      </c>
      <c r="U120" t="s">
        <v>74</v>
      </c>
      <c r="V120" t="s">
        <v>1257</v>
      </c>
      <c r="W120" t="s">
        <v>74</v>
      </c>
      <c r="X120" t="s">
        <v>74</v>
      </c>
      <c r="Y120" t="s">
        <v>74</v>
      </c>
      <c r="Z120" t="s">
        <v>74</v>
      </c>
      <c r="AA120" t="s">
        <v>74</v>
      </c>
      <c r="AB120" t="s">
        <v>74</v>
      </c>
      <c r="AC120" t="s">
        <v>74</v>
      </c>
      <c r="AD120" t="s">
        <v>74</v>
      </c>
      <c r="AE120" t="s">
        <v>74</v>
      </c>
      <c r="AF120" t="s">
        <v>74</v>
      </c>
      <c r="AG120" t="s">
        <v>74</v>
      </c>
      <c r="AH120" t="s">
        <v>74</v>
      </c>
      <c r="AI120" t="s">
        <v>74</v>
      </c>
      <c r="AJ120" t="s">
        <v>74</v>
      </c>
      <c r="AK120" t="s">
        <v>74</v>
      </c>
      <c r="AL120" t="s">
        <v>74</v>
      </c>
      <c r="AM120" t="s">
        <v>74</v>
      </c>
      <c r="AN120" t="s">
        <v>74</v>
      </c>
      <c r="AO120" t="s">
        <v>74</v>
      </c>
      <c r="AP120" t="s">
        <v>74</v>
      </c>
      <c r="AQ120" t="s">
        <v>1258</v>
      </c>
      <c r="AR120" t="s">
        <v>74</v>
      </c>
      <c r="AS120" t="s">
        <v>74</v>
      </c>
      <c r="AT120" t="s">
        <v>74</v>
      </c>
      <c r="AU120">
        <v>2022</v>
      </c>
      <c r="AV120" t="s">
        <v>74</v>
      </c>
      <c r="AW120" t="s">
        <v>74</v>
      </c>
      <c r="AX120" t="s">
        <v>74</v>
      </c>
      <c r="AY120" t="s">
        <v>74</v>
      </c>
      <c r="AZ120" t="s">
        <v>74</v>
      </c>
      <c r="BA120" t="s">
        <v>74</v>
      </c>
      <c r="BB120">
        <v>45</v>
      </c>
      <c r="BC120">
        <v>50</v>
      </c>
      <c r="BD120" t="s">
        <v>74</v>
      </c>
      <c r="BE120" t="s">
        <v>1259</v>
      </c>
      <c r="BF120" t="str">
        <f>HYPERLINK("http://dx.doi.org/10.1109/ISMCR56534.2022.9950565","http://dx.doi.org/10.1109/ISMCR56534.2022.9950565")</f>
        <v>http://dx.doi.org/10.1109/ISMCR56534.2022.9950565</v>
      </c>
      <c r="BG120" t="s">
        <v>74</v>
      </c>
      <c r="BH120" t="s">
        <v>74</v>
      </c>
      <c r="BI120" t="s">
        <v>74</v>
      </c>
      <c r="BJ120" t="s">
        <v>74</v>
      </c>
      <c r="BK120" t="s">
        <v>74</v>
      </c>
      <c r="BL120" t="s">
        <v>74</v>
      </c>
      <c r="BM120" t="s">
        <v>74</v>
      </c>
      <c r="BN120" t="s">
        <v>74</v>
      </c>
      <c r="BO120" t="s">
        <v>74</v>
      </c>
      <c r="BP120" t="s">
        <v>74</v>
      </c>
      <c r="BQ120" t="s">
        <v>74</v>
      </c>
      <c r="BR120" t="s">
        <v>74</v>
      </c>
      <c r="BS120" t="s">
        <v>1260</v>
      </c>
      <c r="BT120" t="str">
        <f>HYPERLINK("https%3A%2F%2Fwww.webofscience.com%2Fwos%2Fwoscc%2Ffull-record%2FWOS:000931900700002","View Full Record in Web of Science")</f>
        <v>View Full Record in Web of Science</v>
      </c>
    </row>
    <row r="121" spans="1:72" x14ac:dyDescent="0.25">
      <c r="A121" t="s">
        <v>84</v>
      </c>
      <c r="B121" t="s">
        <v>1261</v>
      </c>
      <c r="C121" t="s">
        <v>74</v>
      </c>
      <c r="D121" t="s">
        <v>1262</v>
      </c>
      <c r="E121" t="s">
        <v>74</v>
      </c>
      <c r="F121" t="s">
        <v>1263</v>
      </c>
      <c r="G121" t="s">
        <v>74</v>
      </c>
      <c r="H121" t="s">
        <v>74</v>
      </c>
      <c r="I121" t="s">
        <v>1264</v>
      </c>
      <c r="J121" t="s">
        <v>1265</v>
      </c>
      <c r="K121" t="s">
        <v>158</v>
      </c>
      <c r="L121" t="s">
        <v>74</v>
      </c>
      <c r="M121" t="s">
        <v>74</v>
      </c>
      <c r="N121" t="s">
        <v>74</v>
      </c>
      <c r="O121" t="s">
        <v>1266</v>
      </c>
      <c r="P121" t="s">
        <v>1267</v>
      </c>
      <c r="Q121" t="s">
        <v>1268</v>
      </c>
      <c r="R121" t="s">
        <v>1269</v>
      </c>
      <c r="S121" t="s">
        <v>74</v>
      </c>
      <c r="T121" t="s">
        <v>74</v>
      </c>
      <c r="U121" t="s">
        <v>74</v>
      </c>
      <c r="V121" t="s">
        <v>1270</v>
      </c>
      <c r="W121" t="s">
        <v>74</v>
      </c>
      <c r="X121" t="s">
        <v>74</v>
      </c>
      <c r="Y121" t="s">
        <v>74</v>
      </c>
      <c r="Z121" t="s">
        <v>74</v>
      </c>
      <c r="AA121" t="s">
        <v>74</v>
      </c>
      <c r="AB121" t="s">
        <v>74</v>
      </c>
      <c r="AC121" t="s">
        <v>74</v>
      </c>
      <c r="AD121" t="s">
        <v>74</v>
      </c>
      <c r="AE121" t="s">
        <v>74</v>
      </c>
      <c r="AF121" t="s">
        <v>74</v>
      </c>
      <c r="AG121" t="s">
        <v>74</v>
      </c>
      <c r="AH121" t="s">
        <v>74</v>
      </c>
      <c r="AI121" t="s">
        <v>74</v>
      </c>
      <c r="AJ121" t="s">
        <v>74</v>
      </c>
      <c r="AK121" t="s">
        <v>74</v>
      </c>
      <c r="AL121" t="s">
        <v>74</v>
      </c>
      <c r="AM121" t="s">
        <v>74</v>
      </c>
      <c r="AN121" t="s">
        <v>74</v>
      </c>
      <c r="AO121" t="s">
        <v>164</v>
      </c>
      <c r="AP121" t="s">
        <v>165</v>
      </c>
      <c r="AQ121" t="s">
        <v>1271</v>
      </c>
      <c r="AR121" t="s">
        <v>74</v>
      </c>
      <c r="AS121" t="s">
        <v>74</v>
      </c>
      <c r="AT121" t="s">
        <v>74</v>
      </c>
      <c r="AU121">
        <v>2022</v>
      </c>
      <c r="AV121">
        <v>13445</v>
      </c>
      <c r="AW121" t="s">
        <v>74</v>
      </c>
      <c r="AX121" t="s">
        <v>74</v>
      </c>
      <c r="AY121" t="s">
        <v>74</v>
      </c>
      <c r="AZ121" t="s">
        <v>74</v>
      </c>
      <c r="BA121" t="s">
        <v>74</v>
      </c>
      <c r="BB121">
        <v>263</v>
      </c>
      <c r="BC121">
        <v>272</v>
      </c>
      <c r="BD121" t="s">
        <v>74</v>
      </c>
      <c r="BE121" t="s">
        <v>1272</v>
      </c>
      <c r="BF121" t="str">
        <f>HYPERLINK("http://dx.doi.org/10.1007/978-3-031-15546-8_23","http://dx.doi.org/10.1007/978-3-031-15546-8_23")</f>
        <v>http://dx.doi.org/10.1007/978-3-031-15546-8_23</v>
      </c>
      <c r="BG121" t="s">
        <v>74</v>
      </c>
      <c r="BH121" t="s">
        <v>74</v>
      </c>
      <c r="BI121" t="s">
        <v>74</v>
      </c>
      <c r="BJ121" t="s">
        <v>74</v>
      </c>
      <c r="BK121" t="s">
        <v>74</v>
      </c>
      <c r="BL121" t="s">
        <v>74</v>
      </c>
      <c r="BM121" t="s">
        <v>74</v>
      </c>
      <c r="BN121" t="s">
        <v>74</v>
      </c>
      <c r="BO121" t="s">
        <v>74</v>
      </c>
      <c r="BP121" t="s">
        <v>74</v>
      </c>
      <c r="BQ121" t="s">
        <v>74</v>
      </c>
      <c r="BR121" t="s">
        <v>74</v>
      </c>
      <c r="BS121" t="s">
        <v>1273</v>
      </c>
      <c r="BT121" t="str">
        <f>HYPERLINK("https%3A%2F%2Fwww.webofscience.com%2Fwos%2Fwoscc%2Ffull-record%2FWOS:000886159100023","View Full Record in Web of Science")</f>
        <v>View Full Record in Web of Science</v>
      </c>
    </row>
    <row r="122" spans="1:72" x14ac:dyDescent="0.25">
      <c r="A122" t="s">
        <v>84</v>
      </c>
      <c r="B122" t="s">
        <v>1274</v>
      </c>
      <c r="C122" t="s">
        <v>74</v>
      </c>
      <c r="D122" t="s">
        <v>74</v>
      </c>
      <c r="E122" t="s">
        <v>86</v>
      </c>
      <c r="F122" t="s">
        <v>1275</v>
      </c>
      <c r="G122" t="s">
        <v>74</v>
      </c>
      <c r="H122" t="s">
        <v>74</v>
      </c>
      <c r="I122" t="s">
        <v>1276</v>
      </c>
      <c r="J122" t="s">
        <v>258</v>
      </c>
      <c r="K122" t="s">
        <v>259</v>
      </c>
      <c r="L122" t="s">
        <v>74</v>
      </c>
      <c r="M122" t="s">
        <v>74</v>
      </c>
      <c r="N122" t="s">
        <v>74</v>
      </c>
      <c r="O122" t="s">
        <v>260</v>
      </c>
      <c r="P122" t="s">
        <v>261</v>
      </c>
      <c r="Q122" t="s">
        <v>108</v>
      </c>
      <c r="R122" t="s">
        <v>86</v>
      </c>
      <c r="S122" t="s">
        <v>74</v>
      </c>
      <c r="T122" t="s">
        <v>74</v>
      </c>
      <c r="U122" t="s">
        <v>74</v>
      </c>
      <c r="V122" t="s">
        <v>1277</v>
      </c>
      <c r="W122" t="s">
        <v>74</v>
      </c>
      <c r="X122" t="s">
        <v>74</v>
      </c>
      <c r="Y122" t="s">
        <v>74</v>
      </c>
      <c r="Z122" t="s">
        <v>74</v>
      </c>
      <c r="AA122" t="s">
        <v>74</v>
      </c>
      <c r="AB122" t="s">
        <v>74</v>
      </c>
      <c r="AC122" t="s">
        <v>74</v>
      </c>
      <c r="AD122" t="s">
        <v>74</v>
      </c>
      <c r="AE122" t="s">
        <v>74</v>
      </c>
      <c r="AF122" t="s">
        <v>74</v>
      </c>
      <c r="AG122" t="s">
        <v>74</v>
      </c>
      <c r="AH122" t="s">
        <v>74</v>
      </c>
      <c r="AI122" t="s">
        <v>74</v>
      </c>
      <c r="AJ122" t="s">
        <v>74</v>
      </c>
      <c r="AK122" t="s">
        <v>74</v>
      </c>
      <c r="AL122" t="s">
        <v>74</v>
      </c>
      <c r="AM122" t="s">
        <v>74</v>
      </c>
      <c r="AN122" t="s">
        <v>74</v>
      </c>
      <c r="AO122" t="s">
        <v>263</v>
      </c>
      <c r="AP122" t="s">
        <v>74</v>
      </c>
      <c r="AQ122" t="s">
        <v>264</v>
      </c>
      <c r="AR122" t="s">
        <v>74</v>
      </c>
      <c r="AS122" t="s">
        <v>74</v>
      </c>
      <c r="AT122" t="s">
        <v>74</v>
      </c>
      <c r="AU122">
        <v>2022</v>
      </c>
      <c r="AV122" t="s">
        <v>74</v>
      </c>
      <c r="AW122" t="s">
        <v>74</v>
      </c>
      <c r="AX122" t="s">
        <v>74</v>
      </c>
      <c r="AY122" t="s">
        <v>74</v>
      </c>
      <c r="AZ122" t="s">
        <v>74</v>
      </c>
      <c r="BA122" t="s">
        <v>74</v>
      </c>
      <c r="BB122" t="s">
        <v>74</v>
      </c>
      <c r="BC122" t="s">
        <v>74</v>
      </c>
      <c r="BD122" t="s">
        <v>74</v>
      </c>
      <c r="BE122" t="s">
        <v>1278</v>
      </c>
      <c r="BF122" t="str">
        <f>HYPERLINK("http://dx.doi.org/10.1109/MMSP55362.2022.9949551","http://dx.doi.org/10.1109/MMSP55362.2022.9949551")</f>
        <v>http://dx.doi.org/10.1109/MMSP55362.2022.9949551</v>
      </c>
      <c r="BG122" t="s">
        <v>74</v>
      </c>
      <c r="BH122" t="s">
        <v>74</v>
      </c>
      <c r="BI122" t="s">
        <v>74</v>
      </c>
      <c r="BJ122" t="s">
        <v>74</v>
      </c>
      <c r="BK122" t="s">
        <v>74</v>
      </c>
      <c r="BL122" t="s">
        <v>74</v>
      </c>
      <c r="BM122" t="s">
        <v>74</v>
      </c>
      <c r="BN122" t="s">
        <v>74</v>
      </c>
      <c r="BO122" t="s">
        <v>74</v>
      </c>
      <c r="BP122" t="s">
        <v>74</v>
      </c>
      <c r="BQ122" t="s">
        <v>74</v>
      </c>
      <c r="BR122" t="s">
        <v>74</v>
      </c>
      <c r="BS122" t="s">
        <v>1279</v>
      </c>
      <c r="BT122" t="str">
        <f>HYPERLINK("https%3A%2F%2Fwww.webofscience.com%2Fwos%2Fwoscc%2Ffull-record%2FWOS:000893205800148","View Full Record in Web of Science")</f>
        <v>View Full Record in Web of Science</v>
      </c>
    </row>
    <row r="123" spans="1:72" x14ac:dyDescent="0.25">
      <c r="A123" t="s">
        <v>72</v>
      </c>
      <c r="B123" t="s">
        <v>1280</v>
      </c>
      <c r="C123" t="s">
        <v>74</v>
      </c>
      <c r="D123" t="s">
        <v>74</v>
      </c>
      <c r="E123" t="s">
        <v>74</v>
      </c>
      <c r="F123" t="s">
        <v>1281</v>
      </c>
      <c r="G123" t="s">
        <v>74</v>
      </c>
      <c r="H123" t="s">
        <v>74</v>
      </c>
      <c r="I123" t="s">
        <v>1282</v>
      </c>
      <c r="J123" t="s">
        <v>460</v>
      </c>
      <c r="K123" t="s">
        <v>74</v>
      </c>
      <c r="L123" t="s">
        <v>74</v>
      </c>
      <c r="M123" t="s">
        <v>74</v>
      </c>
      <c r="N123" t="s">
        <v>74</v>
      </c>
      <c r="O123" t="s">
        <v>74</v>
      </c>
      <c r="P123" t="s">
        <v>74</v>
      </c>
      <c r="Q123" t="s">
        <v>74</v>
      </c>
      <c r="R123" t="s">
        <v>74</v>
      </c>
      <c r="S123" t="s">
        <v>74</v>
      </c>
      <c r="T123" t="s">
        <v>74</v>
      </c>
      <c r="U123" t="s">
        <v>74</v>
      </c>
      <c r="V123" t="s">
        <v>1283</v>
      </c>
      <c r="W123" t="s">
        <v>74</v>
      </c>
      <c r="X123" t="s">
        <v>74</v>
      </c>
      <c r="Y123" t="s">
        <v>74</v>
      </c>
      <c r="Z123" t="s">
        <v>74</v>
      </c>
      <c r="AA123" t="s">
        <v>74</v>
      </c>
      <c r="AB123" t="s">
        <v>1284</v>
      </c>
      <c r="AC123" t="s">
        <v>74</v>
      </c>
      <c r="AD123" t="s">
        <v>74</v>
      </c>
      <c r="AE123" t="s">
        <v>74</v>
      </c>
      <c r="AF123" t="s">
        <v>74</v>
      </c>
      <c r="AG123" t="s">
        <v>74</v>
      </c>
      <c r="AH123" t="s">
        <v>74</v>
      </c>
      <c r="AI123" t="s">
        <v>74</v>
      </c>
      <c r="AJ123" t="s">
        <v>74</v>
      </c>
      <c r="AK123" t="s">
        <v>74</v>
      </c>
      <c r="AL123" t="s">
        <v>74</v>
      </c>
      <c r="AM123" t="s">
        <v>74</v>
      </c>
      <c r="AN123" t="s">
        <v>74</v>
      </c>
      <c r="AO123" t="s">
        <v>74</v>
      </c>
      <c r="AP123" t="s">
        <v>464</v>
      </c>
      <c r="AQ123" t="s">
        <v>74</v>
      </c>
      <c r="AR123" t="s">
        <v>74</v>
      </c>
      <c r="AS123" t="s">
        <v>74</v>
      </c>
      <c r="AT123" t="s">
        <v>465</v>
      </c>
      <c r="AU123">
        <v>2022</v>
      </c>
      <c r="AV123">
        <v>14</v>
      </c>
      <c r="AW123">
        <v>24</v>
      </c>
      <c r="AX123" t="s">
        <v>74</v>
      </c>
      <c r="AY123" t="s">
        <v>74</v>
      </c>
      <c r="AZ123" t="s">
        <v>74</v>
      </c>
      <c r="BA123" t="s">
        <v>74</v>
      </c>
      <c r="BB123" t="s">
        <v>74</v>
      </c>
      <c r="BC123" t="s">
        <v>74</v>
      </c>
      <c r="BD123">
        <v>17037</v>
      </c>
      <c r="BE123" t="s">
        <v>1285</v>
      </c>
      <c r="BF123" t="str">
        <f>HYPERLINK("http://dx.doi.org/10.3390/su142417037","http://dx.doi.org/10.3390/su142417037")</f>
        <v>http://dx.doi.org/10.3390/su142417037</v>
      </c>
      <c r="BG123" t="s">
        <v>74</v>
      </c>
      <c r="BH123" t="s">
        <v>74</v>
      </c>
      <c r="BI123" t="s">
        <v>74</v>
      </c>
      <c r="BJ123" t="s">
        <v>74</v>
      </c>
      <c r="BK123" t="s">
        <v>74</v>
      </c>
      <c r="BL123" t="s">
        <v>74</v>
      </c>
      <c r="BM123" t="s">
        <v>74</v>
      </c>
      <c r="BN123" t="s">
        <v>74</v>
      </c>
      <c r="BO123" t="s">
        <v>74</v>
      </c>
      <c r="BP123" t="s">
        <v>74</v>
      </c>
      <c r="BQ123" t="s">
        <v>74</v>
      </c>
      <c r="BR123" t="s">
        <v>74</v>
      </c>
      <c r="BS123" t="s">
        <v>1286</v>
      </c>
      <c r="BT123" t="str">
        <f>HYPERLINK("https%3A%2F%2Fwww.webofscience.com%2Fwos%2Fwoscc%2Ffull-record%2FWOS:000902599600001","View Full Record in Web of Science")</f>
        <v>View Full Record in Web of Science</v>
      </c>
    </row>
    <row r="124" spans="1:72" x14ac:dyDescent="0.25">
      <c r="A124" t="s">
        <v>72</v>
      </c>
      <c r="B124" t="s">
        <v>1287</v>
      </c>
      <c r="C124" t="s">
        <v>74</v>
      </c>
      <c r="D124" t="s">
        <v>74</v>
      </c>
      <c r="E124" t="s">
        <v>74</v>
      </c>
      <c r="F124" t="s">
        <v>1288</v>
      </c>
      <c r="G124" t="s">
        <v>74</v>
      </c>
      <c r="H124" t="s">
        <v>74</v>
      </c>
      <c r="I124" t="s">
        <v>1289</v>
      </c>
      <c r="J124" t="s">
        <v>1290</v>
      </c>
      <c r="K124" t="s">
        <v>74</v>
      </c>
      <c r="L124" t="s">
        <v>74</v>
      </c>
      <c r="M124" t="s">
        <v>74</v>
      </c>
      <c r="N124" t="s">
        <v>74</v>
      </c>
      <c r="O124" t="s">
        <v>74</v>
      </c>
      <c r="P124" t="s">
        <v>74</v>
      </c>
      <c r="Q124" t="s">
        <v>74</v>
      </c>
      <c r="R124" t="s">
        <v>74</v>
      </c>
      <c r="S124" t="s">
        <v>74</v>
      </c>
      <c r="T124" t="s">
        <v>74</v>
      </c>
      <c r="U124" t="s">
        <v>74</v>
      </c>
      <c r="V124" t="s">
        <v>1291</v>
      </c>
      <c r="W124" t="s">
        <v>74</v>
      </c>
      <c r="X124" t="s">
        <v>74</v>
      </c>
      <c r="Y124" t="s">
        <v>74</v>
      </c>
      <c r="Z124" t="s">
        <v>74</v>
      </c>
      <c r="AA124" t="s">
        <v>1292</v>
      </c>
      <c r="AB124" t="s">
        <v>1293</v>
      </c>
      <c r="AC124" t="s">
        <v>74</v>
      </c>
      <c r="AD124" t="s">
        <v>74</v>
      </c>
      <c r="AE124" t="s">
        <v>74</v>
      </c>
      <c r="AF124" t="s">
        <v>74</v>
      </c>
      <c r="AG124" t="s">
        <v>74</v>
      </c>
      <c r="AH124" t="s">
        <v>74</v>
      </c>
      <c r="AI124" t="s">
        <v>74</v>
      </c>
      <c r="AJ124" t="s">
        <v>74</v>
      </c>
      <c r="AK124" t="s">
        <v>74</v>
      </c>
      <c r="AL124" t="s">
        <v>74</v>
      </c>
      <c r="AM124" t="s">
        <v>74</v>
      </c>
      <c r="AN124" t="s">
        <v>74</v>
      </c>
      <c r="AO124" t="s">
        <v>74</v>
      </c>
      <c r="AP124" t="s">
        <v>1294</v>
      </c>
      <c r="AQ124" t="s">
        <v>74</v>
      </c>
      <c r="AR124" t="s">
        <v>74</v>
      </c>
      <c r="AS124" t="s">
        <v>74</v>
      </c>
      <c r="AT124" t="s">
        <v>389</v>
      </c>
      <c r="AU124">
        <v>2022</v>
      </c>
      <c r="AV124">
        <v>8</v>
      </c>
      <c r="AW124">
        <v>9</v>
      </c>
      <c r="AX124" t="s">
        <v>74</v>
      </c>
      <c r="AY124" t="s">
        <v>74</v>
      </c>
      <c r="AZ124" t="s">
        <v>74</v>
      </c>
      <c r="BA124" t="s">
        <v>74</v>
      </c>
      <c r="BB124" t="s">
        <v>74</v>
      </c>
      <c r="BC124" t="s">
        <v>74</v>
      </c>
      <c r="BD124" t="s">
        <v>1295</v>
      </c>
      <c r="BE124" t="s">
        <v>1296</v>
      </c>
      <c r="BF124" t="str">
        <f>HYPERLINK("http://dx.doi.org/10.1016/j.heliyon.2022.e10562","http://dx.doi.org/10.1016/j.heliyon.2022.e10562")</f>
        <v>http://dx.doi.org/10.1016/j.heliyon.2022.e10562</v>
      </c>
      <c r="BG124" t="s">
        <v>74</v>
      </c>
      <c r="BH124" t="s">
        <v>74</v>
      </c>
      <c r="BI124" t="s">
        <v>74</v>
      </c>
      <c r="BJ124" t="s">
        <v>74</v>
      </c>
      <c r="BK124" t="s">
        <v>74</v>
      </c>
      <c r="BL124" t="s">
        <v>74</v>
      </c>
      <c r="BM124" t="s">
        <v>74</v>
      </c>
      <c r="BN124">
        <v>36132173</v>
      </c>
      <c r="BO124" t="s">
        <v>74</v>
      </c>
      <c r="BP124" t="s">
        <v>74</v>
      </c>
      <c r="BQ124" t="s">
        <v>74</v>
      </c>
      <c r="BR124" t="s">
        <v>74</v>
      </c>
      <c r="BS124" t="s">
        <v>1297</v>
      </c>
      <c r="BT124" t="str">
        <f>HYPERLINK("https%3A%2F%2Fwww.webofscience.com%2Fwos%2Fwoscc%2Ffull-record%2FWOS:000862501000010","View Full Record in Web of Science")</f>
        <v>View Full Record in Web of Science</v>
      </c>
    </row>
    <row r="125" spans="1:72" x14ac:dyDescent="0.25">
      <c r="A125" t="s">
        <v>72</v>
      </c>
      <c r="B125" t="s">
        <v>1298</v>
      </c>
      <c r="C125" t="s">
        <v>74</v>
      </c>
      <c r="D125" t="s">
        <v>74</v>
      </c>
      <c r="E125" t="s">
        <v>74</v>
      </c>
      <c r="F125" t="s">
        <v>1299</v>
      </c>
      <c r="G125" t="s">
        <v>74</v>
      </c>
      <c r="H125" t="s">
        <v>74</v>
      </c>
      <c r="I125" t="s">
        <v>1300</v>
      </c>
      <c r="J125" t="s">
        <v>1301</v>
      </c>
      <c r="K125" t="s">
        <v>74</v>
      </c>
      <c r="L125" t="s">
        <v>74</v>
      </c>
      <c r="M125" t="s">
        <v>74</v>
      </c>
      <c r="N125" t="s">
        <v>74</v>
      </c>
      <c r="O125" t="s">
        <v>74</v>
      </c>
      <c r="P125" t="s">
        <v>74</v>
      </c>
      <c r="Q125" t="s">
        <v>74</v>
      </c>
      <c r="R125" t="s">
        <v>74</v>
      </c>
      <c r="S125" t="s">
        <v>74</v>
      </c>
      <c r="T125" t="s">
        <v>74</v>
      </c>
      <c r="U125" t="s">
        <v>74</v>
      </c>
      <c r="V125" t="s">
        <v>1302</v>
      </c>
      <c r="W125" t="s">
        <v>74</v>
      </c>
      <c r="X125" t="s">
        <v>74</v>
      </c>
      <c r="Y125" t="s">
        <v>74</v>
      </c>
      <c r="Z125" t="s">
        <v>74</v>
      </c>
      <c r="AA125" t="s">
        <v>74</v>
      </c>
      <c r="AB125" t="s">
        <v>1303</v>
      </c>
      <c r="AC125" t="s">
        <v>74</v>
      </c>
      <c r="AD125" t="s">
        <v>74</v>
      </c>
      <c r="AE125" t="s">
        <v>74</v>
      </c>
      <c r="AF125" t="s">
        <v>74</v>
      </c>
      <c r="AG125" t="s">
        <v>74</v>
      </c>
      <c r="AH125" t="s">
        <v>74</v>
      </c>
      <c r="AI125" t="s">
        <v>74</v>
      </c>
      <c r="AJ125" t="s">
        <v>74</v>
      </c>
      <c r="AK125" t="s">
        <v>74</v>
      </c>
      <c r="AL125" t="s">
        <v>74</v>
      </c>
      <c r="AM125" t="s">
        <v>74</v>
      </c>
      <c r="AN125" t="s">
        <v>74</v>
      </c>
      <c r="AO125" t="s">
        <v>1304</v>
      </c>
      <c r="AP125" t="s">
        <v>74</v>
      </c>
      <c r="AQ125" t="s">
        <v>74</v>
      </c>
      <c r="AR125" t="s">
        <v>74</v>
      </c>
      <c r="AS125" t="s">
        <v>74</v>
      </c>
      <c r="AT125" t="s">
        <v>1305</v>
      </c>
      <c r="AU125">
        <v>2022</v>
      </c>
      <c r="AV125">
        <v>9</v>
      </c>
      <c r="AW125">
        <v>10</v>
      </c>
      <c r="AX125" t="s">
        <v>74</v>
      </c>
      <c r="AY125" t="s">
        <v>74</v>
      </c>
      <c r="AZ125" t="s">
        <v>74</v>
      </c>
      <c r="BA125" t="s">
        <v>74</v>
      </c>
      <c r="BB125" t="s">
        <v>74</v>
      </c>
      <c r="BC125" t="s">
        <v>74</v>
      </c>
      <c r="BD125" t="s">
        <v>1306</v>
      </c>
      <c r="BE125" t="s">
        <v>1307</v>
      </c>
      <c r="BF125" t="str">
        <f>HYPERLINK("http://dx.doi.org/10.2196/40410","http://dx.doi.org/10.2196/40410")</f>
        <v>http://dx.doi.org/10.2196/40410</v>
      </c>
      <c r="BG125" t="s">
        <v>74</v>
      </c>
      <c r="BH125" t="s">
        <v>74</v>
      </c>
      <c r="BI125" t="s">
        <v>74</v>
      </c>
      <c r="BJ125" t="s">
        <v>74</v>
      </c>
      <c r="BK125" t="s">
        <v>74</v>
      </c>
      <c r="BL125" t="s">
        <v>74</v>
      </c>
      <c r="BM125" t="s">
        <v>74</v>
      </c>
      <c r="BN125">
        <v>36306155</v>
      </c>
      <c r="BO125" t="s">
        <v>74</v>
      </c>
      <c r="BP125" t="s">
        <v>74</v>
      </c>
      <c r="BQ125" t="s">
        <v>74</v>
      </c>
      <c r="BR125" t="s">
        <v>74</v>
      </c>
      <c r="BS125" t="s">
        <v>1308</v>
      </c>
      <c r="BT125" t="str">
        <f>HYPERLINK("https%3A%2F%2Fwww.webofscience.com%2Fwos%2Fwoscc%2Ffull-record%2FWOS:000952994600001","View Full Record in Web of Science")</f>
        <v>View Full Record in Web of Science</v>
      </c>
    </row>
    <row r="126" spans="1:72" x14ac:dyDescent="0.25">
      <c r="A126" t="s">
        <v>72</v>
      </c>
      <c r="B126" t="s">
        <v>1309</v>
      </c>
      <c r="C126" t="s">
        <v>74</v>
      </c>
      <c r="D126" t="s">
        <v>74</v>
      </c>
      <c r="E126" t="s">
        <v>74</v>
      </c>
      <c r="F126" t="s">
        <v>1310</v>
      </c>
      <c r="G126" t="s">
        <v>74</v>
      </c>
      <c r="H126" t="s">
        <v>74</v>
      </c>
      <c r="I126" t="s">
        <v>1311</v>
      </c>
      <c r="J126" t="s">
        <v>421</v>
      </c>
      <c r="K126" t="s">
        <v>74</v>
      </c>
      <c r="L126" t="s">
        <v>74</v>
      </c>
      <c r="M126" t="s">
        <v>74</v>
      </c>
      <c r="N126" t="s">
        <v>74</v>
      </c>
      <c r="O126" t="s">
        <v>74</v>
      </c>
      <c r="P126" t="s">
        <v>74</v>
      </c>
      <c r="Q126" t="s">
        <v>74</v>
      </c>
      <c r="R126" t="s">
        <v>74</v>
      </c>
      <c r="S126" t="s">
        <v>74</v>
      </c>
      <c r="T126" t="s">
        <v>74</v>
      </c>
      <c r="U126" t="s">
        <v>74</v>
      </c>
      <c r="V126" t="s">
        <v>1312</v>
      </c>
      <c r="W126" t="s">
        <v>74</v>
      </c>
      <c r="X126" t="s">
        <v>74</v>
      </c>
      <c r="Y126" t="s">
        <v>74</v>
      </c>
      <c r="Z126" t="s">
        <v>74</v>
      </c>
      <c r="AA126" t="s">
        <v>1313</v>
      </c>
      <c r="AB126" t="s">
        <v>1314</v>
      </c>
      <c r="AC126" t="s">
        <v>74</v>
      </c>
      <c r="AD126" t="s">
        <v>74</v>
      </c>
      <c r="AE126" t="s">
        <v>74</v>
      </c>
      <c r="AF126" t="s">
        <v>74</v>
      </c>
      <c r="AG126" t="s">
        <v>74</v>
      </c>
      <c r="AH126" t="s">
        <v>74</v>
      </c>
      <c r="AI126" t="s">
        <v>74</v>
      </c>
      <c r="AJ126" t="s">
        <v>74</v>
      </c>
      <c r="AK126" t="s">
        <v>74</v>
      </c>
      <c r="AL126" t="s">
        <v>74</v>
      </c>
      <c r="AM126" t="s">
        <v>74</v>
      </c>
      <c r="AN126" t="s">
        <v>74</v>
      </c>
      <c r="AO126" t="s">
        <v>423</v>
      </c>
      <c r="AP126" t="s">
        <v>424</v>
      </c>
      <c r="AQ126" t="s">
        <v>74</v>
      </c>
      <c r="AR126" t="s">
        <v>74</v>
      </c>
      <c r="AS126" t="s">
        <v>74</v>
      </c>
      <c r="AT126" t="s">
        <v>74</v>
      </c>
      <c r="AU126" t="s">
        <v>74</v>
      </c>
      <c r="AV126" t="s">
        <v>74</v>
      </c>
      <c r="AW126" t="s">
        <v>74</v>
      </c>
      <c r="AX126" t="s">
        <v>74</v>
      </c>
      <c r="AY126" t="s">
        <v>74</v>
      </c>
      <c r="AZ126" t="s">
        <v>74</v>
      </c>
      <c r="BA126" t="s">
        <v>74</v>
      </c>
      <c r="BB126" t="s">
        <v>74</v>
      </c>
      <c r="BC126" t="s">
        <v>74</v>
      </c>
      <c r="BD126" t="s">
        <v>74</v>
      </c>
      <c r="BE126" t="s">
        <v>1315</v>
      </c>
      <c r="BF126" t="str">
        <f>HYPERLINK("http://dx.doi.org/10.1109/TSMC.2022.3229213","http://dx.doi.org/10.1109/TSMC.2022.3229213")</f>
        <v>http://dx.doi.org/10.1109/TSMC.2022.3229213</v>
      </c>
      <c r="BG126" t="s">
        <v>74</v>
      </c>
      <c r="BH126" t="s">
        <v>426</v>
      </c>
      <c r="BI126" t="s">
        <v>74</v>
      </c>
      <c r="BJ126" t="s">
        <v>74</v>
      </c>
      <c r="BK126" t="s">
        <v>74</v>
      </c>
      <c r="BL126" t="s">
        <v>74</v>
      </c>
      <c r="BM126" t="s">
        <v>74</v>
      </c>
      <c r="BN126" t="s">
        <v>74</v>
      </c>
      <c r="BO126" t="s">
        <v>74</v>
      </c>
      <c r="BP126" t="s">
        <v>74</v>
      </c>
      <c r="BQ126" t="s">
        <v>74</v>
      </c>
      <c r="BR126" t="s">
        <v>74</v>
      </c>
      <c r="BS126" t="s">
        <v>1316</v>
      </c>
      <c r="BT126" t="str">
        <f>HYPERLINK("https%3A%2F%2Fwww.webofscience.com%2Fwos%2Fwoscc%2Ffull-record%2FWOS:000903530200001","View Full Record in Web of Science")</f>
        <v>View Full Record in Web of Science</v>
      </c>
    </row>
    <row r="127" spans="1:72" x14ac:dyDescent="0.25">
      <c r="A127" t="s">
        <v>72</v>
      </c>
      <c r="B127" t="s">
        <v>428</v>
      </c>
      <c r="C127" t="s">
        <v>74</v>
      </c>
      <c r="D127" t="s">
        <v>74</v>
      </c>
      <c r="E127" t="s">
        <v>74</v>
      </c>
      <c r="F127" t="s">
        <v>429</v>
      </c>
      <c r="G127" t="s">
        <v>74</v>
      </c>
      <c r="H127" t="s">
        <v>74</v>
      </c>
      <c r="I127" t="s">
        <v>1317</v>
      </c>
      <c r="J127" t="s">
        <v>305</v>
      </c>
      <c r="K127" t="s">
        <v>74</v>
      </c>
      <c r="L127" t="s">
        <v>74</v>
      </c>
      <c r="M127" t="s">
        <v>74</v>
      </c>
      <c r="N127" t="s">
        <v>74</v>
      </c>
      <c r="O127" t="s">
        <v>74</v>
      </c>
      <c r="P127" t="s">
        <v>74</v>
      </c>
      <c r="Q127" t="s">
        <v>74</v>
      </c>
      <c r="R127" t="s">
        <v>74</v>
      </c>
      <c r="S127" t="s">
        <v>74</v>
      </c>
      <c r="T127" t="s">
        <v>74</v>
      </c>
      <c r="U127" t="s">
        <v>74</v>
      </c>
      <c r="V127" t="s">
        <v>1318</v>
      </c>
      <c r="W127" t="s">
        <v>74</v>
      </c>
      <c r="X127" t="s">
        <v>74</v>
      </c>
      <c r="Y127" t="s">
        <v>74</v>
      </c>
      <c r="Z127" t="s">
        <v>74</v>
      </c>
      <c r="AA127" t="s">
        <v>74</v>
      </c>
      <c r="AB127" t="s">
        <v>74</v>
      </c>
      <c r="AC127" t="s">
        <v>74</v>
      </c>
      <c r="AD127" t="s">
        <v>74</v>
      </c>
      <c r="AE127" t="s">
        <v>74</v>
      </c>
      <c r="AF127" t="s">
        <v>74</v>
      </c>
      <c r="AG127" t="s">
        <v>74</v>
      </c>
      <c r="AH127" t="s">
        <v>74</v>
      </c>
      <c r="AI127" t="s">
        <v>74</v>
      </c>
      <c r="AJ127" t="s">
        <v>74</v>
      </c>
      <c r="AK127" t="s">
        <v>74</v>
      </c>
      <c r="AL127" t="s">
        <v>74</v>
      </c>
      <c r="AM127" t="s">
        <v>74</v>
      </c>
      <c r="AN127" t="s">
        <v>74</v>
      </c>
      <c r="AO127" t="s">
        <v>307</v>
      </c>
      <c r="AP127" t="s">
        <v>308</v>
      </c>
      <c r="AQ127" t="s">
        <v>74</v>
      </c>
      <c r="AR127" t="s">
        <v>74</v>
      </c>
      <c r="AS127" t="s">
        <v>74</v>
      </c>
      <c r="AT127" t="s">
        <v>730</v>
      </c>
      <c r="AU127">
        <v>2022</v>
      </c>
      <c r="AV127">
        <v>24</v>
      </c>
      <c r="AW127">
        <v>2</v>
      </c>
      <c r="AX127" t="s">
        <v>74</v>
      </c>
      <c r="AY127" t="s">
        <v>74</v>
      </c>
      <c r="AZ127" t="s">
        <v>74</v>
      </c>
      <c r="BA127" t="s">
        <v>74</v>
      </c>
      <c r="BB127">
        <v>11</v>
      </c>
      <c r="BC127">
        <v>15</v>
      </c>
      <c r="BD127" t="s">
        <v>74</v>
      </c>
      <c r="BE127" t="s">
        <v>1319</v>
      </c>
      <c r="BF127" t="str">
        <f>HYPERLINK("http://dx.doi.org/10.1109/MITP.2022.3157206","http://dx.doi.org/10.1109/MITP.2022.3157206")</f>
        <v>http://dx.doi.org/10.1109/MITP.2022.3157206</v>
      </c>
      <c r="BG127" t="s">
        <v>74</v>
      </c>
      <c r="BH127" t="s">
        <v>74</v>
      </c>
      <c r="BI127" t="s">
        <v>74</v>
      </c>
      <c r="BJ127" t="s">
        <v>74</v>
      </c>
      <c r="BK127" t="s">
        <v>74</v>
      </c>
      <c r="BL127" t="s">
        <v>74</v>
      </c>
      <c r="BM127" t="s">
        <v>74</v>
      </c>
      <c r="BN127" t="s">
        <v>74</v>
      </c>
      <c r="BO127" t="s">
        <v>74</v>
      </c>
      <c r="BP127" t="s">
        <v>74</v>
      </c>
      <c r="BQ127" t="s">
        <v>74</v>
      </c>
      <c r="BR127" t="s">
        <v>74</v>
      </c>
      <c r="BS127" t="s">
        <v>1320</v>
      </c>
      <c r="BT127" t="str">
        <f>HYPERLINK("https%3A%2F%2Fwww.webofscience.com%2Fwos%2Fwoscc%2Ffull-record%2FWOS:000803110800003","View Full Record in Web of Science")</f>
        <v>View Full Record in Web of Science</v>
      </c>
    </row>
    <row r="128" spans="1:72" x14ac:dyDescent="0.25">
      <c r="A128" t="s">
        <v>84</v>
      </c>
      <c r="B128" t="s">
        <v>1321</v>
      </c>
      <c r="C128" t="s">
        <v>74</v>
      </c>
      <c r="D128" t="s">
        <v>74</v>
      </c>
      <c r="E128" t="s">
        <v>86</v>
      </c>
      <c r="F128" t="s">
        <v>1322</v>
      </c>
      <c r="G128" t="s">
        <v>74</v>
      </c>
      <c r="H128" t="s">
        <v>74</v>
      </c>
      <c r="I128" t="s">
        <v>1323</v>
      </c>
      <c r="J128" t="s">
        <v>1324</v>
      </c>
      <c r="K128" t="s">
        <v>1325</v>
      </c>
      <c r="L128" t="s">
        <v>74</v>
      </c>
      <c r="M128" t="s">
        <v>74</v>
      </c>
      <c r="N128" t="s">
        <v>74</v>
      </c>
      <c r="O128" t="s">
        <v>1326</v>
      </c>
      <c r="P128" t="s">
        <v>1327</v>
      </c>
      <c r="Q128" t="s">
        <v>1328</v>
      </c>
      <c r="R128" t="s">
        <v>74</v>
      </c>
      <c r="S128" t="s">
        <v>74</v>
      </c>
      <c r="T128" t="s">
        <v>74</v>
      </c>
      <c r="U128" t="s">
        <v>74</v>
      </c>
      <c r="V128" t="s">
        <v>1329</v>
      </c>
      <c r="W128" t="s">
        <v>74</v>
      </c>
      <c r="X128" t="s">
        <v>74</v>
      </c>
      <c r="Y128" t="s">
        <v>74</v>
      </c>
      <c r="Z128" t="s">
        <v>74</v>
      </c>
      <c r="AA128" t="s">
        <v>74</v>
      </c>
      <c r="AB128" t="s">
        <v>1330</v>
      </c>
      <c r="AC128" t="s">
        <v>74</v>
      </c>
      <c r="AD128" t="s">
        <v>74</v>
      </c>
      <c r="AE128" t="s">
        <v>74</v>
      </c>
      <c r="AF128" t="s">
        <v>74</v>
      </c>
      <c r="AG128" t="s">
        <v>74</v>
      </c>
      <c r="AH128" t="s">
        <v>74</v>
      </c>
      <c r="AI128" t="s">
        <v>74</v>
      </c>
      <c r="AJ128" t="s">
        <v>74</v>
      </c>
      <c r="AK128" t="s">
        <v>74</v>
      </c>
      <c r="AL128" t="s">
        <v>74</v>
      </c>
      <c r="AM128" t="s">
        <v>74</v>
      </c>
      <c r="AN128" t="s">
        <v>74</v>
      </c>
      <c r="AO128" t="s">
        <v>1331</v>
      </c>
      <c r="AP128" t="s">
        <v>74</v>
      </c>
      <c r="AQ128" t="s">
        <v>1332</v>
      </c>
      <c r="AR128" t="s">
        <v>74</v>
      </c>
      <c r="AS128" t="s">
        <v>74</v>
      </c>
      <c r="AT128" t="s">
        <v>74</v>
      </c>
      <c r="AU128">
        <v>2022</v>
      </c>
      <c r="AV128" t="s">
        <v>74</v>
      </c>
      <c r="AW128" t="s">
        <v>74</v>
      </c>
      <c r="AX128" t="s">
        <v>74</v>
      </c>
      <c r="AY128" t="s">
        <v>74</v>
      </c>
      <c r="AZ128" t="s">
        <v>74</v>
      </c>
      <c r="BA128" t="s">
        <v>74</v>
      </c>
      <c r="BB128" t="s">
        <v>74</v>
      </c>
      <c r="BC128" t="s">
        <v>74</v>
      </c>
      <c r="BD128" t="s">
        <v>74</v>
      </c>
      <c r="BE128" t="s">
        <v>1333</v>
      </c>
      <c r="BF128" t="str">
        <f>HYPERLINK("http://dx.doi.org/10.1109/WPMC55625.2022.10014794","http://dx.doi.org/10.1109/WPMC55625.2022.10014794")</f>
        <v>http://dx.doi.org/10.1109/WPMC55625.2022.10014794</v>
      </c>
      <c r="BG128" t="s">
        <v>74</v>
      </c>
      <c r="BH128" t="s">
        <v>74</v>
      </c>
      <c r="BI128" t="s">
        <v>74</v>
      </c>
      <c r="BJ128" t="s">
        <v>74</v>
      </c>
      <c r="BK128" t="s">
        <v>74</v>
      </c>
      <c r="BL128" t="s">
        <v>74</v>
      </c>
      <c r="BM128" t="s">
        <v>74</v>
      </c>
      <c r="BN128" t="s">
        <v>74</v>
      </c>
      <c r="BO128" t="s">
        <v>74</v>
      </c>
      <c r="BP128" t="s">
        <v>74</v>
      </c>
      <c r="BQ128" t="s">
        <v>74</v>
      </c>
      <c r="BR128" t="s">
        <v>74</v>
      </c>
      <c r="BS128" t="s">
        <v>1334</v>
      </c>
      <c r="BT128" t="str">
        <f>HYPERLINK("https%3A%2F%2Fwww.webofscience.com%2Fwos%2Fwoscc%2Ffull-record%2FWOS:000947852500091","View Full Record in Web of Science")</f>
        <v>View Full Record in Web of Science</v>
      </c>
    </row>
    <row r="129" spans="1:72" x14ac:dyDescent="0.25">
      <c r="A129" t="s">
        <v>72</v>
      </c>
      <c r="B129" t="s">
        <v>1335</v>
      </c>
      <c r="C129" t="s">
        <v>74</v>
      </c>
      <c r="D129" t="s">
        <v>74</v>
      </c>
      <c r="E129" t="s">
        <v>74</v>
      </c>
      <c r="F129" t="s">
        <v>1336</v>
      </c>
      <c r="G129" t="s">
        <v>74</v>
      </c>
      <c r="H129" t="s">
        <v>74</v>
      </c>
      <c r="I129" t="s">
        <v>1337</v>
      </c>
      <c r="J129" t="s">
        <v>421</v>
      </c>
      <c r="K129" t="s">
        <v>74</v>
      </c>
      <c r="L129" t="s">
        <v>74</v>
      </c>
      <c r="M129" t="s">
        <v>74</v>
      </c>
      <c r="N129" t="s">
        <v>74</v>
      </c>
      <c r="O129" t="s">
        <v>74</v>
      </c>
      <c r="P129" t="s">
        <v>74</v>
      </c>
      <c r="Q129" t="s">
        <v>74</v>
      </c>
      <c r="R129" t="s">
        <v>74</v>
      </c>
      <c r="S129" t="s">
        <v>74</v>
      </c>
      <c r="T129" t="s">
        <v>74</v>
      </c>
      <c r="U129" t="s">
        <v>74</v>
      </c>
      <c r="V129" t="s">
        <v>1338</v>
      </c>
      <c r="W129" t="s">
        <v>74</v>
      </c>
      <c r="X129" t="s">
        <v>74</v>
      </c>
      <c r="Y129" t="s">
        <v>74</v>
      </c>
      <c r="Z129" t="s">
        <v>74</v>
      </c>
      <c r="AA129" t="s">
        <v>1339</v>
      </c>
      <c r="AB129" t="s">
        <v>1340</v>
      </c>
      <c r="AC129" t="s">
        <v>74</v>
      </c>
      <c r="AD129" t="s">
        <v>74</v>
      </c>
      <c r="AE129" t="s">
        <v>74</v>
      </c>
      <c r="AF129" t="s">
        <v>74</v>
      </c>
      <c r="AG129" t="s">
        <v>74</v>
      </c>
      <c r="AH129" t="s">
        <v>74</v>
      </c>
      <c r="AI129" t="s">
        <v>74</v>
      </c>
      <c r="AJ129" t="s">
        <v>74</v>
      </c>
      <c r="AK129" t="s">
        <v>74</v>
      </c>
      <c r="AL129" t="s">
        <v>74</v>
      </c>
      <c r="AM129" t="s">
        <v>74</v>
      </c>
      <c r="AN129" t="s">
        <v>74</v>
      </c>
      <c r="AO129" t="s">
        <v>423</v>
      </c>
      <c r="AP129" t="s">
        <v>424</v>
      </c>
      <c r="AQ129" t="s">
        <v>74</v>
      </c>
      <c r="AR129" t="s">
        <v>74</v>
      </c>
      <c r="AS129" t="s">
        <v>74</v>
      </c>
      <c r="AT129" t="s">
        <v>74</v>
      </c>
      <c r="AU129" t="s">
        <v>74</v>
      </c>
      <c r="AV129" t="s">
        <v>74</v>
      </c>
      <c r="AW129" t="s">
        <v>74</v>
      </c>
      <c r="AX129" t="s">
        <v>74</v>
      </c>
      <c r="AY129" t="s">
        <v>74</v>
      </c>
      <c r="AZ129" t="s">
        <v>74</v>
      </c>
      <c r="BA129" t="s">
        <v>74</v>
      </c>
      <c r="BB129" t="s">
        <v>74</v>
      </c>
      <c r="BC129" t="s">
        <v>74</v>
      </c>
      <c r="BD129" t="s">
        <v>74</v>
      </c>
      <c r="BE129" t="s">
        <v>1341</v>
      </c>
      <c r="BF129" t="str">
        <f>HYPERLINK("http://dx.doi.org/10.1109/TSMC.2022.3228314","http://dx.doi.org/10.1109/TSMC.2022.3228314")</f>
        <v>http://dx.doi.org/10.1109/TSMC.2022.3228314</v>
      </c>
      <c r="BG129" t="s">
        <v>74</v>
      </c>
      <c r="BH129" t="s">
        <v>426</v>
      </c>
      <c r="BI129" t="s">
        <v>74</v>
      </c>
      <c r="BJ129" t="s">
        <v>74</v>
      </c>
      <c r="BK129" t="s">
        <v>74</v>
      </c>
      <c r="BL129" t="s">
        <v>74</v>
      </c>
      <c r="BM129" t="s">
        <v>74</v>
      </c>
      <c r="BN129" t="s">
        <v>74</v>
      </c>
      <c r="BO129" t="s">
        <v>74</v>
      </c>
      <c r="BP129" t="s">
        <v>74</v>
      </c>
      <c r="BQ129" t="s">
        <v>74</v>
      </c>
      <c r="BR129" t="s">
        <v>74</v>
      </c>
      <c r="BS129" t="s">
        <v>1342</v>
      </c>
      <c r="BT129" t="str">
        <f>HYPERLINK("https%3A%2F%2Fwww.webofscience.com%2Fwos%2Fwoscc%2Ffull-record%2FWOS:000903354500001","View Full Record in Web of Science")</f>
        <v>View Full Record in Web of Science</v>
      </c>
    </row>
    <row r="130" spans="1:72" x14ac:dyDescent="0.25">
      <c r="A130" t="s">
        <v>84</v>
      </c>
      <c r="B130" t="s">
        <v>1343</v>
      </c>
      <c r="C130" t="s">
        <v>74</v>
      </c>
      <c r="D130" t="s">
        <v>1344</v>
      </c>
      <c r="E130" t="s">
        <v>74</v>
      </c>
      <c r="F130" t="s">
        <v>1345</v>
      </c>
      <c r="G130" t="s">
        <v>74</v>
      </c>
      <c r="H130" t="s">
        <v>74</v>
      </c>
      <c r="I130" t="s">
        <v>1346</v>
      </c>
      <c r="J130" t="s">
        <v>1347</v>
      </c>
      <c r="K130" t="s">
        <v>158</v>
      </c>
      <c r="L130" t="s">
        <v>74</v>
      </c>
      <c r="M130" t="s">
        <v>74</v>
      </c>
      <c r="N130" t="s">
        <v>74</v>
      </c>
      <c r="O130" t="s">
        <v>1348</v>
      </c>
      <c r="P130" t="s">
        <v>1349</v>
      </c>
      <c r="Q130" t="s">
        <v>1350</v>
      </c>
      <c r="R130" t="s">
        <v>74</v>
      </c>
      <c r="S130" t="s">
        <v>1351</v>
      </c>
      <c r="T130" t="s">
        <v>74</v>
      </c>
      <c r="U130" t="s">
        <v>74</v>
      </c>
      <c r="V130" t="s">
        <v>1352</v>
      </c>
      <c r="W130" t="s">
        <v>74</v>
      </c>
      <c r="X130" t="s">
        <v>74</v>
      </c>
      <c r="Y130" t="s">
        <v>74</v>
      </c>
      <c r="Z130" t="s">
        <v>74</v>
      </c>
      <c r="AA130" t="s">
        <v>74</v>
      </c>
      <c r="AB130" t="s">
        <v>1353</v>
      </c>
      <c r="AC130" t="s">
        <v>74</v>
      </c>
      <c r="AD130" t="s">
        <v>74</v>
      </c>
      <c r="AE130" t="s">
        <v>74</v>
      </c>
      <c r="AF130" t="s">
        <v>74</v>
      </c>
      <c r="AG130" t="s">
        <v>74</v>
      </c>
      <c r="AH130" t="s">
        <v>74</v>
      </c>
      <c r="AI130" t="s">
        <v>74</v>
      </c>
      <c r="AJ130" t="s">
        <v>74</v>
      </c>
      <c r="AK130" t="s">
        <v>74</v>
      </c>
      <c r="AL130" t="s">
        <v>74</v>
      </c>
      <c r="AM130" t="s">
        <v>74</v>
      </c>
      <c r="AN130" t="s">
        <v>74</v>
      </c>
      <c r="AO130" t="s">
        <v>164</v>
      </c>
      <c r="AP130" t="s">
        <v>165</v>
      </c>
      <c r="AQ130" t="s">
        <v>1354</v>
      </c>
      <c r="AR130" t="s">
        <v>74</v>
      </c>
      <c r="AS130" t="s">
        <v>74</v>
      </c>
      <c r="AT130" t="s">
        <v>74</v>
      </c>
      <c r="AU130">
        <v>2022</v>
      </c>
      <c r="AV130">
        <v>13606</v>
      </c>
      <c r="AW130" t="s">
        <v>74</v>
      </c>
      <c r="AX130" t="s">
        <v>74</v>
      </c>
      <c r="AY130" t="s">
        <v>74</v>
      </c>
      <c r="AZ130" t="s">
        <v>74</v>
      </c>
      <c r="BA130" t="s">
        <v>74</v>
      </c>
      <c r="BB130">
        <v>559</v>
      </c>
      <c r="BC130">
        <v>563</v>
      </c>
      <c r="BD130" t="s">
        <v>74</v>
      </c>
      <c r="BE130" t="s">
        <v>1355</v>
      </c>
      <c r="BF130" t="str">
        <f>HYPERLINK("http://dx.doi.org/10.1007/978-3-031-20503-3_49","http://dx.doi.org/10.1007/978-3-031-20503-3_49")</f>
        <v>http://dx.doi.org/10.1007/978-3-031-20503-3_49</v>
      </c>
      <c r="BG130" t="s">
        <v>74</v>
      </c>
      <c r="BH130" t="s">
        <v>74</v>
      </c>
      <c r="BI130" t="s">
        <v>74</v>
      </c>
      <c r="BJ130" t="s">
        <v>74</v>
      </c>
      <c r="BK130" t="s">
        <v>74</v>
      </c>
      <c r="BL130" t="s">
        <v>74</v>
      </c>
      <c r="BM130" t="s">
        <v>74</v>
      </c>
      <c r="BN130" t="s">
        <v>74</v>
      </c>
      <c r="BO130" t="s">
        <v>74</v>
      </c>
      <c r="BP130" t="s">
        <v>74</v>
      </c>
      <c r="BQ130" t="s">
        <v>74</v>
      </c>
      <c r="BR130" t="s">
        <v>74</v>
      </c>
      <c r="BS130" t="s">
        <v>1356</v>
      </c>
      <c r="BT130" t="str">
        <f>HYPERLINK("https%3A%2F%2Fwww.webofscience.com%2Fwos%2Fwoscc%2Ffull-record%2FWOS:000916066400048","View Full Record in Web of Science")</f>
        <v>View Full Record in Web of Science</v>
      </c>
    </row>
    <row r="131" spans="1:72" x14ac:dyDescent="0.25">
      <c r="A131" t="s">
        <v>72</v>
      </c>
      <c r="B131" t="s">
        <v>1357</v>
      </c>
      <c r="C131" t="s">
        <v>74</v>
      </c>
      <c r="D131" t="s">
        <v>74</v>
      </c>
      <c r="E131" t="s">
        <v>74</v>
      </c>
      <c r="F131" t="s">
        <v>1358</v>
      </c>
      <c r="G131" t="s">
        <v>74</v>
      </c>
      <c r="H131" t="s">
        <v>74</v>
      </c>
      <c r="I131" t="s">
        <v>1359</v>
      </c>
      <c r="J131" t="s">
        <v>1360</v>
      </c>
      <c r="K131" t="s">
        <v>74</v>
      </c>
      <c r="L131" t="s">
        <v>74</v>
      </c>
      <c r="M131" t="s">
        <v>74</v>
      </c>
      <c r="N131" t="s">
        <v>74</v>
      </c>
      <c r="O131" t="s">
        <v>74</v>
      </c>
      <c r="P131" t="s">
        <v>74</v>
      </c>
      <c r="Q131" t="s">
        <v>74</v>
      </c>
      <c r="R131" t="s">
        <v>74</v>
      </c>
      <c r="S131" t="s">
        <v>74</v>
      </c>
      <c r="T131" t="s">
        <v>74</v>
      </c>
      <c r="U131" t="s">
        <v>74</v>
      </c>
      <c r="V131" t="s">
        <v>1361</v>
      </c>
      <c r="W131" t="s">
        <v>74</v>
      </c>
      <c r="X131" t="s">
        <v>74</v>
      </c>
      <c r="Y131" t="s">
        <v>74</v>
      </c>
      <c r="Z131" t="s">
        <v>74</v>
      </c>
      <c r="AA131" t="s">
        <v>74</v>
      </c>
      <c r="AB131" t="s">
        <v>1362</v>
      </c>
      <c r="AC131" t="s">
        <v>74</v>
      </c>
      <c r="AD131" t="s">
        <v>74</v>
      </c>
      <c r="AE131" t="s">
        <v>74</v>
      </c>
      <c r="AF131" t="s">
        <v>74</v>
      </c>
      <c r="AG131" t="s">
        <v>74</v>
      </c>
      <c r="AH131" t="s">
        <v>74</v>
      </c>
      <c r="AI131" t="s">
        <v>74</v>
      </c>
      <c r="AJ131" t="s">
        <v>74</v>
      </c>
      <c r="AK131" t="s">
        <v>74</v>
      </c>
      <c r="AL131" t="s">
        <v>74</v>
      </c>
      <c r="AM131" t="s">
        <v>74</v>
      </c>
      <c r="AN131" t="s">
        <v>74</v>
      </c>
      <c r="AO131" t="s">
        <v>1363</v>
      </c>
      <c r="AP131" t="s">
        <v>1364</v>
      </c>
      <c r="AQ131" t="s">
        <v>74</v>
      </c>
      <c r="AR131" t="s">
        <v>74</v>
      </c>
      <c r="AS131" t="s">
        <v>74</v>
      </c>
      <c r="AT131" t="s">
        <v>1365</v>
      </c>
      <c r="AU131">
        <v>2022</v>
      </c>
      <c r="AV131">
        <v>43</v>
      </c>
      <c r="AW131">
        <v>28</v>
      </c>
      <c r="AX131" t="s">
        <v>74</v>
      </c>
      <c r="AY131" t="s">
        <v>74</v>
      </c>
      <c r="AZ131" t="s">
        <v>1366</v>
      </c>
      <c r="BA131" t="s">
        <v>74</v>
      </c>
      <c r="BB131">
        <v>2647</v>
      </c>
      <c r="BC131">
        <v>2649</v>
      </c>
      <c r="BD131" t="s">
        <v>74</v>
      </c>
      <c r="BE131" t="s">
        <v>1367</v>
      </c>
      <c r="BF131" t="str">
        <f>HYPERLINK("http://dx.doi.org/10.1093/eurheartj/ehac231","http://dx.doi.org/10.1093/eurheartj/ehac231")</f>
        <v>http://dx.doi.org/10.1093/eurheartj/ehac231</v>
      </c>
      <c r="BG131" t="s">
        <v>74</v>
      </c>
      <c r="BH131" t="s">
        <v>1368</v>
      </c>
      <c r="BI131" t="s">
        <v>74</v>
      </c>
      <c r="BJ131" t="s">
        <v>74</v>
      </c>
      <c r="BK131" t="s">
        <v>74</v>
      </c>
      <c r="BL131" t="s">
        <v>74</v>
      </c>
      <c r="BM131" t="s">
        <v>74</v>
      </c>
      <c r="BN131">
        <v>35598033</v>
      </c>
      <c r="BO131" t="s">
        <v>74</v>
      </c>
      <c r="BP131" t="s">
        <v>74</v>
      </c>
      <c r="BQ131" t="s">
        <v>74</v>
      </c>
      <c r="BR131" t="s">
        <v>74</v>
      </c>
      <c r="BS131" t="s">
        <v>1369</v>
      </c>
      <c r="BT131" t="str">
        <f>HYPERLINK("https%3A%2F%2Fwww.webofscience.com%2Fwos%2Fwoscc%2Ffull-record%2FWOS:000798409800001","View Full Record in Web of Science")</f>
        <v>View Full Record in Web of Science</v>
      </c>
    </row>
    <row r="132" spans="1:72" x14ac:dyDescent="0.25">
      <c r="A132" t="s">
        <v>84</v>
      </c>
      <c r="B132" t="s">
        <v>1370</v>
      </c>
      <c r="C132" t="s">
        <v>74</v>
      </c>
      <c r="D132" t="s">
        <v>1371</v>
      </c>
      <c r="E132" t="s">
        <v>74</v>
      </c>
      <c r="F132" t="s">
        <v>1372</v>
      </c>
      <c r="G132" t="s">
        <v>74</v>
      </c>
      <c r="H132" t="s">
        <v>74</v>
      </c>
      <c r="I132" t="s">
        <v>1373</v>
      </c>
      <c r="J132" t="s">
        <v>1374</v>
      </c>
      <c r="K132" t="s">
        <v>74</v>
      </c>
      <c r="L132" t="s">
        <v>74</v>
      </c>
      <c r="M132" t="s">
        <v>74</v>
      </c>
      <c r="N132" t="s">
        <v>74</v>
      </c>
      <c r="O132" t="s">
        <v>1375</v>
      </c>
      <c r="P132" t="s">
        <v>1376</v>
      </c>
      <c r="Q132" t="s">
        <v>108</v>
      </c>
      <c r="R132" t="s">
        <v>241</v>
      </c>
      <c r="S132" t="s">
        <v>74</v>
      </c>
      <c r="T132" t="s">
        <v>74</v>
      </c>
      <c r="U132" t="s">
        <v>74</v>
      </c>
      <c r="V132" t="s">
        <v>1377</v>
      </c>
      <c r="W132" t="s">
        <v>74</v>
      </c>
      <c r="X132" t="s">
        <v>74</v>
      </c>
      <c r="Y132" t="s">
        <v>74</v>
      </c>
      <c r="Z132" t="s">
        <v>74</v>
      </c>
      <c r="AA132" t="s">
        <v>1378</v>
      </c>
      <c r="AB132" t="s">
        <v>1379</v>
      </c>
      <c r="AC132" t="s">
        <v>74</v>
      </c>
      <c r="AD132" t="s">
        <v>74</v>
      </c>
      <c r="AE132" t="s">
        <v>74</v>
      </c>
      <c r="AF132" t="s">
        <v>74</v>
      </c>
      <c r="AG132" t="s">
        <v>74</v>
      </c>
      <c r="AH132" t="s">
        <v>74</v>
      </c>
      <c r="AI132" t="s">
        <v>74</v>
      </c>
      <c r="AJ132" t="s">
        <v>74</v>
      </c>
      <c r="AK132" t="s">
        <v>74</v>
      </c>
      <c r="AL132" t="s">
        <v>74</v>
      </c>
      <c r="AM132" t="s">
        <v>74</v>
      </c>
      <c r="AN132" t="s">
        <v>74</v>
      </c>
      <c r="AO132" t="s">
        <v>74</v>
      </c>
      <c r="AP132" t="s">
        <v>74</v>
      </c>
      <c r="AQ132" t="s">
        <v>1380</v>
      </c>
      <c r="AR132" t="s">
        <v>74</v>
      </c>
      <c r="AS132" t="s">
        <v>74</v>
      </c>
      <c r="AT132" t="s">
        <v>74</v>
      </c>
      <c r="AU132">
        <v>2022</v>
      </c>
      <c r="AV132" t="s">
        <v>74</v>
      </c>
      <c r="AW132" t="s">
        <v>74</v>
      </c>
      <c r="AX132" t="s">
        <v>74</v>
      </c>
      <c r="AY132" t="s">
        <v>74</v>
      </c>
      <c r="AZ132" t="s">
        <v>74</v>
      </c>
      <c r="BA132" t="s">
        <v>74</v>
      </c>
      <c r="BB132">
        <v>401</v>
      </c>
      <c r="BC132">
        <v>406</v>
      </c>
      <c r="BD132" t="s">
        <v>74</v>
      </c>
      <c r="BE132" t="s">
        <v>1381</v>
      </c>
      <c r="BF132" t="str">
        <f>HYPERLINK("http://dx.doi.org/10.1109/COMPSAC54236.2022.00063","http://dx.doi.org/10.1109/COMPSAC54236.2022.00063")</f>
        <v>http://dx.doi.org/10.1109/COMPSAC54236.2022.00063</v>
      </c>
      <c r="BG132" t="s">
        <v>74</v>
      </c>
      <c r="BH132" t="s">
        <v>74</v>
      </c>
      <c r="BI132" t="s">
        <v>74</v>
      </c>
      <c r="BJ132" t="s">
        <v>74</v>
      </c>
      <c r="BK132" t="s">
        <v>74</v>
      </c>
      <c r="BL132" t="s">
        <v>74</v>
      </c>
      <c r="BM132" t="s">
        <v>74</v>
      </c>
      <c r="BN132" t="s">
        <v>74</v>
      </c>
      <c r="BO132" t="s">
        <v>74</v>
      </c>
      <c r="BP132" t="s">
        <v>74</v>
      </c>
      <c r="BQ132" t="s">
        <v>74</v>
      </c>
      <c r="BR132" t="s">
        <v>74</v>
      </c>
      <c r="BS132" t="s">
        <v>1382</v>
      </c>
      <c r="BT132" t="str">
        <f>HYPERLINK("https%3A%2F%2Fwww.webofscience.com%2Fwos%2Fwoscc%2Ffull-record%2FWOS:000855983300055","View Full Record in Web of Science")</f>
        <v>View Full Record in Web of Science</v>
      </c>
    </row>
    <row r="133" spans="1:72" x14ac:dyDescent="0.25">
      <c r="A133" t="s">
        <v>84</v>
      </c>
      <c r="B133" t="s">
        <v>1383</v>
      </c>
      <c r="C133" t="s">
        <v>74</v>
      </c>
      <c r="D133" t="s">
        <v>74</v>
      </c>
      <c r="E133" t="s">
        <v>233</v>
      </c>
      <c r="F133" t="s">
        <v>1384</v>
      </c>
      <c r="G133" t="s">
        <v>74</v>
      </c>
      <c r="H133" t="s">
        <v>74</v>
      </c>
      <c r="I133" t="s">
        <v>1385</v>
      </c>
      <c r="J133" t="s">
        <v>236</v>
      </c>
      <c r="K133" t="s">
        <v>237</v>
      </c>
      <c r="L133" t="s">
        <v>74</v>
      </c>
      <c r="M133" t="s">
        <v>74</v>
      </c>
      <c r="N133" t="s">
        <v>74</v>
      </c>
      <c r="O133" t="s">
        <v>238</v>
      </c>
      <c r="P133" t="s">
        <v>239</v>
      </c>
      <c r="Q133" t="s">
        <v>240</v>
      </c>
      <c r="R133" t="s">
        <v>241</v>
      </c>
      <c r="S133" t="s">
        <v>74</v>
      </c>
      <c r="T133" t="s">
        <v>74</v>
      </c>
      <c r="U133" t="s">
        <v>74</v>
      </c>
      <c r="V133" t="s">
        <v>1386</v>
      </c>
      <c r="W133" t="s">
        <v>74</v>
      </c>
      <c r="X133" t="s">
        <v>74</v>
      </c>
      <c r="Y133" t="s">
        <v>74</v>
      </c>
      <c r="Z133" t="s">
        <v>74</v>
      </c>
      <c r="AA133" t="s">
        <v>1387</v>
      </c>
      <c r="AB133" t="s">
        <v>1388</v>
      </c>
      <c r="AC133" t="s">
        <v>74</v>
      </c>
      <c r="AD133" t="s">
        <v>74</v>
      </c>
      <c r="AE133" t="s">
        <v>74</v>
      </c>
      <c r="AF133" t="s">
        <v>74</v>
      </c>
      <c r="AG133" t="s">
        <v>74</v>
      </c>
      <c r="AH133" t="s">
        <v>74</v>
      </c>
      <c r="AI133" t="s">
        <v>74</v>
      </c>
      <c r="AJ133" t="s">
        <v>74</v>
      </c>
      <c r="AK133" t="s">
        <v>74</v>
      </c>
      <c r="AL133" t="s">
        <v>74</v>
      </c>
      <c r="AM133" t="s">
        <v>74</v>
      </c>
      <c r="AN133" t="s">
        <v>74</v>
      </c>
      <c r="AO133" t="s">
        <v>243</v>
      </c>
      <c r="AP133" t="s">
        <v>74</v>
      </c>
      <c r="AQ133" t="s">
        <v>244</v>
      </c>
      <c r="AR133" t="s">
        <v>74</v>
      </c>
      <c r="AS133" t="s">
        <v>74</v>
      </c>
      <c r="AT133" t="s">
        <v>74</v>
      </c>
      <c r="AU133">
        <v>2022</v>
      </c>
      <c r="AV133" t="s">
        <v>74</v>
      </c>
      <c r="AW133" t="s">
        <v>74</v>
      </c>
      <c r="AX133" t="s">
        <v>74</v>
      </c>
      <c r="AY133" t="s">
        <v>74</v>
      </c>
      <c r="AZ133" t="s">
        <v>74</v>
      </c>
      <c r="BA133" t="s">
        <v>74</v>
      </c>
      <c r="BB133">
        <v>266</v>
      </c>
      <c r="BC133">
        <v>271</v>
      </c>
      <c r="BD133" t="s">
        <v>74</v>
      </c>
      <c r="BE133" t="s">
        <v>1389</v>
      </c>
      <c r="BF133" t="str">
        <f>HYPERLINK("http://dx.doi.org/10.1109/ICDCSW56584.2022.00057","http://dx.doi.org/10.1109/ICDCSW56584.2022.00057")</f>
        <v>http://dx.doi.org/10.1109/ICDCSW56584.2022.00057</v>
      </c>
      <c r="BG133" t="s">
        <v>74</v>
      </c>
      <c r="BH133" t="s">
        <v>74</v>
      </c>
      <c r="BI133" t="s">
        <v>74</v>
      </c>
      <c r="BJ133" t="s">
        <v>74</v>
      </c>
      <c r="BK133" t="s">
        <v>74</v>
      </c>
      <c r="BL133" t="s">
        <v>74</v>
      </c>
      <c r="BM133" t="s">
        <v>74</v>
      </c>
      <c r="BN133" t="s">
        <v>74</v>
      </c>
      <c r="BO133" t="s">
        <v>74</v>
      </c>
      <c r="BP133" t="s">
        <v>74</v>
      </c>
      <c r="BQ133" t="s">
        <v>74</v>
      </c>
      <c r="BR133" t="s">
        <v>74</v>
      </c>
      <c r="BS133" t="s">
        <v>1390</v>
      </c>
      <c r="BT133" t="str">
        <f>HYPERLINK("https%3A%2F%2Fwww.webofscience.com%2Fwos%2Fwoscc%2Ffull-record%2FWOS:000895984800048","View Full Record in Web of Science")</f>
        <v>View Full Record in Web of Science</v>
      </c>
    </row>
    <row r="134" spans="1:72" x14ac:dyDescent="0.25">
      <c r="A134" t="s">
        <v>84</v>
      </c>
      <c r="B134" t="s">
        <v>1391</v>
      </c>
      <c r="C134" t="s">
        <v>74</v>
      </c>
      <c r="D134" t="s">
        <v>1392</v>
      </c>
      <c r="E134" t="s">
        <v>74</v>
      </c>
      <c r="F134" t="s">
        <v>1393</v>
      </c>
      <c r="G134" t="s">
        <v>74</v>
      </c>
      <c r="H134" t="s">
        <v>74</v>
      </c>
      <c r="I134" t="s">
        <v>1394</v>
      </c>
      <c r="J134" t="s">
        <v>1395</v>
      </c>
      <c r="K134" t="s">
        <v>74</v>
      </c>
      <c r="L134" t="s">
        <v>74</v>
      </c>
      <c r="M134" t="s">
        <v>74</v>
      </c>
      <c r="N134" t="s">
        <v>74</v>
      </c>
      <c r="O134" t="s">
        <v>1396</v>
      </c>
      <c r="P134" t="s">
        <v>1397</v>
      </c>
      <c r="Q134" t="s">
        <v>108</v>
      </c>
      <c r="R134" t="s">
        <v>1398</v>
      </c>
      <c r="S134" t="s">
        <v>74</v>
      </c>
      <c r="T134" t="s">
        <v>74</v>
      </c>
      <c r="U134" t="s">
        <v>74</v>
      </c>
      <c r="V134" t="s">
        <v>1399</v>
      </c>
      <c r="W134" t="s">
        <v>74</v>
      </c>
      <c r="X134" t="s">
        <v>74</v>
      </c>
      <c r="Y134" t="s">
        <v>74</v>
      </c>
      <c r="Z134" t="s">
        <v>74</v>
      </c>
      <c r="AA134" t="s">
        <v>74</v>
      </c>
      <c r="AB134" t="s">
        <v>74</v>
      </c>
      <c r="AC134" t="s">
        <v>74</v>
      </c>
      <c r="AD134" t="s">
        <v>74</v>
      </c>
      <c r="AE134" t="s">
        <v>74</v>
      </c>
      <c r="AF134" t="s">
        <v>74</v>
      </c>
      <c r="AG134" t="s">
        <v>74</v>
      </c>
      <c r="AH134" t="s">
        <v>74</v>
      </c>
      <c r="AI134" t="s">
        <v>74</v>
      </c>
      <c r="AJ134" t="s">
        <v>74</v>
      </c>
      <c r="AK134" t="s">
        <v>74</v>
      </c>
      <c r="AL134" t="s">
        <v>74</v>
      </c>
      <c r="AM134" t="s">
        <v>74</v>
      </c>
      <c r="AN134" t="s">
        <v>74</v>
      </c>
      <c r="AO134" t="s">
        <v>74</v>
      </c>
      <c r="AP134" t="s">
        <v>74</v>
      </c>
      <c r="AQ134" t="s">
        <v>1400</v>
      </c>
      <c r="AR134" t="s">
        <v>74</v>
      </c>
      <c r="AS134" t="s">
        <v>74</v>
      </c>
      <c r="AT134" t="s">
        <v>74</v>
      </c>
      <c r="AU134">
        <v>2022</v>
      </c>
      <c r="AV134" t="s">
        <v>74</v>
      </c>
      <c r="AW134" t="s">
        <v>74</v>
      </c>
      <c r="AX134" t="s">
        <v>74</v>
      </c>
      <c r="AY134" t="s">
        <v>74</v>
      </c>
      <c r="AZ134" t="s">
        <v>74</v>
      </c>
      <c r="BA134" t="s">
        <v>74</v>
      </c>
      <c r="BB134">
        <v>35</v>
      </c>
      <c r="BC134">
        <v>39</v>
      </c>
      <c r="BD134" t="s">
        <v>74</v>
      </c>
      <c r="BE134" t="s">
        <v>1401</v>
      </c>
      <c r="BF134" t="str">
        <f>HYPERLINK("http://dx.doi.org/10.1109/UEMCON54665.2022.9965661","http://dx.doi.org/10.1109/UEMCON54665.2022.9965661")</f>
        <v>http://dx.doi.org/10.1109/UEMCON54665.2022.9965661</v>
      </c>
      <c r="BG134" t="s">
        <v>74</v>
      </c>
      <c r="BH134" t="s">
        <v>74</v>
      </c>
      <c r="BI134" t="s">
        <v>74</v>
      </c>
      <c r="BJ134" t="s">
        <v>74</v>
      </c>
      <c r="BK134" t="s">
        <v>74</v>
      </c>
      <c r="BL134" t="s">
        <v>74</v>
      </c>
      <c r="BM134" t="s">
        <v>74</v>
      </c>
      <c r="BN134" t="s">
        <v>74</v>
      </c>
      <c r="BO134" t="s">
        <v>74</v>
      </c>
      <c r="BP134" t="s">
        <v>74</v>
      </c>
      <c r="BQ134" t="s">
        <v>74</v>
      </c>
      <c r="BR134" t="s">
        <v>74</v>
      </c>
      <c r="BS134" t="s">
        <v>1402</v>
      </c>
      <c r="BT134" t="str">
        <f>HYPERLINK("https%3A%2F%2Fwww.webofscience.com%2Fwos%2Fwoscc%2Ffull-record%2FWOS:000946108300008","View Full Record in Web of Science")</f>
        <v>View Full Record in Web of Science</v>
      </c>
    </row>
    <row r="135" spans="1:72" x14ac:dyDescent="0.25">
      <c r="A135" t="s">
        <v>72</v>
      </c>
      <c r="B135" t="s">
        <v>1403</v>
      </c>
      <c r="C135" t="s">
        <v>74</v>
      </c>
      <c r="D135" t="s">
        <v>74</v>
      </c>
      <c r="E135" t="s">
        <v>74</v>
      </c>
      <c r="F135" t="s">
        <v>1404</v>
      </c>
      <c r="G135" t="s">
        <v>74</v>
      </c>
      <c r="H135" t="s">
        <v>74</v>
      </c>
      <c r="I135" t="s">
        <v>1405</v>
      </c>
      <c r="J135" t="s">
        <v>460</v>
      </c>
      <c r="K135" t="s">
        <v>74</v>
      </c>
      <c r="L135" t="s">
        <v>74</v>
      </c>
      <c r="M135" t="s">
        <v>74</v>
      </c>
      <c r="N135" t="s">
        <v>74</v>
      </c>
      <c r="O135" t="s">
        <v>74</v>
      </c>
      <c r="P135" t="s">
        <v>74</v>
      </c>
      <c r="Q135" t="s">
        <v>74</v>
      </c>
      <c r="R135" t="s">
        <v>74</v>
      </c>
      <c r="S135" t="s">
        <v>74</v>
      </c>
      <c r="T135" t="s">
        <v>74</v>
      </c>
      <c r="U135" t="s">
        <v>74</v>
      </c>
      <c r="V135" t="s">
        <v>1406</v>
      </c>
      <c r="W135" t="s">
        <v>74</v>
      </c>
      <c r="X135" t="s">
        <v>74</v>
      </c>
      <c r="Y135" t="s">
        <v>74</v>
      </c>
      <c r="Z135" t="s">
        <v>74</v>
      </c>
      <c r="AA135" t="s">
        <v>1407</v>
      </c>
      <c r="AB135" t="s">
        <v>1408</v>
      </c>
      <c r="AC135" t="s">
        <v>74</v>
      </c>
      <c r="AD135" t="s">
        <v>74</v>
      </c>
      <c r="AE135" t="s">
        <v>74</v>
      </c>
      <c r="AF135" t="s">
        <v>74</v>
      </c>
      <c r="AG135" t="s">
        <v>74</v>
      </c>
      <c r="AH135" t="s">
        <v>74</v>
      </c>
      <c r="AI135" t="s">
        <v>74</v>
      </c>
      <c r="AJ135" t="s">
        <v>74</v>
      </c>
      <c r="AK135" t="s">
        <v>74</v>
      </c>
      <c r="AL135" t="s">
        <v>74</v>
      </c>
      <c r="AM135" t="s">
        <v>74</v>
      </c>
      <c r="AN135" t="s">
        <v>74</v>
      </c>
      <c r="AO135" t="s">
        <v>74</v>
      </c>
      <c r="AP135" t="s">
        <v>464</v>
      </c>
      <c r="AQ135" t="s">
        <v>74</v>
      </c>
      <c r="AR135" t="s">
        <v>74</v>
      </c>
      <c r="AS135" t="s">
        <v>74</v>
      </c>
      <c r="AT135" t="s">
        <v>1409</v>
      </c>
      <c r="AU135">
        <v>2022</v>
      </c>
      <c r="AV135">
        <v>14</v>
      </c>
      <c r="AW135">
        <v>11</v>
      </c>
      <c r="AX135" t="s">
        <v>74</v>
      </c>
      <c r="AY135" t="s">
        <v>74</v>
      </c>
      <c r="AZ135" t="s">
        <v>74</v>
      </c>
      <c r="BA135" t="s">
        <v>74</v>
      </c>
      <c r="BB135" t="s">
        <v>74</v>
      </c>
      <c r="BC135" t="s">
        <v>74</v>
      </c>
      <c r="BD135">
        <v>6441</v>
      </c>
      <c r="BE135" t="s">
        <v>1410</v>
      </c>
      <c r="BF135" t="str">
        <f>HYPERLINK("http://dx.doi.org/10.3390/su14116441","http://dx.doi.org/10.3390/su14116441")</f>
        <v>http://dx.doi.org/10.3390/su14116441</v>
      </c>
      <c r="BG135" t="s">
        <v>74</v>
      </c>
      <c r="BH135" t="s">
        <v>74</v>
      </c>
      <c r="BI135" t="s">
        <v>74</v>
      </c>
      <c r="BJ135" t="s">
        <v>74</v>
      </c>
      <c r="BK135" t="s">
        <v>74</v>
      </c>
      <c r="BL135" t="s">
        <v>74</v>
      </c>
      <c r="BM135" t="s">
        <v>74</v>
      </c>
      <c r="BN135" t="s">
        <v>74</v>
      </c>
      <c r="BO135" t="s">
        <v>74</v>
      </c>
      <c r="BP135" t="s">
        <v>74</v>
      </c>
      <c r="BQ135" t="s">
        <v>74</v>
      </c>
      <c r="BR135" t="s">
        <v>74</v>
      </c>
      <c r="BS135" t="s">
        <v>1411</v>
      </c>
      <c r="BT135" t="str">
        <f>HYPERLINK("https%3A%2F%2Fwww.webofscience.com%2Fwos%2Fwoscc%2Ffull-record%2FWOS:000808804100001","View Full Record in Web of Science")</f>
        <v>View Full Record in Web of Science</v>
      </c>
    </row>
    <row r="136" spans="1:72" x14ac:dyDescent="0.25">
      <c r="A136" t="s">
        <v>72</v>
      </c>
      <c r="B136" t="s">
        <v>1412</v>
      </c>
      <c r="C136" t="s">
        <v>74</v>
      </c>
      <c r="D136" t="s">
        <v>74</v>
      </c>
      <c r="E136" t="s">
        <v>74</v>
      </c>
      <c r="F136" t="s">
        <v>1413</v>
      </c>
      <c r="G136" t="s">
        <v>74</v>
      </c>
      <c r="H136" t="s">
        <v>74</v>
      </c>
      <c r="I136" t="s">
        <v>1414</v>
      </c>
      <c r="J136" t="s">
        <v>421</v>
      </c>
      <c r="K136" t="s">
        <v>74</v>
      </c>
      <c r="L136" t="s">
        <v>74</v>
      </c>
      <c r="M136" t="s">
        <v>74</v>
      </c>
      <c r="N136" t="s">
        <v>74</v>
      </c>
      <c r="O136" t="s">
        <v>74</v>
      </c>
      <c r="P136" t="s">
        <v>74</v>
      </c>
      <c r="Q136" t="s">
        <v>74</v>
      </c>
      <c r="R136" t="s">
        <v>74</v>
      </c>
      <c r="S136" t="s">
        <v>74</v>
      </c>
      <c r="T136" t="s">
        <v>74</v>
      </c>
      <c r="U136" t="s">
        <v>74</v>
      </c>
      <c r="V136" t="s">
        <v>1415</v>
      </c>
      <c r="W136" t="s">
        <v>74</v>
      </c>
      <c r="X136" t="s">
        <v>74</v>
      </c>
      <c r="Y136" t="s">
        <v>74</v>
      </c>
      <c r="Z136" t="s">
        <v>74</v>
      </c>
      <c r="AA136" t="s">
        <v>74</v>
      </c>
      <c r="AB136" t="s">
        <v>1416</v>
      </c>
      <c r="AC136" t="s">
        <v>74</v>
      </c>
      <c r="AD136" t="s">
        <v>74</v>
      </c>
      <c r="AE136" t="s">
        <v>74</v>
      </c>
      <c r="AF136" t="s">
        <v>74</v>
      </c>
      <c r="AG136" t="s">
        <v>74</v>
      </c>
      <c r="AH136" t="s">
        <v>74</v>
      </c>
      <c r="AI136" t="s">
        <v>74</v>
      </c>
      <c r="AJ136" t="s">
        <v>74</v>
      </c>
      <c r="AK136" t="s">
        <v>74</v>
      </c>
      <c r="AL136" t="s">
        <v>74</v>
      </c>
      <c r="AM136" t="s">
        <v>74</v>
      </c>
      <c r="AN136" t="s">
        <v>74</v>
      </c>
      <c r="AO136" t="s">
        <v>423</v>
      </c>
      <c r="AP136" t="s">
        <v>424</v>
      </c>
      <c r="AQ136" t="s">
        <v>74</v>
      </c>
      <c r="AR136" t="s">
        <v>74</v>
      </c>
      <c r="AS136" t="s">
        <v>74</v>
      </c>
      <c r="AT136" t="s">
        <v>74</v>
      </c>
      <c r="AU136" t="s">
        <v>74</v>
      </c>
      <c r="AV136" t="s">
        <v>74</v>
      </c>
      <c r="AW136" t="s">
        <v>74</v>
      </c>
      <c r="AX136" t="s">
        <v>74</v>
      </c>
      <c r="AY136" t="s">
        <v>74</v>
      </c>
      <c r="AZ136" t="s">
        <v>74</v>
      </c>
      <c r="BA136" t="s">
        <v>74</v>
      </c>
      <c r="BB136" t="s">
        <v>74</v>
      </c>
      <c r="BC136" t="s">
        <v>74</v>
      </c>
      <c r="BD136" t="s">
        <v>74</v>
      </c>
      <c r="BE136" t="s">
        <v>1417</v>
      </c>
      <c r="BF136" t="str">
        <f>HYPERLINK("http://dx.doi.org/10.1109/TSMC.2022.3228928","http://dx.doi.org/10.1109/TSMC.2022.3228928")</f>
        <v>http://dx.doi.org/10.1109/TSMC.2022.3228928</v>
      </c>
      <c r="BG136" t="s">
        <v>74</v>
      </c>
      <c r="BH136" t="s">
        <v>426</v>
      </c>
      <c r="BI136" t="s">
        <v>74</v>
      </c>
      <c r="BJ136" t="s">
        <v>74</v>
      </c>
      <c r="BK136" t="s">
        <v>74</v>
      </c>
      <c r="BL136" t="s">
        <v>74</v>
      </c>
      <c r="BM136" t="s">
        <v>74</v>
      </c>
      <c r="BN136" t="s">
        <v>74</v>
      </c>
      <c r="BO136" t="s">
        <v>74</v>
      </c>
      <c r="BP136" t="s">
        <v>74</v>
      </c>
      <c r="BQ136" t="s">
        <v>74</v>
      </c>
      <c r="BR136" t="s">
        <v>74</v>
      </c>
      <c r="BS136" t="s">
        <v>1418</v>
      </c>
      <c r="BT136" t="str">
        <f>HYPERLINK("https%3A%2F%2Fwww.webofscience.com%2Fwos%2Fwoscc%2Ffull-record%2FWOS:000903435300001","View Full Record in Web of Science")</f>
        <v>View Full Record in Web of Science</v>
      </c>
    </row>
    <row r="137" spans="1:72" x14ac:dyDescent="0.25">
      <c r="A137" t="s">
        <v>72</v>
      </c>
      <c r="B137" t="s">
        <v>1419</v>
      </c>
      <c r="C137" t="s">
        <v>74</v>
      </c>
      <c r="D137" t="s">
        <v>74</v>
      </c>
      <c r="E137" t="s">
        <v>74</v>
      </c>
      <c r="F137" t="s">
        <v>1420</v>
      </c>
      <c r="G137" t="s">
        <v>74</v>
      </c>
      <c r="H137" t="s">
        <v>74</v>
      </c>
      <c r="I137" t="s">
        <v>1421</v>
      </c>
      <c r="J137" t="s">
        <v>1422</v>
      </c>
      <c r="K137" t="s">
        <v>74</v>
      </c>
      <c r="L137" t="s">
        <v>74</v>
      </c>
      <c r="M137" t="s">
        <v>74</v>
      </c>
      <c r="N137" t="s">
        <v>74</v>
      </c>
      <c r="O137" t="s">
        <v>74</v>
      </c>
      <c r="P137" t="s">
        <v>74</v>
      </c>
      <c r="Q137" t="s">
        <v>74</v>
      </c>
      <c r="R137" t="s">
        <v>74</v>
      </c>
      <c r="S137" t="s">
        <v>74</v>
      </c>
      <c r="T137" t="s">
        <v>74</v>
      </c>
      <c r="U137" t="s">
        <v>74</v>
      </c>
      <c r="V137" t="s">
        <v>1423</v>
      </c>
      <c r="W137" t="s">
        <v>74</v>
      </c>
      <c r="X137" t="s">
        <v>74</v>
      </c>
      <c r="Y137" t="s">
        <v>74</v>
      </c>
      <c r="Z137" t="s">
        <v>74</v>
      </c>
      <c r="AA137" t="s">
        <v>1424</v>
      </c>
      <c r="AB137" t="s">
        <v>1425</v>
      </c>
      <c r="AC137" t="s">
        <v>74</v>
      </c>
      <c r="AD137" t="s">
        <v>74</v>
      </c>
      <c r="AE137" t="s">
        <v>74</v>
      </c>
      <c r="AF137" t="s">
        <v>74</v>
      </c>
      <c r="AG137" t="s">
        <v>74</v>
      </c>
      <c r="AH137" t="s">
        <v>74</v>
      </c>
      <c r="AI137" t="s">
        <v>74</v>
      </c>
      <c r="AJ137" t="s">
        <v>74</v>
      </c>
      <c r="AK137" t="s">
        <v>74</v>
      </c>
      <c r="AL137" t="s">
        <v>74</v>
      </c>
      <c r="AM137" t="s">
        <v>74</v>
      </c>
      <c r="AN137" t="s">
        <v>74</v>
      </c>
      <c r="AO137" t="s">
        <v>1426</v>
      </c>
      <c r="AP137" t="s">
        <v>1427</v>
      </c>
      <c r="AQ137" t="s">
        <v>74</v>
      </c>
      <c r="AR137" t="s">
        <v>74</v>
      </c>
      <c r="AS137" t="s">
        <v>74</v>
      </c>
      <c r="AT137" t="s">
        <v>74</v>
      </c>
      <c r="AU137" t="s">
        <v>74</v>
      </c>
      <c r="AV137" t="s">
        <v>74</v>
      </c>
      <c r="AW137" t="s">
        <v>74</v>
      </c>
      <c r="AX137" t="s">
        <v>74</v>
      </c>
      <c r="AY137" t="s">
        <v>74</v>
      </c>
      <c r="AZ137" t="s">
        <v>74</v>
      </c>
      <c r="BA137" t="s">
        <v>74</v>
      </c>
      <c r="BB137" t="s">
        <v>74</v>
      </c>
      <c r="BC137" t="s">
        <v>74</v>
      </c>
      <c r="BD137" t="s">
        <v>74</v>
      </c>
      <c r="BE137" t="s">
        <v>1428</v>
      </c>
      <c r="BF137" t="str">
        <f>HYPERLINK("http://dx.doi.org/10.1109/MVT.2023.3263330","http://dx.doi.org/10.1109/MVT.2023.3263330")</f>
        <v>http://dx.doi.org/10.1109/MVT.2023.3263330</v>
      </c>
      <c r="BG137" t="s">
        <v>74</v>
      </c>
      <c r="BH137" t="s">
        <v>611</v>
      </c>
      <c r="BI137" t="s">
        <v>74</v>
      </c>
      <c r="BJ137" t="s">
        <v>74</v>
      </c>
      <c r="BK137" t="s">
        <v>74</v>
      </c>
      <c r="BL137" t="s">
        <v>74</v>
      </c>
      <c r="BM137" t="s">
        <v>74</v>
      </c>
      <c r="BN137" t="s">
        <v>74</v>
      </c>
      <c r="BO137" t="s">
        <v>74</v>
      </c>
      <c r="BP137" t="s">
        <v>74</v>
      </c>
      <c r="BQ137" t="s">
        <v>74</v>
      </c>
      <c r="BR137" t="s">
        <v>74</v>
      </c>
      <c r="BS137" t="s">
        <v>1429</v>
      </c>
      <c r="BT137" t="str">
        <f>HYPERLINK("https%3A%2F%2Fwww.webofscience.com%2Fwos%2Fwoscc%2Ffull-record%2FWOS:000976073300001","View Full Record in Web of Science")</f>
        <v>View Full Record in Web of Science</v>
      </c>
    </row>
    <row r="138" spans="1:72" x14ac:dyDescent="0.25">
      <c r="A138" t="s">
        <v>72</v>
      </c>
      <c r="B138" t="s">
        <v>1430</v>
      </c>
      <c r="C138" t="s">
        <v>74</v>
      </c>
      <c r="D138" t="s">
        <v>74</v>
      </c>
      <c r="E138" t="s">
        <v>74</v>
      </c>
      <c r="F138" t="s">
        <v>1431</v>
      </c>
      <c r="G138" t="s">
        <v>74</v>
      </c>
      <c r="H138" t="s">
        <v>74</v>
      </c>
      <c r="I138" t="s">
        <v>1432</v>
      </c>
      <c r="J138" t="s">
        <v>201</v>
      </c>
      <c r="K138" t="s">
        <v>74</v>
      </c>
      <c r="L138" t="s">
        <v>74</v>
      </c>
      <c r="M138" t="s">
        <v>74</v>
      </c>
      <c r="N138" t="s">
        <v>74</v>
      </c>
      <c r="O138" t="s">
        <v>74</v>
      </c>
      <c r="P138" t="s">
        <v>74</v>
      </c>
      <c r="Q138" t="s">
        <v>74</v>
      </c>
      <c r="R138" t="s">
        <v>74</v>
      </c>
      <c r="S138" t="s">
        <v>74</v>
      </c>
      <c r="T138" t="s">
        <v>74</v>
      </c>
      <c r="U138" t="s">
        <v>74</v>
      </c>
      <c r="V138" t="s">
        <v>1433</v>
      </c>
      <c r="W138" t="s">
        <v>74</v>
      </c>
      <c r="X138" t="s">
        <v>74</v>
      </c>
      <c r="Y138" t="s">
        <v>74</v>
      </c>
      <c r="Z138" t="s">
        <v>74</v>
      </c>
      <c r="AA138" t="s">
        <v>1434</v>
      </c>
      <c r="AB138" t="s">
        <v>1435</v>
      </c>
      <c r="AC138" t="s">
        <v>74</v>
      </c>
      <c r="AD138" t="s">
        <v>74</v>
      </c>
      <c r="AE138" t="s">
        <v>74</v>
      </c>
      <c r="AF138" t="s">
        <v>74</v>
      </c>
      <c r="AG138" t="s">
        <v>74</v>
      </c>
      <c r="AH138" t="s">
        <v>74</v>
      </c>
      <c r="AI138" t="s">
        <v>74</v>
      </c>
      <c r="AJ138" t="s">
        <v>74</v>
      </c>
      <c r="AK138" t="s">
        <v>74</v>
      </c>
      <c r="AL138" t="s">
        <v>74</v>
      </c>
      <c r="AM138" t="s">
        <v>74</v>
      </c>
      <c r="AN138" t="s">
        <v>74</v>
      </c>
      <c r="AO138" t="s">
        <v>205</v>
      </c>
      <c r="AP138" t="s">
        <v>74</v>
      </c>
      <c r="AQ138" t="s">
        <v>74</v>
      </c>
      <c r="AR138" t="s">
        <v>74</v>
      </c>
      <c r="AS138" t="s">
        <v>74</v>
      </c>
      <c r="AT138" t="s">
        <v>74</v>
      </c>
      <c r="AU138">
        <v>2022</v>
      </c>
      <c r="AV138">
        <v>10</v>
      </c>
      <c r="AW138" t="s">
        <v>74</v>
      </c>
      <c r="AX138" t="s">
        <v>74</v>
      </c>
      <c r="AY138" t="s">
        <v>74</v>
      </c>
      <c r="AZ138" t="s">
        <v>74</v>
      </c>
      <c r="BA138" t="s">
        <v>74</v>
      </c>
      <c r="BB138">
        <v>99025</v>
      </c>
      <c r="BC138">
        <v>99037</v>
      </c>
      <c r="BD138" t="s">
        <v>74</v>
      </c>
      <c r="BE138" t="s">
        <v>1436</v>
      </c>
      <c r="BF138" t="str">
        <f>HYPERLINK("http://dx.doi.org/10.1109/ACCESS.2022.3205739","http://dx.doi.org/10.1109/ACCESS.2022.3205739")</f>
        <v>http://dx.doi.org/10.1109/ACCESS.2022.3205739</v>
      </c>
      <c r="BG138" t="s">
        <v>74</v>
      </c>
      <c r="BH138" t="s">
        <v>74</v>
      </c>
      <c r="BI138" t="s">
        <v>74</v>
      </c>
      <c r="BJ138" t="s">
        <v>74</v>
      </c>
      <c r="BK138" t="s">
        <v>74</v>
      </c>
      <c r="BL138" t="s">
        <v>74</v>
      </c>
      <c r="BM138" t="s">
        <v>74</v>
      </c>
      <c r="BN138" t="s">
        <v>74</v>
      </c>
      <c r="BO138" t="s">
        <v>74</v>
      </c>
      <c r="BP138" t="s">
        <v>74</v>
      </c>
      <c r="BQ138" t="s">
        <v>74</v>
      </c>
      <c r="BR138" t="s">
        <v>74</v>
      </c>
      <c r="BS138" t="s">
        <v>1437</v>
      </c>
      <c r="BT138" t="str">
        <f>HYPERLINK("https%3A%2F%2Fwww.webofscience.com%2Fwos%2Fwoscc%2Ffull-record%2FWOS:000857365400001","View Full Record in Web of Science")</f>
        <v>View Full Record in Web of Science</v>
      </c>
    </row>
    <row r="139" spans="1:72" x14ac:dyDescent="0.25">
      <c r="A139" t="s">
        <v>84</v>
      </c>
      <c r="B139" t="s">
        <v>1438</v>
      </c>
      <c r="C139" t="s">
        <v>74</v>
      </c>
      <c r="D139" t="s">
        <v>74</v>
      </c>
      <c r="E139" t="s">
        <v>86</v>
      </c>
      <c r="F139" t="s">
        <v>1439</v>
      </c>
      <c r="G139" t="s">
        <v>74</v>
      </c>
      <c r="H139" t="s">
        <v>74</v>
      </c>
      <c r="I139" t="s">
        <v>1440</v>
      </c>
      <c r="J139" t="s">
        <v>773</v>
      </c>
      <c r="K139" t="s">
        <v>774</v>
      </c>
      <c r="L139" t="s">
        <v>74</v>
      </c>
      <c r="M139" t="s">
        <v>74</v>
      </c>
      <c r="N139" t="s">
        <v>74</v>
      </c>
      <c r="O139" t="s">
        <v>775</v>
      </c>
      <c r="P139" t="s">
        <v>776</v>
      </c>
      <c r="Q139" t="s">
        <v>777</v>
      </c>
      <c r="R139" t="s">
        <v>86</v>
      </c>
      <c r="S139" t="s">
        <v>74</v>
      </c>
      <c r="T139" t="s">
        <v>74</v>
      </c>
      <c r="U139" t="s">
        <v>74</v>
      </c>
      <c r="V139" t="s">
        <v>1441</v>
      </c>
      <c r="W139" t="s">
        <v>74</v>
      </c>
      <c r="X139" t="s">
        <v>74</v>
      </c>
      <c r="Y139" t="s">
        <v>74</v>
      </c>
      <c r="Z139" t="s">
        <v>74</v>
      </c>
      <c r="AA139" t="s">
        <v>74</v>
      </c>
      <c r="AB139" t="s">
        <v>74</v>
      </c>
      <c r="AC139" t="s">
        <v>74</v>
      </c>
      <c r="AD139" t="s">
        <v>74</v>
      </c>
      <c r="AE139" t="s">
        <v>74</v>
      </c>
      <c r="AF139" t="s">
        <v>74</v>
      </c>
      <c r="AG139" t="s">
        <v>74</v>
      </c>
      <c r="AH139" t="s">
        <v>74</v>
      </c>
      <c r="AI139" t="s">
        <v>74</v>
      </c>
      <c r="AJ139" t="s">
        <v>74</v>
      </c>
      <c r="AK139" t="s">
        <v>74</v>
      </c>
      <c r="AL139" t="s">
        <v>74</v>
      </c>
      <c r="AM139" t="s">
        <v>74</v>
      </c>
      <c r="AN139" t="s">
        <v>74</v>
      </c>
      <c r="AO139" t="s">
        <v>779</v>
      </c>
      <c r="AP139" t="s">
        <v>780</v>
      </c>
      <c r="AQ139" t="s">
        <v>781</v>
      </c>
      <c r="AR139" t="s">
        <v>74</v>
      </c>
      <c r="AS139" t="s">
        <v>74</v>
      </c>
      <c r="AT139" t="s">
        <v>74</v>
      </c>
      <c r="AU139">
        <v>2022</v>
      </c>
      <c r="AV139" t="s">
        <v>74</v>
      </c>
      <c r="AW139" t="s">
        <v>74</v>
      </c>
      <c r="AX139" t="s">
        <v>74</v>
      </c>
      <c r="AY139" t="s">
        <v>74</v>
      </c>
      <c r="AZ139" t="s">
        <v>74</v>
      </c>
      <c r="BA139" t="s">
        <v>74</v>
      </c>
      <c r="BB139">
        <v>3265</v>
      </c>
      <c r="BC139">
        <v>3271</v>
      </c>
      <c r="BD139" t="s">
        <v>74</v>
      </c>
      <c r="BE139" t="s">
        <v>1442</v>
      </c>
      <c r="BF139" t="str">
        <f>HYPERLINK("http://dx.doi.org/10.1109/GLOBECOM48099.2022.10001548","http://dx.doi.org/10.1109/GLOBECOM48099.2022.10001548")</f>
        <v>http://dx.doi.org/10.1109/GLOBECOM48099.2022.10001548</v>
      </c>
      <c r="BG139" t="s">
        <v>74</v>
      </c>
      <c r="BH139" t="s">
        <v>74</v>
      </c>
      <c r="BI139" t="s">
        <v>74</v>
      </c>
      <c r="BJ139" t="s">
        <v>74</v>
      </c>
      <c r="BK139" t="s">
        <v>74</v>
      </c>
      <c r="BL139" t="s">
        <v>74</v>
      </c>
      <c r="BM139" t="s">
        <v>74</v>
      </c>
      <c r="BN139" t="s">
        <v>74</v>
      </c>
      <c r="BO139" t="s">
        <v>74</v>
      </c>
      <c r="BP139" t="s">
        <v>74</v>
      </c>
      <c r="BQ139" t="s">
        <v>74</v>
      </c>
      <c r="BR139" t="s">
        <v>74</v>
      </c>
      <c r="BS139" t="s">
        <v>1443</v>
      </c>
      <c r="BT139" t="str">
        <f>HYPERLINK("https%3A%2F%2Fwww.webofscience.com%2Fwos%2Fwoscc%2Ffull-record%2FWOS:000922633503050","View Full Record in Web of Science")</f>
        <v>View Full Record in Web of Science</v>
      </c>
    </row>
    <row r="140" spans="1:72" x14ac:dyDescent="0.25">
      <c r="A140" t="s">
        <v>84</v>
      </c>
      <c r="B140" t="s">
        <v>1444</v>
      </c>
      <c r="C140" t="s">
        <v>74</v>
      </c>
      <c r="D140" t="s">
        <v>74</v>
      </c>
      <c r="E140" t="s">
        <v>326</v>
      </c>
      <c r="F140" t="s">
        <v>1445</v>
      </c>
      <c r="G140" t="s">
        <v>74</v>
      </c>
      <c r="H140" t="s">
        <v>74</v>
      </c>
      <c r="I140" t="s">
        <v>1446</v>
      </c>
      <c r="J140" t="s">
        <v>329</v>
      </c>
      <c r="K140" t="s">
        <v>74</v>
      </c>
      <c r="L140" t="s">
        <v>74</v>
      </c>
      <c r="M140" t="s">
        <v>74</v>
      </c>
      <c r="N140" t="s">
        <v>74</v>
      </c>
      <c r="O140" t="s">
        <v>330</v>
      </c>
      <c r="P140" t="s">
        <v>331</v>
      </c>
      <c r="Q140" t="s">
        <v>332</v>
      </c>
      <c r="R140" t="s">
        <v>333</v>
      </c>
      <c r="S140" t="s">
        <v>74</v>
      </c>
      <c r="T140" t="s">
        <v>74</v>
      </c>
      <c r="U140" t="s">
        <v>74</v>
      </c>
      <c r="V140" t="s">
        <v>1447</v>
      </c>
      <c r="W140" t="s">
        <v>74</v>
      </c>
      <c r="X140" t="s">
        <v>74</v>
      </c>
      <c r="Y140" t="s">
        <v>74</v>
      </c>
      <c r="Z140" t="s">
        <v>74</v>
      </c>
      <c r="AA140" t="s">
        <v>74</v>
      </c>
      <c r="AB140" t="s">
        <v>74</v>
      </c>
      <c r="AC140" t="s">
        <v>74</v>
      </c>
      <c r="AD140" t="s">
        <v>74</v>
      </c>
      <c r="AE140" t="s">
        <v>74</v>
      </c>
      <c r="AF140" t="s">
        <v>74</v>
      </c>
      <c r="AG140" t="s">
        <v>74</v>
      </c>
      <c r="AH140" t="s">
        <v>74</v>
      </c>
      <c r="AI140" t="s">
        <v>74</v>
      </c>
      <c r="AJ140" t="s">
        <v>74</v>
      </c>
      <c r="AK140" t="s">
        <v>74</v>
      </c>
      <c r="AL140" t="s">
        <v>74</v>
      </c>
      <c r="AM140" t="s">
        <v>74</v>
      </c>
      <c r="AN140" t="s">
        <v>74</v>
      </c>
      <c r="AO140" t="s">
        <v>74</v>
      </c>
      <c r="AP140" t="s">
        <v>74</v>
      </c>
      <c r="AQ140" t="s">
        <v>335</v>
      </c>
      <c r="AR140" t="s">
        <v>74</v>
      </c>
      <c r="AS140" t="s">
        <v>74</v>
      </c>
      <c r="AT140" t="s">
        <v>74</v>
      </c>
      <c r="AU140">
        <v>2022</v>
      </c>
      <c r="AV140" t="s">
        <v>74</v>
      </c>
      <c r="AW140" t="s">
        <v>74</v>
      </c>
      <c r="AX140" t="s">
        <v>74</v>
      </c>
      <c r="AY140" t="s">
        <v>74</v>
      </c>
      <c r="AZ140" t="s">
        <v>74</v>
      </c>
      <c r="BA140" t="s">
        <v>74</v>
      </c>
      <c r="BB140" t="s">
        <v>74</v>
      </c>
      <c r="BC140" t="s">
        <v>74</v>
      </c>
      <c r="BD140" t="s">
        <v>74</v>
      </c>
      <c r="BE140" t="s">
        <v>1448</v>
      </c>
      <c r="BF140" t="str">
        <f>HYPERLINK("http://dx.doi.org/10.1145/3532530.3532546","http://dx.doi.org/10.1145/3532530.3532546")</f>
        <v>http://dx.doi.org/10.1145/3532530.3532546</v>
      </c>
      <c r="BG140" t="s">
        <v>74</v>
      </c>
      <c r="BH140" t="s">
        <v>74</v>
      </c>
      <c r="BI140" t="s">
        <v>74</v>
      </c>
      <c r="BJ140" t="s">
        <v>74</v>
      </c>
      <c r="BK140" t="s">
        <v>74</v>
      </c>
      <c r="BL140" t="s">
        <v>74</v>
      </c>
      <c r="BM140" t="s">
        <v>74</v>
      </c>
      <c r="BN140" t="s">
        <v>74</v>
      </c>
      <c r="BO140" t="s">
        <v>74</v>
      </c>
      <c r="BP140" t="s">
        <v>74</v>
      </c>
      <c r="BQ140" t="s">
        <v>74</v>
      </c>
      <c r="BR140" t="s">
        <v>74</v>
      </c>
      <c r="BS140" t="s">
        <v>1449</v>
      </c>
      <c r="BT140" t="str">
        <f>HYPERLINK("https%3A%2F%2Fwww.webofscience.com%2Fwos%2Fwoscc%2Ffull-record%2FWOS:000944005200010","View Full Record in Web of Science")</f>
        <v>View Full Record in Web of Science</v>
      </c>
    </row>
    <row r="141" spans="1:72" x14ac:dyDescent="0.25">
      <c r="A141" t="s">
        <v>84</v>
      </c>
      <c r="B141" t="s">
        <v>1450</v>
      </c>
      <c r="C141" t="s">
        <v>74</v>
      </c>
      <c r="D141" t="s">
        <v>74</v>
      </c>
      <c r="E141" t="s">
        <v>86</v>
      </c>
      <c r="F141" t="s">
        <v>1451</v>
      </c>
      <c r="G141" t="s">
        <v>74</v>
      </c>
      <c r="H141" t="s">
        <v>74</v>
      </c>
      <c r="I141" t="s">
        <v>1452</v>
      </c>
      <c r="J141" t="s">
        <v>1453</v>
      </c>
      <c r="K141" t="s">
        <v>1454</v>
      </c>
      <c r="L141" t="s">
        <v>74</v>
      </c>
      <c r="M141" t="s">
        <v>74</v>
      </c>
      <c r="N141" t="s">
        <v>74</v>
      </c>
      <c r="O141" t="s">
        <v>1455</v>
      </c>
      <c r="P141" t="s">
        <v>1456</v>
      </c>
      <c r="Q141" t="s">
        <v>134</v>
      </c>
      <c r="R141" t="s">
        <v>1457</v>
      </c>
      <c r="S141" t="s">
        <v>74</v>
      </c>
      <c r="T141" t="s">
        <v>74</v>
      </c>
      <c r="U141" t="s">
        <v>74</v>
      </c>
      <c r="V141" t="s">
        <v>1458</v>
      </c>
      <c r="W141" t="s">
        <v>74</v>
      </c>
      <c r="X141" t="s">
        <v>74</v>
      </c>
      <c r="Y141" t="s">
        <v>74</v>
      </c>
      <c r="Z141" t="s">
        <v>74</v>
      </c>
      <c r="AA141" t="s">
        <v>1459</v>
      </c>
      <c r="AB141" t="s">
        <v>74</v>
      </c>
      <c r="AC141" t="s">
        <v>74</v>
      </c>
      <c r="AD141" t="s">
        <v>74</v>
      </c>
      <c r="AE141" t="s">
        <v>74</v>
      </c>
      <c r="AF141" t="s">
        <v>74</v>
      </c>
      <c r="AG141" t="s">
        <v>74</v>
      </c>
      <c r="AH141" t="s">
        <v>74</v>
      </c>
      <c r="AI141" t="s">
        <v>74</v>
      </c>
      <c r="AJ141" t="s">
        <v>74</v>
      </c>
      <c r="AK141" t="s">
        <v>74</v>
      </c>
      <c r="AL141" t="s">
        <v>74</v>
      </c>
      <c r="AM141" t="s">
        <v>74</v>
      </c>
      <c r="AN141" t="s">
        <v>74</v>
      </c>
      <c r="AO141" t="s">
        <v>1460</v>
      </c>
      <c r="AP141" t="s">
        <v>74</v>
      </c>
      <c r="AQ141" t="s">
        <v>1461</v>
      </c>
      <c r="AR141" t="s">
        <v>74</v>
      </c>
      <c r="AS141" t="s">
        <v>74</v>
      </c>
      <c r="AT141" t="s">
        <v>74</v>
      </c>
      <c r="AU141">
        <v>2022</v>
      </c>
      <c r="AV141" t="s">
        <v>74</v>
      </c>
      <c r="AW141" t="s">
        <v>74</v>
      </c>
      <c r="AX141" t="s">
        <v>74</v>
      </c>
      <c r="AY141" t="s">
        <v>74</v>
      </c>
      <c r="AZ141" t="s">
        <v>74</v>
      </c>
      <c r="BA141" t="s">
        <v>74</v>
      </c>
      <c r="BB141" t="s">
        <v>74</v>
      </c>
      <c r="BC141" t="s">
        <v>74</v>
      </c>
      <c r="BD141" t="s">
        <v>74</v>
      </c>
      <c r="BE141" t="s">
        <v>1462</v>
      </c>
      <c r="BF141" t="str">
        <f>HYPERLINK("http://dx.doi.org/10.1109/BCI53720.2022.9734827","http://dx.doi.org/10.1109/BCI53720.2022.9734827")</f>
        <v>http://dx.doi.org/10.1109/BCI53720.2022.9734827</v>
      </c>
      <c r="BG141" t="s">
        <v>74</v>
      </c>
      <c r="BH141" t="s">
        <v>74</v>
      </c>
      <c r="BI141" t="s">
        <v>74</v>
      </c>
      <c r="BJ141" t="s">
        <v>74</v>
      </c>
      <c r="BK141" t="s">
        <v>74</v>
      </c>
      <c r="BL141" t="s">
        <v>74</v>
      </c>
      <c r="BM141" t="s">
        <v>74</v>
      </c>
      <c r="BN141" t="s">
        <v>74</v>
      </c>
      <c r="BO141" t="s">
        <v>74</v>
      </c>
      <c r="BP141" t="s">
        <v>74</v>
      </c>
      <c r="BQ141" t="s">
        <v>74</v>
      </c>
      <c r="BR141" t="s">
        <v>74</v>
      </c>
      <c r="BS141" t="s">
        <v>1463</v>
      </c>
      <c r="BT141" t="str">
        <f>HYPERLINK("https%3A%2F%2Fwww.webofscience.com%2Fwos%2Fwoscc%2Ffull-record%2FWOS:000814683300009","View Full Record in Web of Science")</f>
        <v>View Full Record in Web of Science</v>
      </c>
    </row>
    <row r="142" spans="1:72" x14ac:dyDescent="0.25">
      <c r="A142" t="s">
        <v>84</v>
      </c>
      <c r="B142" t="s">
        <v>1464</v>
      </c>
      <c r="C142" t="s">
        <v>74</v>
      </c>
      <c r="D142" t="s">
        <v>74</v>
      </c>
      <c r="E142" t="s">
        <v>233</v>
      </c>
      <c r="F142" t="s">
        <v>1465</v>
      </c>
      <c r="G142" t="s">
        <v>74</v>
      </c>
      <c r="H142" t="s">
        <v>74</v>
      </c>
      <c r="I142" t="s">
        <v>1466</v>
      </c>
      <c r="J142" t="s">
        <v>1467</v>
      </c>
      <c r="K142" t="s">
        <v>74</v>
      </c>
      <c r="L142" t="s">
        <v>74</v>
      </c>
      <c r="M142" t="s">
        <v>74</v>
      </c>
      <c r="N142" t="s">
        <v>74</v>
      </c>
      <c r="O142" t="s">
        <v>1468</v>
      </c>
      <c r="P142" t="s">
        <v>894</v>
      </c>
      <c r="Q142" t="s">
        <v>108</v>
      </c>
      <c r="R142" t="s">
        <v>1469</v>
      </c>
      <c r="S142" t="s">
        <v>74</v>
      </c>
      <c r="T142" t="s">
        <v>74</v>
      </c>
      <c r="U142" t="s">
        <v>74</v>
      </c>
      <c r="V142" t="s">
        <v>1470</v>
      </c>
      <c r="W142" t="s">
        <v>74</v>
      </c>
      <c r="X142" t="s">
        <v>74</v>
      </c>
      <c r="Y142" t="s">
        <v>74</v>
      </c>
      <c r="Z142" t="s">
        <v>74</v>
      </c>
      <c r="AA142" t="s">
        <v>74</v>
      </c>
      <c r="AB142" t="s">
        <v>74</v>
      </c>
      <c r="AC142" t="s">
        <v>74</v>
      </c>
      <c r="AD142" t="s">
        <v>74</v>
      </c>
      <c r="AE142" t="s">
        <v>74</v>
      </c>
      <c r="AF142" t="s">
        <v>74</v>
      </c>
      <c r="AG142" t="s">
        <v>74</v>
      </c>
      <c r="AH142" t="s">
        <v>74</v>
      </c>
      <c r="AI142" t="s">
        <v>74</v>
      </c>
      <c r="AJ142" t="s">
        <v>74</v>
      </c>
      <c r="AK142" t="s">
        <v>74</v>
      </c>
      <c r="AL142" t="s">
        <v>74</v>
      </c>
      <c r="AM142" t="s">
        <v>74</v>
      </c>
      <c r="AN142" t="s">
        <v>74</v>
      </c>
      <c r="AO142" t="s">
        <v>74</v>
      </c>
      <c r="AP142" t="s">
        <v>74</v>
      </c>
      <c r="AQ142" t="s">
        <v>1471</v>
      </c>
      <c r="AR142" t="s">
        <v>74</v>
      </c>
      <c r="AS142" t="s">
        <v>74</v>
      </c>
      <c r="AT142" t="s">
        <v>74</v>
      </c>
      <c r="AU142">
        <v>2021</v>
      </c>
      <c r="AV142" t="s">
        <v>74</v>
      </c>
      <c r="AW142" t="s">
        <v>74</v>
      </c>
      <c r="AX142" t="s">
        <v>74</v>
      </c>
      <c r="AY142" t="s">
        <v>74</v>
      </c>
      <c r="AZ142" t="s">
        <v>74</v>
      </c>
      <c r="BA142" t="s">
        <v>74</v>
      </c>
      <c r="BB142">
        <v>792</v>
      </c>
      <c r="BC142">
        <v>797</v>
      </c>
      <c r="BD142" t="s">
        <v>74</v>
      </c>
      <c r="BE142" t="s">
        <v>1472</v>
      </c>
      <c r="BF142" t="str">
        <f>HYPERLINK("http://dx.doi.org/10.1109/MSN53354.2021.00124","http://dx.doi.org/10.1109/MSN53354.2021.00124")</f>
        <v>http://dx.doi.org/10.1109/MSN53354.2021.00124</v>
      </c>
      <c r="BG142" t="s">
        <v>74</v>
      </c>
      <c r="BH142" t="s">
        <v>74</v>
      </c>
      <c r="BI142" t="s">
        <v>74</v>
      </c>
      <c r="BJ142" t="s">
        <v>74</v>
      </c>
      <c r="BK142" t="s">
        <v>74</v>
      </c>
      <c r="BL142" t="s">
        <v>74</v>
      </c>
      <c r="BM142" t="s">
        <v>74</v>
      </c>
      <c r="BN142" t="s">
        <v>74</v>
      </c>
      <c r="BO142" t="s">
        <v>74</v>
      </c>
      <c r="BP142" t="s">
        <v>74</v>
      </c>
      <c r="BQ142" t="s">
        <v>74</v>
      </c>
      <c r="BR142" t="s">
        <v>74</v>
      </c>
      <c r="BS142" t="s">
        <v>1473</v>
      </c>
      <c r="BT142" t="str">
        <f>HYPERLINK("https%3A%2F%2Fwww.webofscience.com%2Fwos%2Fwoscc%2Ffull-record%2FWOS:000817822300106","View Full Record in Web of Science")</f>
        <v>View Full Record in Web of Science</v>
      </c>
    </row>
    <row r="143" spans="1:72" x14ac:dyDescent="0.25">
      <c r="A143" t="s">
        <v>84</v>
      </c>
      <c r="B143" t="s">
        <v>1474</v>
      </c>
      <c r="C143" t="s">
        <v>74</v>
      </c>
      <c r="D143" t="s">
        <v>74</v>
      </c>
      <c r="E143" t="s">
        <v>86</v>
      </c>
      <c r="F143" t="s">
        <v>1475</v>
      </c>
      <c r="G143" t="s">
        <v>74</v>
      </c>
      <c r="H143" t="s">
        <v>74</v>
      </c>
      <c r="I143" t="s">
        <v>1476</v>
      </c>
      <c r="J143" t="s">
        <v>1477</v>
      </c>
      <c r="K143" t="s">
        <v>74</v>
      </c>
      <c r="L143" t="s">
        <v>74</v>
      </c>
      <c r="M143" t="s">
        <v>74</v>
      </c>
      <c r="N143" t="s">
        <v>74</v>
      </c>
      <c r="O143" t="s">
        <v>1478</v>
      </c>
      <c r="P143" t="s">
        <v>1267</v>
      </c>
      <c r="Q143" t="s">
        <v>1479</v>
      </c>
      <c r="R143" t="s">
        <v>1480</v>
      </c>
      <c r="S143" t="s">
        <v>1481</v>
      </c>
      <c r="T143" t="s">
        <v>74</v>
      </c>
      <c r="U143" t="s">
        <v>74</v>
      </c>
      <c r="V143" t="s">
        <v>1482</v>
      </c>
      <c r="W143" t="s">
        <v>74</v>
      </c>
      <c r="X143" t="s">
        <v>74</v>
      </c>
      <c r="Y143" t="s">
        <v>74</v>
      </c>
      <c r="Z143" t="s">
        <v>74</v>
      </c>
      <c r="AA143" t="s">
        <v>1483</v>
      </c>
      <c r="AB143" t="s">
        <v>1484</v>
      </c>
      <c r="AC143" t="s">
        <v>74</v>
      </c>
      <c r="AD143" t="s">
        <v>74</v>
      </c>
      <c r="AE143" t="s">
        <v>74</v>
      </c>
      <c r="AF143" t="s">
        <v>74</v>
      </c>
      <c r="AG143" t="s">
        <v>74</v>
      </c>
      <c r="AH143" t="s">
        <v>74</v>
      </c>
      <c r="AI143" t="s">
        <v>74</v>
      </c>
      <c r="AJ143" t="s">
        <v>74</v>
      </c>
      <c r="AK143" t="s">
        <v>74</v>
      </c>
      <c r="AL143" t="s">
        <v>74</v>
      </c>
      <c r="AM143" t="s">
        <v>74</v>
      </c>
      <c r="AN143" t="s">
        <v>74</v>
      </c>
      <c r="AO143" t="s">
        <v>74</v>
      </c>
      <c r="AP143" t="s">
        <v>74</v>
      </c>
      <c r="AQ143" t="s">
        <v>1485</v>
      </c>
      <c r="AR143" t="s">
        <v>74</v>
      </c>
      <c r="AS143" t="s">
        <v>74</v>
      </c>
      <c r="AT143" t="s">
        <v>74</v>
      </c>
      <c r="AU143">
        <v>2022</v>
      </c>
      <c r="AV143" t="s">
        <v>74</v>
      </c>
      <c r="AW143" t="s">
        <v>74</v>
      </c>
      <c r="AX143" t="s">
        <v>74</v>
      </c>
      <c r="AY143" t="s">
        <v>74</v>
      </c>
      <c r="AZ143" t="s">
        <v>74</v>
      </c>
      <c r="BA143" t="s">
        <v>74</v>
      </c>
      <c r="BB143" t="s">
        <v>74</v>
      </c>
      <c r="BC143" t="s">
        <v>74</v>
      </c>
      <c r="BD143" t="s">
        <v>74</v>
      </c>
      <c r="BE143" t="s">
        <v>1486</v>
      </c>
      <c r="BF143" t="str">
        <f>HYPERLINK("http://dx.doi.org/10.1109/6GNet54646.2022.9830429","http://dx.doi.org/10.1109/6GNet54646.2022.9830429")</f>
        <v>http://dx.doi.org/10.1109/6GNet54646.2022.9830429</v>
      </c>
      <c r="BG143" t="s">
        <v>74</v>
      </c>
      <c r="BH143" t="s">
        <v>74</v>
      </c>
      <c r="BI143" t="s">
        <v>74</v>
      </c>
      <c r="BJ143" t="s">
        <v>74</v>
      </c>
      <c r="BK143" t="s">
        <v>74</v>
      </c>
      <c r="BL143" t="s">
        <v>74</v>
      </c>
      <c r="BM143" t="s">
        <v>74</v>
      </c>
      <c r="BN143" t="s">
        <v>74</v>
      </c>
      <c r="BO143" t="s">
        <v>74</v>
      </c>
      <c r="BP143" t="s">
        <v>74</v>
      </c>
      <c r="BQ143" t="s">
        <v>74</v>
      </c>
      <c r="BR143" t="s">
        <v>74</v>
      </c>
      <c r="BS143" t="s">
        <v>1487</v>
      </c>
      <c r="BT143" t="str">
        <f>HYPERLINK("https%3A%2F%2Fwww.webofscience.com%2Fwos%2Fwoscc%2Ffull-record%2FWOS:000860313400028","View Full Record in Web of Science")</f>
        <v>View Full Record in Web of Science</v>
      </c>
    </row>
    <row r="144" spans="1:72" x14ac:dyDescent="0.25">
      <c r="A144" t="s">
        <v>72</v>
      </c>
      <c r="B144" t="s">
        <v>1488</v>
      </c>
      <c r="C144" t="s">
        <v>74</v>
      </c>
      <c r="D144" t="s">
        <v>74</v>
      </c>
      <c r="E144" t="s">
        <v>74</v>
      </c>
      <c r="F144" t="s">
        <v>1489</v>
      </c>
      <c r="G144" t="s">
        <v>74</v>
      </c>
      <c r="H144" t="s">
        <v>74</v>
      </c>
      <c r="I144" t="s">
        <v>1490</v>
      </c>
      <c r="J144" t="s">
        <v>1491</v>
      </c>
      <c r="K144" t="s">
        <v>74</v>
      </c>
      <c r="L144" t="s">
        <v>74</v>
      </c>
      <c r="M144" t="s">
        <v>74</v>
      </c>
      <c r="N144" t="s">
        <v>74</v>
      </c>
      <c r="O144" t="s">
        <v>74</v>
      </c>
      <c r="P144" t="s">
        <v>74</v>
      </c>
      <c r="Q144" t="s">
        <v>74</v>
      </c>
      <c r="R144" t="s">
        <v>74</v>
      </c>
      <c r="S144" t="s">
        <v>74</v>
      </c>
      <c r="T144" t="s">
        <v>74</v>
      </c>
      <c r="U144" t="s">
        <v>74</v>
      </c>
      <c r="V144" t="s">
        <v>1492</v>
      </c>
      <c r="W144" t="s">
        <v>74</v>
      </c>
      <c r="X144" t="s">
        <v>74</v>
      </c>
      <c r="Y144" t="s">
        <v>74</v>
      </c>
      <c r="Z144" t="s">
        <v>74</v>
      </c>
      <c r="AA144" t="s">
        <v>74</v>
      </c>
      <c r="AB144" t="s">
        <v>1493</v>
      </c>
      <c r="AC144" t="s">
        <v>74</v>
      </c>
      <c r="AD144" t="s">
        <v>74</v>
      </c>
      <c r="AE144" t="s">
        <v>74</v>
      </c>
      <c r="AF144" t="s">
        <v>74</v>
      </c>
      <c r="AG144" t="s">
        <v>74</v>
      </c>
      <c r="AH144" t="s">
        <v>74</v>
      </c>
      <c r="AI144" t="s">
        <v>74</v>
      </c>
      <c r="AJ144" t="s">
        <v>74</v>
      </c>
      <c r="AK144" t="s">
        <v>74</v>
      </c>
      <c r="AL144" t="s">
        <v>74</v>
      </c>
      <c r="AM144" t="s">
        <v>74</v>
      </c>
      <c r="AN144" t="s">
        <v>74</v>
      </c>
      <c r="AO144" t="s">
        <v>1494</v>
      </c>
      <c r="AP144" t="s">
        <v>1495</v>
      </c>
      <c r="AQ144" t="s">
        <v>74</v>
      </c>
      <c r="AR144" t="s">
        <v>74</v>
      </c>
      <c r="AS144" t="s">
        <v>74</v>
      </c>
      <c r="AT144" t="s">
        <v>74</v>
      </c>
      <c r="AU144" t="s">
        <v>74</v>
      </c>
      <c r="AV144" t="s">
        <v>74</v>
      </c>
      <c r="AW144" t="s">
        <v>74</v>
      </c>
      <c r="AX144" t="s">
        <v>74</v>
      </c>
      <c r="AY144" t="s">
        <v>74</v>
      </c>
      <c r="AZ144" t="s">
        <v>74</v>
      </c>
      <c r="BA144" t="s">
        <v>74</v>
      </c>
      <c r="BB144" t="s">
        <v>74</v>
      </c>
      <c r="BC144" t="s">
        <v>74</v>
      </c>
      <c r="BD144" t="s">
        <v>74</v>
      </c>
      <c r="BE144" t="s">
        <v>1496</v>
      </c>
      <c r="BF144" t="str">
        <f>HYPERLINK("http://dx.doi.org/10.1002/ase.2244","http://dx.doi.org/10.1002/ase.2244")</f>
        <v>http://dx.doi.org/10.1002/ase.2244</v>
      </c>
      <c r="BG144" t="s">
        <v>74</v>
      </c>
      <c r="BH144" t="s">
        <v>151</v>
      </c>
      <c r="BI144" t="s">
        <v>74</v>
      </c>
      <c r="BJ144" t="s">
        <v>74</v>
      </c>
      <c r="BK144" t="s">
        <v>74</v>
      </c>
      <c r="BL144" t="s">
        <v>74</v>
      </c>
      <c r="BM144" t="s">
        <v>74</v>
      </c>
      <c r="BN144">
        <v>36545794</v>
      </c>
      <c r="BO144" t="s">
        <v>74</v>
      </c>
      <c r="BP144" t="s">
        <v>74</v>
      </c>
      <c r="BQ144" t="s">
        <v>74</v>
      </c>
      <c r="BR144" t="s">
        <v>74</v>
      </c>
      <c r="BS144" t="s">
        <v>1497</v>
      </c>
      <c r="BT144" t="str">
        <f>HYPERLINK("https%3A%2F%2Fwww.webofscience.com%2Fwos%2Fwoscc%2Ffull-record%2FWOS:000908439700001","View Full Record in Web of Science")</f>
        <v>View Full Record in Web of Science</v>
      </c>
    </row>
    <row r="145" spans="1:72" x14ac:dyDescent="0.25">
      <c r="A145" t="s">
        <v>84</v>
      </c>
      <c r="B145" t="s">
        <v>1498</v>
      </c>
      <c r="C145" t="s">
        <v>74</v>
      </c>
      <c r="D145" t="s">
        <v>1499</v>
      </c>
      <c r="E145" t="s">
        <v>74</v>
      </c>
      <c r="F145" t="s">
        <v>1500</v>
      </c>
      <c r="G145" t="s">
        <v>74</v>
      </c>
      <c r="H145" t="s">
        <v>74</v>
      </c>
      <c r="I145" t="s">
        <v>1501</v>
      </c>
      <c r="J145" t="s">
        <v>1502</v>
      </c>
      <c r="K145" t="s">
        <v>1503</v>
      </c>
      <c r="L145" t="s">
        <v>74</v>
      </c>
      <c r="M145" t="s">
        <v>74</v>
      </c>
      <c r="N145" t="s">
        <v>74</v>
      </c>
      <c r="O145" t="s">
        <v>1504</v>
      </c>
      <c r="P145" t="s">
        <v>1505</v>
      </c>
      <c r="Q145" t="s">
        <v>1506</v>
      </c>
      <c r="R145" t="s">
        <v>74</v>
      </c>
      <c r="S145" t="s">
        <v>74</v>
      </c>
      <c r="T145" t="s">
        <v>74</v>
      </c>
      <c r="U145" t="s">
        <v>74</v>
      </c>
      <c r="V145" t="s">
        <v>1507</v>
      </c>
      <c r="W145" t="s">
        <v>74</v>
      </c>
      <c r="X145" t="s">
        <v>74</v>
      </c>
      <c r="Y145" t="s">
        <v>74</v>
      </c>
      <c r="Z145" t="s">
        <v>74</v>
      </c>
      <c r="AA145" t="s">
        <v>74</v>
      </c>
      <c r="AB145" t="s">
        <v>74</v>
      </c>
      <c r="AC145" t="s">
        <v>74</v>
      </c>
      <c r="AD145" t="s">
        <v>74</v>
      </c>
      <c r="AE145" t="s">
        <v>74</v>
      </c>
      <c r="AF145" t="s">
        <v>74</v>
      </c>
      <c r="AG145" t="s">
        <v>74</v>
      </c>
      <c r="AH145" t="s">
        <v>74</v>
      </c>
      <c r="AI145" t="s">
        <v>74</v>
      </c>
      <c r="AJ145" t="s">
        <v>74</v>
      </c>
      <c r="AK145" t="s">
        <v>74</v>
      </c>
      <c r="AL145" t="s">
        <v>74</v>
      </c>
      <c r="AM145" t="s">
        <v>74</v>
      </c>
      <c r="AN145" t="s">
        <v>74</v>
      </c>
      <c r="AO145" t="s">
        <v>1508</v>
      </c>
      <c r="AP145" t="s">
        <v>1509</v>
      </c>
      <c r="AQ145" t="s">
        <v>1510</v>
      </c>
      <c r="AR145" t="s">
        <v>74</v>
      </c>
      <c r="AS145" t="s">
        <v>74</v>
      </c>
      <c r="AT145" t="s">
        <v>74</v>
      </c>
      <c r="AU145">
        <v>2023</v>
      </c>
      <c r="AV145">
        <v>318</v>
      </c>
      <c r="AW145" t="s">
        <v>74</v>
      </c>
      <c r="AX145" t="s">
        <v>74</v>
      </c>
      <c r="AY145" t="s">
        <v>74</v>
      </c>
      <c r="AZ145" t="s">
        <v>74</v>
      </c>
      <c r="BA145" t="s">
        <v>74</v>
      </c>
      <c r="BB145">
        <v>325</v>
      </c>
      <c r="BC145">
        <v>334</v>
      </c>
      <c r="BD145" t="s">
        <v>74</v>
      </c>
      <c r="BE145" t="s">
        <v>1511</v>
      </c>
      <c r="BF145" t="str">
        <f>HYPERLINK("http://dx.doi.org/10.1007/978-981-19-6347-6_29","http://dx.doi.org/10.1007/978-981-19-6347-6_29")</f>
        <v>http://dx.doi.org/10.1007/978-981-19-6347-6_29</v>
      </c>
      <c r="BG145" t="s">
        <v>74</v>
      </c>
      <c r="BH145" t="s">
        <v>74</v>
      </c>
      <c r="BI145" t="s">
        <v>74</v>
      </c>
      <c r="BJ145" t="s">
        <v>74</v>
      </c>
      <c r="BK145" t="s">
        <v>74</v>
      </c>
      <c r="BL145" t="s">
        <v>74</v>
      </c>
      <c r="BM145" t="s">
        <v>74</v>
      </c>
      <c r="BN145" t="s">
        <v>74</v>
      </c>
      <c r="BO145" t="s">
        <v>74</v>
      </c>
      <c r="BP145" t="s">
        <v>74</v>
      </c>
      <c r="BQ145" t="s">
        <v>74</v>
      </c>
      <c r="BR145" t="s">
        <v>74</v>
      </c>
      <c r="BS145" t="s">
        <v>1512</v>
      </c>
      <c r="BT145" t="str">
        <f>HYPERLINK("https%3A%2F%2Fwww.webofscience.com%2Fwos%2Fwoscc%2Ffull-record%2FWOS:000921943800029","View Full Record in Web of Science")</f>
        <v>View Full Record in Web of Science</v>
      </c>
    </row>
    <row r="146" spans="1:72" x14ac:dyDescent="0.25">
      <c r="A146" t="s">
        <v>84</v>
      </c>
      <c r="B146" t="s">
        <v>1513</v>
      </c>
      <c r="C146" t="s">
        <v>74</v>
      </c>
      <c r="D146" t="s">
        <v>74</v>
      </c>
      <c r="E146" t="s">
        <v>86</v>
      </c>
      <c r="F146" t="s">
        <v>1514</v>
      </c>
      <c r="G146" t="s">
        <v>74</v>
      </c>
      <c r="H146" t="s">
        <v>74</v>
      </c>
      <c r="I146" t="s">
        <v>1515</v>
      </c>
      <c r="J146" t="s">
        <v>1516</v>
      </c>
      <c r="K146" t="s">
        <v>74</v>
      </c>
      <c r="L146" t="s">
        <v>74</v>
      </c>
      <c r="M146" t="s">
        <v>74</v>
      </c>
      <c r="N146" t="s">
        <v>74</v>
      </c>
      <c r="O146" t="s">
        <v>1517</v>
      </c>
      <c r="P146" t="s">
        <v>1518</v>
      </c>
      <c r="Q146" t="s">
        <v>1519</v>
      </c>
      <c r="R146" t="s">
        <v>1520</v>
      </c>
      <c r="S146" t="s">
        <v>74</v>
      </c>
      <c r="T146" t="s">
        <v>74</v>
      </c>
      <c r="U146" t="s">
        <v>74</v>
      </c>
      <c r="V146" t="s">
        <v>1521</v>
      </c>
      <c r="W146" t="s">
        <v>74</v>
      </c>
      <c r="X146" t="s">
        <v>74</v>
      </c>
      <c r="Y146" t="s">
        <v>74</v>
      </c>
      <c r="Z146" t="s">
        <v>74</v>
      </c>
      <c r="AA146" t="s">
        <v>1522</v>
      </c>
      <c r="AB146" t="s">
        <v>1523</v>
      </c>
      <c r="AC146" t="s">
        <v>74</v>
      </c>
      <c r="AD146" t="s">
        <v>74</v>
      </c>
      <c r="AE146" t="s">
        <v>74</v>
      </c>
      <c r="AF146" t="s">
        <v>74</v>
      </c>
      <c r="AG146" t="s">
        <v>74</v>
      </c>
      <c r="AH146" t="s">
        <v>74</v>
      </c>
      <c r="AI146" t="s">
        <v>74</v>
      </c>
      <c r="AJ146" t="s">
        <v>74</v>
      </c>
      <c r="AK146" t="s">
        <v>74</v>
      </c>
      <c r="AL146" t="s">
        <v>74</v>
      </c>
      <c r="AM146" t="s">
        <v>74</v>
      </c>
      <c r="AN146" t="s">
        <v>74</v>
      </c>
      <c r="AO146" t="s">
        <v>74</v>
      </c>
      <c r="AP146" t="s">
        <v>74</v>
      </c>
      <c r="AQ146" t="s">
        <v>1524</v>
      </c>
      <c r="AR146" t="s">
        <v>74</v>
      </c>
      <c r="AS146" t="s">
        <v>74</v>
      </c>
      <c r="AT146" t="s">
        <v>74</v>
      </c>
      <c r="AU146">
        <v>2022</v>
      </c>
      <c r="AV146" t="s">
        <v>74</v>
      </c>
      <c r="AW146" t="s">
        <v>74</v>
      </c>
      <c r="AX146" t="s">
        <v>74</v>
      </c>
      <c r="AY146" t="s">
        <v>74</v>
      </c>
      <c r="AZ146" t="s">
        <v>74</v>
      </c>
      <c r="BA146" t="s">
        <v>74</v>
      </c>
      <c r="BB146">
        <v>254</v>
      </c>
      <c r="BC146">
        <v>260</v>
      </c>
      <c r="BD146" t="s">
        <v>74</v>
      </c>
      <c r="BE146" t="s">
        <v>1525</v>
      </c>
      <c r="BF146" t="str">
        <f>HYPERLINK("http://dx.doi.org/10.1109/TEMSCONEUROPE54743.2022.9802015","http://dx.doi.org/10.1109/TEMSCONEUROPE54743.2022.9802015")</f>
        <v>http://dx.doi.org/10.1109/TEMSCONEUROPE54743.2022.9802015</v>
      </c>
      <c r="BG146" t="s">
        <v>74</v>
      </c>
      <c r="BH146" t="s">
        <v>74</v>
      </c>
      <c r="BI146" t="s">
        <v>74</v>
      </c>
      <c r="BJ146" t="s">
        <v>74</v>
      </c>
      <c r="BK146" t="s">
        <v>74</v>
      </c>
      <c r="BL146" t="s">
        <v>74</v>
      </c>
      <c r="BM146" t="s">
        <v>74</v>
      </c>
      <c r="BN146" t="s">
        <v>74</v>
      </c>
      <c r="BO146" t="s">
        <v>74</v>
      </c>
      <c r="BP146" t="s">
        <v>74</v>
      </c>
      <c r="BQ146" t="s">
        <v>74</v>
      </c>
      <c r="BR146" t="s">
        <v>74</v>
      </c>
      <c r="BS146" t="s">
        <v>1526</v>
      </c>
      <c r="BT146" t="str">
        <f>HYPERLINK("https%3A%2F%2Fwww.webofscience.com%2Fwos%2Fwoscc%2Ffull-record%2FWOS:000851402000041","View Full Record in Web of Science")</f>
        <v>View Full Record in Web of Science</v>
      </c>
    </row>
    <row r="147" spans="1:72" x14ac:dyDescent="0.25">
      <c r="A147" t="s">
        <v>72</v>
      </c>
      <c r="B147" t="s">
        <v>1527</v>
      </c>
      <c r="C147" t="s">
        <v>74</v>
      </c>
      <c r="D147" t="s">
        <v>74</v>
      </c>
      <c r="E147" t="s">
        <v>74</v>
      </c>
      <c r="F147" t="s">
        <v>1528</v>
      </c>
      <c r="G147" t="s">
        <v>74</v>
      </c>
      <c r="H147" t="s">
        <v>74</v>
      </c>
      <c r="I147" t="s">
        <v>1529</v>
      </c>
      <c r="J147" t="s">
        <v>1530</v>
      </c>
      <c r="K147" t="s">
        <v>74</v>
      </c>
      <c r="L147" t="s">
        <v>74</v>
      </c>
      <c r="M147" t="s">
        <v>74</v>
      </c>
      <c r="N147" t="s">
        <v>74</v>
      </c>
      <c r="O147" t="s">
        <v>74</v>
      </c>
      <c r="P147" t="s">
        <v>74</v>
      </c>
      <c r="Q147" t="s">
        <v>74</v>
      </c>
      <c r="R147" t="s">
        <v>74</v>
      </c>
      <c r="S147" t="s">
        <v>74</v>
      </c>
      <c r="T147" t="s">
        <v>74</v>
      </c>
      <c r="U147" t="s">
        <v>74</v>
      </c>
      <c r="V147" t="s">
        <v>74</v>
      </c>
      <c r="W147" t="s">
        <v>74</v>
      </c>
      <c r="X147" t="s">
        <v>74</v>
      </c>
      <c r="Y147" t="s">
        <v>74</v>
      </c>
      <c r="Z147" t="s">
        <v>74</v>
      </c>
      <c r="AA147" t="s">
        <v>74</v>
      </c>
      <c r="AB147" t="s">
        <v>74</v>
      </c>
      <c r="AC147" t="s">
        <v>74</v>
      </c>
      <c r="AD147" t="s">
        <v>74</v>
      </c>
      <c r="AE147" t="s">
        <v>74</v>
      </c>
      <c r="AF147" t="s">
        <v>74</v>
      </c>
      <c r="AG147" t="s">
        <v>74</v>
      </c>
      <c r="AH147" t="s">
        <v>74</v>
      </c>
      <c r="AI147" t="s">
        <v>74</v>
      </c>
      <c r="AJ147" t="s">
        <v>74</v>
      </c>
      <c r="AK147" t="s">
        <v>74</v>
      </c>
      <c r="AL147" t="s">
        <v>74</v>
      </c>
      <c r="AM147" t="s">
        <v>74</v>
      </c>
      <c r="AN147" t="s">
        <v>74</v>
      </c>
      <c r="AO147" t="s">
        <v>1531</v>
      </c>
      <c r="AP147" t="s">
        <v>74</v>
      </c>
      <c r="AQ147" t="s">
        <v>74</v>
      </c>
      <c r="AR147" t="s">
        <v>74</v>
      </c>
      <c r="AS147" t="s">
        <v>74</v>
      </c>
      <c r="AT147" t="s">
        <v>712</v>
      </c>
      <c r="AU147">
        <v>2022</v>
      </c>
      <c r="AV147">
        <v>169</v>
      </c>
      <c r="AW147">
        <v>2</v>
      </c>
      <c r="AX147" t="s">
        <v>74</v>
      </c>
      <c r="AY147" t="s">
        <v>74</v>
      </c>
      <c r="AZ147" t="s">
        <v>74</v>
      </c>
      <c r="BA147" t="s">
        <v>74</v>
      </c>
      <c r="BB147">
        <v>30</v>
      </c>
      <c r="BC147">
        <v>31</v>
      </c>
      <c r="BD147" t="s">
        <v>74</v>
      </c>
      <c r="BE147" t="s">
        <v>74</v>
      </c>
      <c r="BF147" t="s">
        <v>74</v>
      </c>
      <c r="BG147" t="s">
        <v>74</v>
      </c>
      <c r="BH147" t="s">
        <v>74</v>
      </c>
      <c r="BI147" t="s">
        <v>74</v>
      </c>
      <c r="BJ147" t="s">
        <v>74</v>
      </c>
      <c r="BK147" t="s">
        <v>74</v>
      </c>
      <c r="BL147" t="s">
        <v>74</v>
      </c>
      <c r="BM147" t="s">
        <v>74</v>
      </c>
      <c r="BN147" t="s">
        <v>74</v>
      </c>
      <c r="BO147" t="s">
        <v>74</v>
      </c>
      <c r="BP147" t="s">
        <v>74</v>
      </c>
      <c r="BQ147" t="s">
        <v>74</v>
      </c>
      <c r="BR147" t="s">
        <v>74</v>
      </c>
      <c r="BS147" t="s">
        <v>1532</v>
      </c>
      <c r="BT147" t="str">
        <f>HYPERLINK("https%3A%2F%2Fwww.webofscience.com%2Fwos%2Fwoscc%2Ffull-record%2FWOS:000908536400014","View Full Record in Web of Science")</f>
        <v>View Full Record in Web of Science</v>
      </c>
    </row>
    <row r="148" spans="1:72" x14ac:dyDescent="0.25">
      <c r="A148" t="s">
        <v>72</v>
      </c>
      <c r="B148" t="s">
        <v>699</v>
      </c>
      <c r="C148" t="s">
        <v>74</v>
      </c>
      <c r="D148" t="s">
        <v>74</v>
      </c>
      <c r="E148" t="s">
        <v>74</v>
      </c>
      <c r="F148" t="s">
        <v>700</v>
      </c>
      <c r="G148" t="s">
        <v>74</v>
      </c>
      <c r="H148" t="s">
        <v>74</v>
      </c>
      <c r="I148" t="s">
        <v>1533</v>
      </c>
      <c r="J148" t="s">
        <v>431</v>
      </c>
      <c r="K148" t="s">
        <v>74</v>
      </c>
      <c r="L148" t="s">
        <v>74</v>
      </c>
      <c r="M148" t="s">
        <v>74</v>
      </c>
      <c r="N148" t="s">
        <v>74</v>
      </c>
      <c r="O148" t="s">
        <v>74</v>
      </c>
      <c r="P148" t="s">
        <v>74</v>
      </c>
      <c r="Q148" t="s">
        <v>74</v>
      </c>
      <c r="R148" t="s">
        <v>74</v>
      </c>
      <c r="S148" t="s">
        <v>74</v>
      </c>
      <c r="T148" t="s">
        <v>74</v>
      </c>
      <c r="U148" t="s">
        <v>74</v>
      </c>
      <c r="V148" t="s">
        <v>74</v>
      </c>
      <c r="W148" t="s">
        <v>74</v>
      </c>
      <c r="X148" t="s">
        <v>74</v>
      </c>
      <c r="Y148" t="s">
        <v>74</v>
      </c>
      <c r="Z148" t="s">
        <v>74</v>
      </c>
      <c r="AA148" t="s">
        <v>74</v>
      </c>
      <c r="AB148" t="s">
        <v>74</v>
      </c>
      <c r="AC148" t="s">
        <v>74</v>
      </c>
      <c r="AD148" t="s">
        <v>74</v>
      </c>
      <c r="AE148" t="s">
        <v>74</v>
      </c>
      <c r="AF148" t="s">
        <v>74</v>
      </c>
      <c r="AG148" t="s">
        <v>74</v>
      </c>
      <c r="AH148" t="s">
        <v>74</v>
      </c>
      <c r="AI148" t="s">
        <v>74</v>
      </c>
      <c r="AJ148" t="s">
        <v>74</v>
      </c>
      <c r="AK148" t="s">
        <v>74</v>
      </c>
      <c r="AL148" t="s">
        <v>74</v>
      </c>
      <c r="AM148" t="s">
        <v>74</v>
      </c>
      <c r="AN148" t="s">
        <v>74</v>
      </c>
      <c r="AO148" t="s">
        <v>433</v>
      </c>
      <c r="AP148" t="s">
        <v>434</v>
      </c>
      <c r="AQ148" t="s">
        <v>74</v>
      </c>
      <c r="AR148" t="s">
        <v>74</v>
      </c>
      <c r="AS148" t="s">
        <v>74</v>
      </c>
      <c r="AT148" t="s">
        <v>366</v>
      </c>
      <c r="AU148">
        <v>2022</v>
      </c>
      <c r="AV148">
        <v>55</v>
      </c>
      <c r="AW148">
        <v>3</v>
      </c>
      <c r="AX148" t="s">
        <v>74</v>
      </c>
      <c r="AY148" t="s">
        <v>74</v>
      </c>
      <c r="AZ148" t="s">
        <v>74</v>
      </c>
      <c r="BA148" t="s">
        <v>74</v>
      </c>
      <c r="BB148">
        <v>124</v>
      </c>
      <c r="BC148">
        <v>129</v>
      </c>
      <c r="BD148" t="s">
        <v>74</v>
      </c>
      <c r="BE148" t="s">
        <v>1534</v>
      </c>
      <c r="BF148" t="str">
        <f>HYPERLINK("http://dx.doi.org/10.1109/MC.2021.3130480","http://dx.doi.org/10.1109/MC.2021.3130480")</f>
        <v>http://dx.doi.org/10.1109/MC.2021.3130480</v>
      </c>
      <c r="BG148" t="s">
        <v>74</v>
      </c>
      <c r="BH148" t="s">
        <v>74</v>
      </c>
      <c r="BI148" t="s">
        <v>74</v>
      </c>
      <c r="BJ148" t="s">
        <v>74</v>
      </c>
      <c r="BK148" t="s">
        <v>74</v>
      </c>
      <c r="BL148" t="s">
        <v>74</v>
      </c>
      <c r="BM148" t="s">
        <v>74</v>
      </c>
      <c r="BN148" t="s">
        <v>74</v>
      </c>
      <c r="BO148" t="s">
        <v>74</v>
      </c>
      <c r="BP148" t="s">
        <v>74</v>
      </c>
      <c r="BQ148" t="s">
        <v>74</v>
      </c>
      <c r="BR148" t="s">
        <v>74</v>
      </c>
      <c r="BS148" t="s">
        <v>1535</v>
      </c>
      <c r="BT148" t="str">
        <f>HYPERLINK("https%3A%2F%2Fwww.webofscience.com%2Fwos%2Fwoscc%2Ffull-record%2FWOS:000769986500018","View Full Record in Web of Science")</f>
        <v>View Full Record in Web of Science</v>
      </c>
    </row>
    <row r="149" spans="1:72" x14ac:dyDescent="0.25">
      <c r="A149" t="s">
        <v>72</v>
      </c>
      <c r="B149" t="s">
        <v>1536</v>
      </c>
      <c r="C149" t="s">
        <v>74</v>
      </c>
      <c r="D149" t="s">
        <v>74</v>
      </c>
      <c r="E149" t="s">
        <v>74</v>
      </c>
      <c r="F149" t="s">
        <v>1537</v>
      </c>
      <c r="G149" t="s">
        <v>74</v>
      </c>
      <c r="H149" t="s">
        <v>74</v>
      </c>
      <c r="I149" t="s">
        <v>1538</v>
      </c>
      <c r="J149" t="s">
        <v>1080</v>
      </c>
      <c r="K149" t="s">
        <v>74</v>
      </c>
      <c r="L149" t="s">
        <v>74</v>
      </c>
      <c r="M149" t="s">
        <v>74</v>
      </c>
      <c r="N149" t="s">
        <v>74</v>
      </c>
      <c r="O149" t="s">
        <v>74</v>
      </c>
      <c r="P149" t="s">
        <v>74</v>
      </c>
      <c r="Q149" t="s">
        <v>74</v>
      </c>
      <c r="R149" t="s">
        <v>74</v>
      </c>
      <c r="S149" t="s">
        <v>74</v>
      </c>
      <c r="T149" t="s">
        <v>74</v>
      </c>
      <c r="U149" t="s">
        <v>74</v>
      </c>
      <c r="V149" t="s">
        <v>1539</v>
      </c>
      <c r="W149" t="s">
        <v>74</v>
      </c>
      <c r="X149" t="s">
        <v>74</v>
      </c>
      <c r="Y149" t="s">
        <v>74</v>
      </c>
      <c r="Z149" t="s">
        <v>74</v>
      </c>
      <c r="AA149" t="s">
        <v>1091</v>
      </c>
      <c r="AB149" t="s">
        <v>74</v>
      </c>
      <c r="AC149" t="s">
        <v>74</v>
      </c>
      <c r="AD149" t="s">
        <v>74</v>
      </c>
      <c r="AE149" t="s">
        <v>74</v>
      </c>
      <c r="AF149" t="s">
        <v>74</v>
      </c>
      <c r="AG149" t="s">
        <v>74</v>
      </c>
      <c r="AH149" t="s">
        <v>74</v>
      </c>
      <c r="AI149" t="s">
        <v>74</v>
      </c>
      <c r="AJ149" t="s">
        <v>74</v>
      </c>
      <c r="AK149" t="s">
        <v>74</v>
      </c>
      <c r="AL149" t="s">
        <v>74</v>
      </c>
      <c r="AM149" t="s">
        <v>74</v>
      </c>
      <c r="AN149" t="s">
        <v>74</v>
      </c>
      <c r="AO149" t="s">
        <v>1082</v>
      </c>
      <c r="AP149" t="s">
        <v>74</v>
      </c>
      <c r="AQ149" t="s">
        <v>74</v>
      </c>
      <c r="AR149" t="s">
        <v>74</v>
      </c>
      <c r="AS149" t="s">
        <v>74</v>
      </c>
      <c r="AT149" t="s">
        <v>1540</v>
      </c>
      <c r="AU149">
        <v>2022</v>
      </c>
      <c r="AV149">
        <v>10</v>
      </c>
      <c r="AW149">
        <v>1</v>
      </c>
      <c r="AX149" t="s">
        <v>74</v>
      </c>
      <c r="AY149" t="s">
        <v>74</v>
      </c>
      <c r="AZ149" t="s">
        <v>74</v>
      </c>
      <c r="BA149" t="s">
        <v>74</v>
      </c>
      <c r="BB149" t="s">
        <v>74</v>
      </c>
      <c r="BC149" t="s">
        <v>74</v>
      </c>
      <c r="BD149">
        <v>193</v>
      </c>
      <c r="BE149" t="s">
        <v>1541</v>
      </c>
      <c r="BF149" t="str">
        <f>HYPERLINK("http://dx.doi.org/10.1186/s40494-022-00828-w","http://dx.doi.org/10.1186/s40494-022-00828-w")</f>
        <v>http://dx.doi.org/10.1186/s40494-022-00828-w</v>
      </c>
      <c r="BG149" t="s">
        <v>74</v>
      </c>
      <c r="BH149" t="s">
        <v>74</v>
      </c>
      <c r="BI149" t="s">
        <v>74</v>
      </c>
      <c r="BJ149" t="s">
        <v>74</v>
      </c>
      <c r="BK149" t="s">
        <v>74</v>
      </c>
      <c r="BL149" t="s">
        <v>74</v>
      </c>
      <c r="BM149" t="s">
        <v>74</v>
      </c>
      <c r="BN149" t="s">
        <v>74</v>
      </c>
      <c r="BO149" t="s">
        <v>74</v>
      </c>
      <c r="BP149" t="s">
        <v>74</v>
      </c>
      <c r="BQ149" t="s">
        <v>74</v>
      </c>
      <c r="BR149" t="s">
        <v>74</v>
      </c>
      <c r="BS149" t="s">
        <v>1542</v>
      </c>
      <c r="BT149" t="str">
        <f>HYPERLINK("https%3A%2F%2Fwww.webofscience.com%2Fwos%2Fwoscc%2Ffull-record%2FWOS:000887904200001","View Full Record in Web of Science")</f>
        <v>View Full Record in Web of Science</v>
      </c>
    </row>
    <row r="150" spans="1:72" x14ac:dyDescent="0.25">
      <c r="A150" t="s">
        <v>72</v>
      </c>
      <c r="B150" t="s">
        <v>1543</v>
      </c>
      <c r="C150" t="s">
        <v>74</v>
      </c>
      <c r="D150" t="s">
        <v>74</v>
      </c>
      <c r="E150" t="s">
        <v>74</v>
      </c>
      <c r="F150" t="s">
        <v>1544</v>
      </c>
      <c r="G150" t="s">
        <v>74</v>
      </c>
      <c r="H150" t="s">
        <v>74</v>
      </c>
      <c r="I150" t="s">
        <v>1545</v>
      </c>
      <c r="J150" t="s">
        <v>1546</v>
      </c>
      <c r="K150" t="s">
        <v>74</v>
      </c>
      <c r="L150" t="s">
        <v>74</v>
      </c>
      <c r="M150" t="s">
        <v>74</v>
      </c>
      <c r="N150" t="s">
        <v>74</v>
      </c>
      <c r="O150" t="s">
        <v>74</v>
      </c>
      <c r="P150" t="s">
        <v>74</v>
      </c>
      <c r="Q150" t="s">
        <v>74</v>
      </c>
      <c r="R150" t="s">
        <v>74</v>
      </c>
      <c r="S150" t="s">
        <v>74</v>
      </c>
      <c r="T150" t="s">
        <v>74</v>
      </c>
      <c r="U150" t="s">
        <v>74</v>
      </c>
      <c r="V150" t="s">
        <v>74</v>
      </c>
      <c r="W150" t="s">
        <v>74</v>
      </c>
      <c r="X150" t="s">
        <v>74</v>
      </c>
      <c r="Y150" t="s">
        <v>74</v>
      </c>
      <c r="Z150" t="s">
        <v>74</v>
      </c>
      <c r="AA150" t="s">
        <v>74</v>
      </c>
      <c r="AB150" t="s">
        <v>1547</v>
      </c>
      <c r="AC150" t="s">
        <v>74</v>
      </c>
      <c r="AD150" t="s">
        <v>74</v>
      </c>
      <c r="AE150" t="s">
        <v>74</v>
      </c>
      <c r="AF150" t="s">
        <v>74</v>
      </c>
      <c r="AG150" t="s">
        <v>74</v>
      </c>
      <c r="AH150" t="s">
        <v>74</v>
      </c>
      <c r="AI150" t="s">
        <v>74</v>
      </c>
      <c r="AJ150" t="s">
        <v>74</v>
      </c>
      <c r="AK150" t="s">
        <v>74</v>
      </c>
      <c r="AL150" t="s">
        <v>74</v>
      </c>
      <c r="AM150" t="s">
        <v>74</v>
      </c>
      <c r="AN150" t="s">
        <v>74</v>
      </c>
      <c r="AO150" t="s">
        <v>1548</v>
      </c>
      <c r="AP150" t="s">
        <v>1549</v>
      </c>
      <c r="AQ150" t="s">
        <v>74</v>
      </c>
      <c r="AR150" t="s">
        <v>74</v>
      </c>
      <c r="AS150" t="s">
        <v>74</v>
      </c>
      <c r="AT150" t="s">
        <v>74</v>
      </c>
      <c r="AU150" t="s">
        <v>74</v>
      </c>
      <c r="AV150" t="s">
        <v>74</v>
      </c>
      <c r="AW150" t="s">
        <v>74</v>
      </c>
      <c r="AX150" t="s">
        <v>74</v>
      </c>
      <c r="AY150" t="s">
        <v>74</v>
      </c>
      <c r="AZ150" t="s">
        <v>74</v>
      </c>
      <c r="BA150" t="s">
        <v>74</v>
      </c>
      <c r="BB150" t="s">
        <v>74</v>
      </c>
      <c r="BC150" t="s">
        <v>74</v>
      </c>
      <c r="BD150" t="s">
        <v>74</v>
      </c>
      <c r="BE150" t="s">
        <v>1550</v>
      </c>
      <c r="BF150" t="str">
        <f>HYPERLINK("http://dx.doi.org/10.1111/ijd.16604","http://dx.doi.org/10.1111/ijd.16604")</f>
        <v>http://dx.doi.org/10.1111/ijd.16604</v>
      </c>
      <c r="BG150" t="s">
        <v>74</v>
      </c>
      <c r="BH150" t="s">
        <v>151</v>
      </c>
      <c r="BI150" t="s">
        <v>74</v>
      </c>
      <c r="BJ150" t="s">
        <v>74</v>
      </c>
      <c r="BK150" t="s">
        <v>74</v>
      </c>
      <c r="BL150" t="s">
        <v>74</v>
      </c>
      <c r="BM150" t="s">
        <v>74</v>
      </c>
      <c r="BN150">
        <v>36691789</v>
      </c>
      <c r="BO150" t="s">
        <v>74</v>
      </c>
      <c r="BP150" t="s">
        <v>74</v>
      </c>
      <c r="BQ150" t="s">
        <v>74</v>
      </c>
      <c r="BR150" t="s">
        <v>74</v>
      </c>
      <c r="BS150" t="s">
        <v>1551</v>
      </c>
      <c r="BT150" t="str">
        <f>HYPERLINK("https%3A%2F%2Fwww.webofscience.com%2Fwos%2Fwoscc%2Ffull-record%2FWOS:000921818900001","View Full Record in Web of Science")</f>
        <v>View Full Record in Web of Science</v>
      </c>
    </row>
    <row r="151" spans="1:72" x14ac:dyDescent="0.25">
      <c r="A151" t="s">
        <v>84</v>
      </c>
      <c r="B151" t="s">
        <v>1552</v>
      </c>
      <c r="C151" t="s">
        <v>74</v>
      </c>
      <c r="D151" t="s">
        <v>74</v>
      </c>
      <c r="E151" t="s">
        <v>86</v>
      </c>
      <c r="F151" t="s">
        <v>1553</v>
      </c>
      <c r="G151" t="s">
        <v>74</v>
      </c>
      <c r="H151" t="s">
        <v>74</v>
      </c>
      <c r="I151" t="s">
        <v>1554</v>
      </c>
      <c r="J151" t="s">
        <v>181</v>
      </c>
      <c r="K151" t="s">
        <v>74</v>
      </c>
      <c r="L151" t="s">
        <v>74</v>
      </c>
      <c r="M151" t="s">
        <v>74</v>
      </c>
      <c r="N151" t="s">
        <v>74</v>
      </c>
      <c r="O151" t="s">
        <v>182</v>
      </c>
      <c r="P151" t="s">
        <v>183</v>
      </c>
      <c r="Q151" t="s">
        <v>184</v>
      </c>
      <c r="R151" t="s">
        <v>185</v>
      </c>
      <c r="S151" t="s">
        <v>74</v>
      </c>
      <c r="T151" t="s">
        <v>74</v>
      </c>
      <c r="U151" t="s">
        <v>74</v>
      </c>
      <c r="V151" t="s">
        <v>1555</v>
      </c>
      <c r="W151" t="s">
        <v>74</v>
      </c>
      <c r="X151" t="s">
        <v>74</v>
      </c>
      <c r="Y151" t="s">
        <v>74</v>
      </c>
      <c r="Z151" t="s">
        <v>74</v>
      </c>
      <c r="AA151" t="s">
        <v>74</v>
      </c>
      <c r="AB151" t="s">
        <v>74</v>
      </c>
      <c r="AC151" t="s">
        <v>74</v>
      </c>
      <c r="AD151" t="s">
        <v>74</v>
      </c>
      <c r="AE151" t="s">
        <v>74</v>
      </c>
      <c r="AF151" t="s">
        <v>74</v>
      </c>
      <c r="AG151" t="s">
        <v>74</v>
      </c>
      <c r="AH151" t="s">
        <v>74</v>
      </c>
      <c r="AI151" t="s">
        <v>74</v>
      </c>
      <c r="AJ151" t="s">
        <v>74</v>
      </c>
      <c r="AK151" t="s">
        <v>74</v>
      </c>
      <c r="AL151" t="s">
        <v>74</v>
      </c>
      <c r="AM151" t="s">
        <v>74</v>
      </c>
      <c r="AN151" t="s">
        <v>74</v>
      </c>
      <c r="AO151" t="s">
        <v>74</v>
      </c>
      <c r="AP151" t="s">
        <v>74</v>
      </c>
      <c r="AQ151" t="s">
        <v>187</v>
      </c>
      <c r="AR151" t="s">
        <v>74</v>
      </c>
      <c r="AS151" t="s">
        <v>74</v>
      </c>
      <c r="AT151" t="s">
        <v>74</v>
      </c>
      <c r="AU151">
        <v>2022</v>
      </c>
      <c r="AV151" t="s">
        <v>74</v>
      </c>
      <c r="AW151" t="s">
        <v>74</v>
      </c>
      <c r="AX151" t="s">
        <v>74</v>
      </c>
      <c r="AY151" t="s">
        <v>74</v>
      </c>
      <c r="AZ151" t="s">
        <v>74</v>
      </c>
      <c r="BA151" t="s">
        <v>74</v>
      </c>
      <c r="BB151">
        <v>81</v>
      </c>
      <c r="BC151">
        <v>86</v>
      </c>
      <c r="BD151" t="s">
        <v>74</v>
      </c>
      <c r="BE151" t="s">
        <v>1556</v>
      </c>
      <c r="BF151" t="str">
        <f>HYPERLINK("http://dx.doi.org/10.1109/MetroXRAINE54828.2022.9967489","http://dx.doi.org/10.1109/MetroXRAINE54828.2022.9967489")</f>
        <v>http://dx.doi.org/10.1109/MetroXRAINE54828.2022.9967489</v>
      </c>
      <c r="BG151" t="s">
        <v>74</v>
      </c>
      <c r="BH151" t="s">
        <v>74</v>
      </c>
      <c r="BI151" t="s">
        <v>74</v>
      </c>
      <c r="BJ151" t="s">
        <v>74</v>
      </c>
      <c r="BK151" t="s">
        <v>74</v>
      </c>
      <c r="BL151" t="s">
        <v>74</v>
      </c>
      <c r="BM151" t="s">
        <v>74</v>
      </c>
      <c r="BN151" t="s">
        <v>74</v>
      </c>
      <c r="BO151" t="s">
        <v>74</v>
      </c>
      <c r="BP151" t="s">
        <v>74</v>
      </c>
      <c r="BQ151" t="s">
        <v>74</v>
      </c>
      <c r="BR151" t="s">
        <v>74</v>
      </c>
      <c r="BS151" t="s">
        <v>1557</v>
      </c>
      <c r="BT151" t="str">
        <f>HYPERLINK("https%3A%2F%2Fwww.webofscience.com%2Fwos%2Fwoscc%2Ffull-record%2FWOS:000947347200015","View Full Record in Web of Science")</f>
        <v>View Full Record in Web of Science</v>
      </c>
    </row>
    <row r="152" spans="1:72" x14ac:dyDescent="0.25">
      <c r="A152" t="s">
        <v>72</v>
      </c>
      <c r="B152" t="s">
        <v>1558</v>
      </c>
      <c r="C152" t="s">
        <v>74</v>
      </c>
      <c r="D152" t="s">
        <v>74</v>
      </c>
      <c r="E152" t="s">
        <v>74</v>
      </c>
      <c r="F152" t="s">
        <v>1559</v>
      </c>
      <c r="G152" t="s">
        <v>74</v>
      </c>
      <c r="H152" t="s">
        <v>74</v>
      </c>
      <c r="I152" t="s">
        <v>1560</v>
      </c>
      <c r="J152" t="s">
        <v>1561</v>
      </c>
      <c r="K152" t="s">
        <v>74</v>
      </c>
      <c r="L152" t="s">
        <v>74</v>
      </c>
      <c r="M152" t="s">
        <v>74</v>
      </c>
      <c r="N152" t="s">
        <v>74</v>
      </c>
      <c r="O152" t="s">
        <v>74</v>
      </c>
      <c r="P152" t="s">
        <v>74</v>
      </c>
      <c r="Q152" t="s">
        <v>74</v>
      </c>
      <c r="R152" t="s">
        <v>74</v>
      </c>
      <c r="S152" t="s">
        <v>74</v>
      </c>
      <c r="T152" t="s">
        <v>74</v>
      </c>
      <c r="U152" t="s">
        <v>74</v>
      </c>
      <c r="V152" t="s">
        <v>1562</v>
      </c>
      <c r="W152" t="s">
        <v>74</v>
      </c>
      <c r="X152" t="s">
        <v>74</v>
      </c>
      <c r="Y152" t="s">
        <v>74</v>
      </c>
      <c r="Z152" t="s">
        <v>74</v>
      </c>
      <c r="AA152" t="s">
        <v>74</v>
      </c>
      <c r="AB152" t="s">
        <v>1563</v>
      </c>
      <c r="AC152" t="s">
        <v>74</v>
      </c>
      <c r="AD152" t="s">
        <v>74</v>
      </c>
      <c r="AE152" t="s">
        <v>74</v>
      </c>
      <c r="AF152" t="s">
        <v>74</v>
      </c>
      <c r="AG152" t="s">
        <v>74</v>
      </c>
      <c r="AH152" t="s">
        <v>74</v>
      </c>
      <c r="AI152" t="s">
        <v>74</v>
      </c>
      <c r="AJ152" t="s">
        <v>74</v>
      </c>
      <c r="AK152" t="s">
        <v>74</v>
      </c>
      <c r="AL152" t="s">
        <v>74</v>
      </c>
      <c r="AM152" t="s">
        <v>74</v>
      </c>
      <c r="AN152" t="s">
        <v>74</v>
      </c>
      <c r="AO152" t="s">
        <v>1564</v>
      </c>
      <c r="AP152" t="s">
        <v>1565</v>
      </c>
      <c r="AQ152" t="s">
        <v>74</v>
      </c>
      <c r="AR152" t="s">
        <v>74</v>
      </c>
      <c r="AS152" t="s">
        <v>74</v>
      </c>
      <c r="AT152" t="s">
        <v>465</v>
      </c>
      <c r="AU152">
        <v>2022</v>
      </c>
      <c r="AV152">
        <v>27</v>
      </c>
      <c r="AW152">
        <v>6</v>
      </c>
      <c r="AX152" t="s">
        <v>74</v>
      </c>
      <c r="AY152" t="s">
        <v>74</v>
      </c>
      <c r="AZ152" t="s">
        <v>1366</v>
      </c>
      <c r="BA152" t="s">
        <v>74</v>
      </c>
      <c r="BB152">
        <v>2596</v>
      </c>
      <c r="BC152">
        <v>2610</v>
      </c>
      <c r="BD152" t="s">
        <v>74</v>
      </c>
      <c r="BE152" t="s">
        <v>1566</v>
      </c>
      <c r="BF152" t="str">
        <f>HYPERLINK("http://dx.doi.org/10.1007/s11036-022-02075-6","http://dx.doi.org/10.1007/s11036-022-02075-6")</f>
        <v>http://dx.doi.org/10.1007/s11036-022-02075-6</v>
      </c>
      <c r="BG152" t="s">
        <v>74</v>
      </c>
      <c r="BH152" t="s">
        <v>151</v>
      </c>
      <c r="BI152" t="s">
        <v>74</v>
      </c>
      <c r="BJ152" t="s">
        <v>74</v>
      </c>
      <c r="BK152" t="s">
        <v>74</v>
      </c>
      <c r="BL152" t="s">
        <v>74</v>
      </c>
      <c r="BM152" t="s">
        <v>74</v>
      </c>
      <c r="BN152" t="s">
        <v>74</v>
      </c>
      <c r="BO152" t="s">
        <v>74</v>
      </c>
      <c r="BP152" t="s">
        <v>74</v>
      </c>
      <c r="BQ152" t="s">
        <v>74</v>
      </c>
      <c r="BR152" t="s">
        <v>74</v>
      </c>
      <c r="BS152" t="s">
        <v>1567</v>
      </c>
      <c r="BT152" t="str">
        <f>HYPERLINK("https%3A%2F%2Fwww.webofscience.com%2Fwos%2Fwoscc%2Ffull-record%2FWOS:000910161300001","View Full Record in Web of Science")</f>
        <v>View Full Record in Web of Science</v>
      </c>
    </row>
    <row r="153" spans="1:72" x14ac:dyDescent="0.25">
      <c r="A153" t="s">
        <v>72</v>
      </c>
      <c r="B153" t="s">
        <v>949</v>
      </c>
      <c r="C153" t="s">
        <v>74</v>
      </c>
      <c r="D153" t="s">
        <v>74</v>
      </c>
      <c r="E153" t="s">
        <v>74</v>
      </c>
      <c r="F153" t="s">
        <v>950</v>
      </c>
      <c r="G153" t="s">
        <v>74</v>
      </c>
      <c r="H153" t="s">
        <v>74</v>
      </c>
      <c r="I153" t="s">
        <v>1568</v>
      </c>
      <c r="J153" t="s">
        <v>952</v>
      </c>
      <c r="K153" t="s">
        <v>74</v>
      </c>
      <c r="L153" t="s">
        <v>74</v>
      </c>
      <c r="M153" t="s">
        <v>74</v>
      </c>
      <c r="N153" t="s">
        <v>74</v>
      </c>
      <c r="O153" t="s">
        <v>74</v>
      </c>
      <c r="P153" t="s">
        <v>74</v>
      </c>
      <c r="Q153" t="s">
        <v>74</v>
      </c>
      <c r="R153" t="s">
        <v>74</v>
      </c>
      <c r="S153" t="s">
        <v>74</v>
      </c>
      <c r="T153" t="s">
        <v>74</v>
      </c>
      <c r="U153" t="s">
        <v>74</v>
      </c>
      <c r="V153" t="s">
        <v>1569</v>
      </c>
      <c r="W153" t="s">
        <v>74</v>
      </c>
      <c r="X153" t="s">
        <v>74</v>
      </c>
      <c r="Y153" t="s">
        <v>74</v>
      </c>
      <c r="Z153" t="s">
        <v>74</v>
      </c>
      <c r="AA153" t="s">
        <v>954</v>
      </c>
      <c r="AB153" t="s">
        <v>955</v>
      </c>
      <c r="AC153" t="s">
        <v>74</v>
      </c>
      <c r="AD153" t="s">
        <v>74</v>
      </c>
      <c r="AE153" t="s">
        <v>74</v>
      </c>
      <c r="AF153" t="s">
        <v>74</v>
      </c>
      <c r="AG153" t="s">
        <v>74</v>
      </c>
      <c r="AH153" t="s">
        <v>74</v>
      </c>
      <c r="AI153" t="s">
        <v>74</v>
      </c>
      <c r="AJ153" t="s">
        <v>74</v>
      </c>
      <c r="AK153" t="s">
        <v>74</v>
      </c>
      <c r="AL153" t="s">
        <v>74</v>
      </c>
      <c r="AM153" t="s">
        <v>74</v>
      </c>
      <c r="AN153" t="s">
        <v>74</v>
      </c>
      <c r="AO153" t="s">
        <v>956</v>
      </c>
      <c r="AP153" t="s">
        <v>957</v>
      </c>
      <c r="AQ153" t="s">
        <v>74</v>
      </c>
      <c r="AR153" t="s">
        <v>74</v>
      </c>
      <c r="AS153" t="s">
        <v>74</v>
      </c>
      <c r="AT153" t="s">
        <v>74</v>
      </c>
      <c r="AU153" t="s">
        <v>74</v>
      </c>
      <c r="AV153" t="s">
        <v>74</v>
      </c>
      <c r="AW153" t="s">
        <v>74</v>
      </c>
      <c r="AX153" t="s">
        <v>74</v>
      </c>
      <c r="AY153" t="s">
        <v>74</v>
      </c>
      <c r="AZ153" t="s">
        <v>74</v>
      </c>
      <c r="BA153" t="s">
        <v>74</v>
      </c>
      <c r="BB153" t="s">
        <v>74</v>
      </c>
      <c r="BC153" t="s">
        <v>74</v>
      </c>
      <c r="BD153" t="s">
        <v>74</v>
      </c>
      <c r="BE153" t="s">
        <v>1570</v>
      </c>
      <c r="BF153" t="str">
        <f>HYPERLINK("http://dx.doi.org/10.1093/pubmed/fdac136","http://dx.doi.org/10.1093/pubmed/fdac136")</f>
        <v>http://dx.doi.org/10.1093/pubmed/fdac136</v>
      </c>
      <c r="BG153" t="s">
        <v>74</v>
      </c>
      <c r="BH153" t="s">
        <v>683</v>
      </c>
      <c r="BI153" t="s">
        <v>74</v>
      </c>
      <c r="BJ153" t="s">
        <v>74</v>
      </c>
      <c r="BK153" t="s">
        <v>74</v>
      </c>
      <c r="BL153" t="s">
        <v>74</v>
      </c>
      <c r="BM153" t="s">
        <v>74</v>
      </c>
      <c r="BN153">
        <v>36404617</v>
      </c>
      <c r="BO153" t="s">
        <v>74</v>
      </c>
      <c r="BP153" t="s">
        <v>74</v>
      </c>
      <c r="BQ153" t="s">
        <v>74</v>
      </c>
      <c r="BR153" t="s">
        <v>74</v>
      </c>
      <c r="BS153" t="s">
        <v>1571</v>
      </c>
      <c r="BT153" t="str">
        <f>HYPERLINK("https%3A%2F%2Fwww.webofscience.com%2Fwos%2Fwoscc%2Ffull-record%2FWOS:000893222100001","View Full Record in Web of Science")</f>
        <v>View Full Record in Web of Science</v>
      </c>
    </row>
    <row r="154" spans="1:72" x14ac:dyDescent="0.25">
      <c r="A154" t="s">
        <v>72</v>
      </c>
      <c r="B154" t="s">
        <v>1572</v>
      </c>
      <c r="C154" t="s">
        <v>74</v>
      </c>
      <c r="D154" t="s">
        <v>74</v>
      </c>
      <c r="E154" t="s">
        <v>74</v>
      </c>
      <c r="F154" t="s">
        <v>1573</v>
      </c>
      <c r="G154" t="s">
        <v>74</v>
      </c>
      <c r="H154" t="s">
        <v>74</v>
      </c>
      <c r="I154" t="s">
        <v>1574</v>
      </c>
      <c r="J154" t="s">
        <v>460</v>
      </c>
      <c r="K154" t="s">
        <v>74</v>
      </c>
      <c r="L154" t="s">
        <v>74</v>
      </c>
      <c r="M154" t="s">
        <v>74</v>
      </c>
      <c r="N154" t="s">
        <v>74</v>
      </c>
      <c r="O154" t="s">
        <v>74</v>
      </c>
      <c r="P154" t="s">
        <v>74</v>
      </c>
      <c r="Q154" t="s">
        <v>74</v>
      </c>
      <c r="R154" t="s">
        <v>74</v>
      </c>
      <c r="S154" t="s">
        <v>74</v>
      </c>
      <c r="T154" t="s">
        <v>74</v>
      </c>
      <c r="U154" t="s">
        <v>74</v>
      </c>
      <c r="V154" t="s">
        <v>1575</v>
      </c>
      <c r="W154" t="s">
        <v>74</v>
      </c>
      <c r="X154" t="s">
        <v>74</v>
      </c>
      <c r="Y154" t="s">
        <v>74</v>
      </c>
      <c r="Z154" t="s">
        <v>74</v>
      </c>
      <c r="AA154" t="s">
        <v>1091</v>
      </c>
      <c r="AB154" t="s">
        <v>74</v>
      </c>
      <c r="AC154" t="s">
        <v>74</v>
      </c>
      <c r="AD154" t="s">
        <v>74</v>
      </c>
      <c r="AE154" t="s">
        <v>74</v>
      </c>
      <c r="AF154" t="s">
        <v>74</v>
      </c>
      <c r="AG154" t="s">
        <v>74</v>
      </c>
      <c r="AH154" t="s">
        <v>74</v>
      </c>
      <c r="AI154" t="s">
        <v>74</v>
      </c>
      <c r="AJ154" t="s">
        <v>74</v>
      </c>
      <c r="AK154" t="s">
        <v>74</v>
      </c>
      <c r="AL154" t="s">
        <v>74</v>
      </c>
      <c r="AM154" t="s">
        <v>74</v>
      </c>
      <c r="AN154" t="s">
        <v>74</v>
      </c>
      <c r="AO154" t="s">
        <v>74</v>
      </c>
      <c r="AP154" t="s">
        <v>464</v>
      </c>
      <c r="AQ154" t="s">
        <v>74</v>
      </c>
      <c r="AR154" t="s">
        <v>74</v>
      </c>
      <c r="AS154" t="s">
        <v>74</v>
      </c>
      <c r="AT154" t="s">
        <v>195</v>
      </c>
      <c r="AU154">
        <v>2022</v>
      </c>
      <c r="AV154">
        <v>14</v>
      </c>
      <c r="AW154">
        <v>22</v>
      </c>
      <c r="AX154" t="s">
        <v>74</v>
      </c>
      <c r="AY154" t="s">
        <v>74</v>
      </c>
      <c r="AZ154" t="s">
        <v>74</v>
      </c>
      <c r="BA154" t="s">
        <v>74</v>
      </c>
      <c r="BB154" t="s">
        <v>74</v>
      </c>
      <c r="BC154" t="s">
        <v>74</v>
      </c>
      <c r="BD154">
        <v>14747</v>
      </c>
      <c r="BE154" t="s">
        <v>1576</v>
      </c>
      <c r="BF154" t="str">
        <f>HYPERLINK("http://dx.doi.org/10.3390/su142214747","http://dx.doi.org/10.3390/su142214747")</f>
        <v>http://dx.doi.org/10.3390/su142214747</v>
      </c>
      <c r="BG154" t="s">
        <v>74</v>
      </c>
      <c r="BH154" t="s">
        <v>74</v>
      </c>
      <c r="BI154" t="s">
        <v>74</v>
      </c>
      <c r="BJ154" t="s">
        <v>74</v>
      </c>
      <c r="BK154" t="s">
        <v>74</v>
      </c>
      <c r="BL154" t="s">
        <v>74</v>
      </c>
      <c r="BM154" t="s">
        <v>74</v>
      </c>
      <c r="BN154" t="s">
        <v>74</v>
      </c>
      <c r="BO154" t="s">
        <v>74</v>
      </c>
      <c r="BP154" t="s">
        <v>74</v>
      </c>
      <c r="BQ154" t="s">
        <v>74</v>
      </c>
      <c r="BR154" t="s">
        <v>74</v>
      </c>
      <c r="BS154" t="s">
        <v>1577</v>
      </c>
      <c r="BT154" t="str">
        <f>HYPERLINK("https%3A%2F%2Fwww.webofscience.com%2Fwos%2Fwoscc%2Ffull-record%2FWOS:000887808800001","View Full Record in Web of Science")</f>
        <v>View Full Record in Web of Science</v>
      </c>
    </row>
    <row r="155" spans="1:72" x14ac:dyDescent="0.25">
      <c r="A155" t="s">
        <v>72</v>
      </c>
      <c r="B155" t="s">
        <v>1578</v>
      </c>
      <c r="C155" t="s">
        <v>74</v>
      </c>
      <c r="D155" t="s">
        <v>74</v>
      </c>
      <c r="E155" t="s">
        <v>74</v>
      </c>
      <c r="F155" t="s">
        <v>1579</v>
      </c>
      <c r="G155" t="s">
        <v>74</v>
      </c>
      <c r="H155" t="s">
        <v>74</v>
      </c>
      <c r="I155" t="s">
        <v>1580</v>
      </c>
      <c r="J155" t="s">
        <v>1581</v>
      </c>
      <c r="K155" t="s">
        <v>74</v>
      </c>
      <c r="L155" t="s">
        <v>74</v>
      </c>
      <c r="M155" t="s">
        <v>74</v>
      </c>
      <c r="N155" t="s">
        <v>74</v>
      </c>
      <c r="O155" t="s">
        <v>74</v>
      </c>
      <c r="P155" t="s">
        <v>74</v>
      </c>
      <c r="Q155" t="s">
        <v>74</v>
      </c>
      <c r="R155" t="s">
        <v>74</v>
      </c>
      <c r="S155" t="s">
        <v>74</v>
      </c>
      <c r="T155" t="s">
        <v>74</v>
      </c>
      <c r="U155" t="s">
        <v>74</v>
      </c>
      <c r="V155" t="s">
        <v>1582</v>
      </c>
      <c r="W155" t="s">
        <v>74</v>
      </c>
      <c r="X155" t="s">
        <v>74</v>
      </c>
      <c r="Y155" t="s">
        <v>74</v>
      </c>
      <c r="Z155" t="s">
        <v>74</v>
      </c>
      <c r="AA155" t="s">
        <v>74</v>
      </c>
      <c r="AB155" t="s">
        <v>1583</v>
      </c>
      <c r="AC155" t="s">
        <v>74</v>
      </c>
      <c r="AD155" t="s">
        <v>74</v>
      </c>
      <c r="AE155" t="s">
        <v>74</v>
      </c>
      <c r="AF155" t="s">
        <v>74</v>
      </c>
      <c r="AG155" t="s">
        <v>74</v>
      </c>
      <c r="AH155" t="s">
        <v>74</v>
      </c>
      <c r="AI155" t="s">
        <v>74</v>
      </c>
      <c r="AJ155" t="s">
        <v>74</v>
      </c>
      <c r="AK155" t="s">
        <v>74</v>
      </c>
      <c r="AL155" t="s">
        <v>74</v>
      </c>
      <c r="AM155" t="s">
        <v>74</v>
      </c>
      <c r="AN155" t="s">
        <v>74</v>
      </c>
      <c r="AO155" t="s">
        <v>1584</v>
      </c>
      <c r="AP155" t="s">
        <v>1585</v>
      </c>
      <c r="AQ155" t="s">
        <v>74</v>
      </c>
      <c r="AR155" t="s">
        <v>74</v>
      </c>
      <c r="AS155" t="s">
        <v>74</v>
      </c>
      <c r="AT155" t="s">
        <v>1586</v>
      </c>
      <c r="AU155">
        <v>2022</v>
      </c>
      <c r="AV155">
        <v>29</v>
      </c>
      <c r="AW155">
        <v>1</v>
      </c>
      <c r="AX155" t="s">
        <v>74</v>
      </c>
      <c r="AY155" t="s">
        <v>74</v>
      </c>
      <c r="AZ155" t="s">
        <v>74</v>
      </c>
      <c r="BA155" t="s">
        <v>74</v>
      </c>
      <c r="BB155">
        <v>125</v>
      </c>
      <c r="BC155">
        <v>127</v>
      </c>
      <c r="BD155" t="s">
        <v>74</v>
      </c>
      <c r="BE155" t="s">
        <v>1587</v>
      </c>
      <c r="BF155" t="str">
        <f>HYPERLINK("http://dx.doi.org/10.1109/MMUL.2022.3156185","http://dx.doi.org/10.1109/MMUL.2022.3156185")</f>
        <v>http://dx.doi.org/10.1109/MMUL.2022.3156185</v>
      </c>
      <c r="BG155" t="s">
        <v>74</v>
      </c>
      <c r="BH155" t="s">
        <v>74</v>
      </c>
      <c r="BI155" t="s">
        <v>74</v>
      </c>
      <c r="BJ155" t="s">
        <v>74</v>
      </c>
      <c r="BK155" t="s">
        <v>74</v>
      </c>
      <c r="BL155" t="s">
        <v>74</v>
      </c>
      <c r="BM155" t="s">
        <v>74</v>
      </c>
      <c r="BN155" t="s">
        <v>74</v>
      </c>
      <c r="BO155" t="s">
        <v>74</v>
      </c>
      <c r="BP155" t="s">
        <v>74</v>
      </c>
      <c r="BQ155" t="s">
        <v>74</v>
      </c>
      <c r="BR155" t="s">
        <v>74</v>
      </c>
      <c r="BS155" t="s">
        <v>1588</v>
      </c>
      <c r="BT155" t="str">
        <f>HYPERLINK("https%3A%2F%2Fwww.webofscience.com%2Fwos%2Fwoscc%2Ffull-record%2FWOS:000803109900021","View Full Record in Web of Science")</f>
        <v>View Full Record in Web of Science</v>
      </c>
    </row>
    <row r="156" spans="1:72" x14ac:dyDescent="0.25">
      <c r="A156" t="s">
        <v>84</v>
      </c>
      <c r="B156" t="s">
        <v>1589</v>
      </c>
      <c r="C156" t="s">
        <v>74</v>
      </c>
      <c r="D156" t="s">
        <v>221</v>
      </c>
      <c r="E156" t="s">
        <v>74</v>
      </c>
      <c r="F156" t="s">
        <v>1590</v>
      </c>
      <c r="G156" t="s">
        <v>74</v>
      </c>
      <c r="H156" t="s">
        <v>74</v>
      </c>
      <c r="I156" t="s">
        <v>1591</v>
      </c>
      <c r="J156" t="s">
        <v>224</v>
      </c>
      <c r="K156" t="s">
        <v>158</v>
      </c>
      <c r="L156" t="s">
        <v>74</v>
      </c>
      <c r="M156" t="s">
        <v>74</v>
      </c>
      <c r="N156" t="s">
        <v>74</v>
      </c>
      <c r="O156" t="s">
        <v>225</v>
      </c>
      <c r="P156" t="s">
        <v>226</v>
      </c>
      <c r="Q156" t="s">
        <v>108</v>
      </c>
      <c r="R156" t="s">
        <v>227</v>
      </c>
      <c r="S156" t="s">
        <v>74</v>
      </c>
      <c r="T156" t="s">
        <v>74</v>
      </c>
      <c r="U156" t="s">
        <v>74</v>
      </c>
      <c r="V156" t="s">
        <v>1592</v>
      </c>
      <c r="W156" t="s">
        <v>74</v>
      </c>
      <c r="X156" t="s">
        <v>74</v>
      </c>
      <c r="Y156" t="s">
        <v>74</v>
      </c>
      <c r="Z156" t="s">
        <v>74</v>
      </c>
      <c r="AA156" t="s">
        <v>74</v>
      </c>
      <c r="AB156" t="s">
        <v>74</v>
      </c>
      <c r="AC156" t="s">
        <v>74</v>
      </c>
      <c r="AD156" t="s">
        <v>74</v>
      </c>
      <c r="AE156" t="s">
        <v>74</v>
      </c>
      <c r="AF156" t="s">
        <v>74</v>
      </c>
      <c r="AG156" t="s">
        <v>74</v>
      </c>
      <c r="AH156" t="s">
        <v>74</v>
      </c>
      <c r="AI156" t="s">
        <v>74</v>
      </c>
      <c r="AJ156" t="s">
        <v>74</v>
      </c>
      <c r="AK156" t="s">
        <v>74</v>
      </c>
      <c r="AL156" t="s">
        <v>74</v>
      </c>
      <c r="AM156" t="s">
        <v>74</v>
      </c>
      <c r="AN156" t="s">
        <v>74</v>
      </c>
      <c r="AO156" t="s">
        <v>164</v>
      </c>
      <c r="AP156" t="s">
        <v>165</v>
      </c>
      <c r="AQ156" t="s">
        <v>229</v>
      </c>
      <c r="AR156" t="s">
        <v>74</v>
      </c>
      <c r="AS156" t="s">
        <v>74</v>
      </c>
      <c r="AT156" t="s">
        <v>74</v>
      </c>
      <c r="AU156">
        <v>2022</v>
      </c>
      <c r="AV156">
        <v>12993</v>
      </c>
      <c r="AW156" t="s">
        <v>74</v>
      </c>
      <c r="AX156" t="s">
        <v>74</v>
      </c>
      <c r="AY156" t="s">
        <v>74</v>
      </c>
      <c r="AZ156" t="s">
        <v>74</v>
      </c>
      <c r="BA156" t="s">
        <v>74</v>
      </c>
      <c r="BB156">
        <v>77</v>
      </c>
      <c r="BC156">
        <v>89</v>
      </c>
      <c r="BD156" t="s">
        <v>74</v>
      </c>
      <c r="BE156" t="s">
        <v>1593</v>
      </c>
      <c r="BF156" t="str">
        <f>HYPERLINK("http://dx.doi.org/10.1007/978-3-030-96068-1_6","http://dx.doi.org/10.1007/978-3-030-96068-1_6")</f>
        <v>http://dx.doi.org/10.1007/978-3-030-96068-1_6</v>
      </c>
      <c r="BG156" t="s">
        <v>74</v>
      </c>
      <c r="BH156" t="s">
        <v>74</v>
      </c>
      <c r="BI156" t="s">
        <v>74</v>
      </c>
      <c r="BJ156" t="s">
        <v>74</v>
      </c>
      <c r="BK156" t="s">
        <v>74</v>
      </c>
      <c r="BL156" t="s">
        <v>74</v>
      </c>
      <c r="BM156" t="s">
        <v>74</v>
      </c>
      <c r="BN156" t="s">
        <v>74</v>
      </c>
      <c r="BO156" t="s">
        <v>74</v>
      </c>
      <c r="BP156" t="s">
        <v>74</v>
      </c>
      <c r="BQ156" t="s">
        <v>74</v>
      </c>
      <c r="BR156" t="s">
        <v>74</v>
      </c>
      <c r="BS156" t="s">
        <v>1594</v>
      </c>
      <c r="BT156" t="str">
        <f>HYPERLINK("https%3A%2F%2Fwww.webofscience.com%2Fwos%2Fwoscc%2Ffull-record%2FWOS:000772174700006","View Full Record in Web of Science")</f>
        <v>View Full Record in Web of Science</v>
      </c>
    </row>
    <row r="157" spans="1:72" x14ac:dyDescent="0.25">
      <c r="A157" t="s">
        <v>84</v>
      </c>
      <c r="B157" t="s">
        <v>1595</v>
      </c>
      <c r="C157" t="s">
        <v>74</v>
      </c>
      <c r="D157" t="s">
        <v>1596</v>
      </c>
      <c r="E157" t="s">
        <v>74</v>
      </c>
      <c r="F157" t="s">
        <v>1597</v>
      </c>
      <c r="G157" t="s">
        <v>74</v>
      </c>
      <c r="H157" t="s">
        <v>74</v>
      </c>
      <c r="I157" t="s">
        <v>1598</v>
      </c>
      <c r="J157" t="s">
        <v>1599</v>
      </c>
      <c r="K157" t="s">
        <v>74</v>
      </c>
      <c r="L157" t="s">
        <v>74</v>
      </c>
      <c r="M157" t="s">
        <v>74</v>
      </c>
      <c r="N157" t="s">
        <v>74</v>
      </c>
      <c r="O157" t="s">
        <v>1600</v>
      </c>
      <c r="P157" t="s">
        <v>1601</v>
      </c>
      <c r="Q157" t="s">
        <v>1602</v>
      </c>
      <c r="R157" t="s">
        <v>74</v>
      </c>
      <c r="S157" t="s">
        <v>74</v>
      </c>
      <c r="T157" t="s">
        <v>74</v>
      </c>
      <c r="U157" t="s">
        <v>74</v>
      </c>
      <c r="V157" t="s">
        <v>1603</v>
      </c>
      <c r="W157" t="s">
        <v>74</v>
      </c>
      <c r="X157" t="s">
        <v>74</v>
      </c>
      <c r="Y157" t="s">
        <v>74</v>
      </c>
      <c r="Z157" t="s">
        <v>74</v>
      </c>
      <c r="AA157" t="s">
        <v>74</v>
      </c>
      <c r="AB157" t="s">
        <v>74</v>
      </c>
      <c r="AC157" t="s">
        <v>74</v>
      </c>
      <c r="AD157" t="s">
        <v>74</v>
      </c>
      <c r="AE157" t="s">
        <v>74</v>
      </c>
      <c r="AF157" t="s">
        <v>74</v>
      </c>
      <c r="AG157" t="s">
        <v>74</v>
      </c>
      <c r="AH157" t="s">
        <v>74</v>
      </c>
      <c r="AI157" t="s">
        <v>74</v>
      </c>
      <c r="AJ157" t="s">
        <v>74</v>
      </c>
      <c r="AK157" t="s">
        <v>74</v>
      </c>
      <c r="AL157" t="s">
        <v>74</v>
      </c>
      <c r="AM157" t="s">
        <v>74</v>
      </c>
      <c r="AN157" t="s">
        <v>74</v>
      </c>
      <c r="AO157" t="s">
        <v>74</v>
      </c>
      <c r="AP157" t="s">
        <v>74</v>
      </c>
      <c r="AQ157" t="s">
        <v>1604</v>
      </c>
      <c r="AR157" t="s">
        <v>74</v>
      </c>
      <c r="AS157" t="s">
        <v>74</v>
      </c>
      <c r="AT157" t="s">
        <v>74</v>
      </c>
      <c r="AU157">
        <v>2022</v>
      </c>
      <c r="AV157" t="s">
        <v>74</v>
      </c>
      <c r="AW157" t="s">
        <v>74</v>
      </c>
      <c r="AX157" t="s">
        <v>74</v>
      </c>
      <c r="AY157" t="s">
        <v>74</v>
      </c>
      <c r="AZ157" t="s">
        <v>74</v>
      </c>
      <c r="BA157" t="s">
        <v>74</v>
      </c>
      <c r="BB157">
        <v>854</v>
      </c>
      <c r="BC157">
        <v>859</v>
      </c>
      <c r="BD157" t="s">
        <v>74</v>
      </c>
      <c r="BE157" t="s">
        <v>1605</v>
      </c>
      <c r="BF157" t="str">
        <f>HYPERLINK("http://dx.doi.org/10.1109/DASC/PiCom/CBDCom/Cy55231.2022.9927997","http://dx.doi.org/10.1109/DASC/PiCom/CBDCom/Cy55231.2022.9927997")</f>
        <v>http://dx.doi.org/10.1109/DASC/PiCom/CBDCom/Cy55231.2022.9927997</v>
      </c>
      <c r="BG157" t="s">
        <v>74</v>
      </c>
      <c r="BH157" t="s">
        <v>74</v>
      </c>
      <c r="BI157" t="s">
        <v>74</v>
      </c>
      <c r="BJ157" t="s">
        <v>74</v>
      </c>
      <c r="BK157" t="s">
        <v>74</v>
      </c>
      <c r="BL157" t="s">
        <v>74</v>
      </c>
      <c r="BM157" t="s">
        <v>74</v>
      </c>
      <c r="BN157" t="s">
        <v>74</v>
      </c>
      <c r="BO157" t="s">
        <v>74</v>
      </c>
      <c r="BP157" t="s">
        <v>74</v>
      </c>
      <c r="BQ157" t="s">
        <v>74</v>
      </c>
      <c r="BR157" t="s">
        <v>74</v>
      </c>
      <c r="BS157" t="s">
        <v>1606</v>
      </c>
      <c r="BT157" t="str">
        <f>HYPERLINK("https%3A%2F%2Fwww.webofscience.com%2Fwos%2Fwoscc%2Ffull-record%2FWOS:000948109800130","View Full Record in Web of Science")</f>
        <v>View Full Record in Web of Science</v>
      </c>
    </row>
    <row r="158" spans="1:72" x14ac:dyDescent="0.25">
      <c r="A158" t="s">
        <v>72</v>
      </c>
      <c r="B158" t="s">
        <v>1607</v>
      </c>
      <c r="C158" t="s">
        <v>74</v>
      </c>
      <c r="D158" t="s">
        <v>74</v>
      </c>
      <c r="E158" t="s">
        <v>74</v>
      </c>
      <c r="F158" t="s">
        <v>1608</v>
      </c>
      <c r="G158" t="s">
        <v>74</v>
      </c>
      <c r="H158" t="s">
        <v>74</v>
      </c>
      <c r="I158" t="s">
        <v>1609</v>
      </c>
      <c r="J158" t="s">
        <v>1610</v>
      </c>
      <c r="K158" t="s">
        <v>74</v>
      </c>
      <c r="L158" t="s">
        <v>74</v>
      </c>
      <c r="M158" t="s">
        <v>74</v>
      </c>
      <c r="N158" t="s">
        <v>74</v>
      </c>
      <c r="O158" t="s">
        <v>74</v>
      </c>
      <c r="P158" t="s">
        <v>74</v>
      </c>
      <c r="Q158" t="s">
        <v>74</v>
      </c>
      <c r="R158" t="s">
        <v>74</v>
      </c>
      <c r="S158" t="s">
        <v>74</v>
      </c>
      <c r="T158" t="s">
        <v>74</v>
      </c>
      <c r="U158" t="s">
        <v>74</v>
      </c>
      <c r="V158" t="s">
        <v>74</v>
      </c>
      <c r="W158" t="s">
        <v>74</v>
      </c>
      <c r="X158" t="s">
        <v>74</v>
      </c>
      <c r="Y158" t="s">
        <v>74</v>
      </c>
      <c r="Z158" t="s">
        <v>74</v>
      </c>
      <c r="AA158" t="s">
        <v>74</v>
      </c>
      <c r="AB158" t="s">
        <v>1611</v>
      </c>
      <c r="AC158" t="s">
        <v>74</v>
      </c>
      <c r="AD158" t="s">
        <v>74</v>
      </c>
      <c r="AE158" t="s">
        <v>74</v>
      </c>
      <c r="AF158" t="s">
        <v>74</v>
      </c>
      <c r="AG158" t="s">
        <v>74</v>
      </c>
      <c r="AH158" t="s">
        <v>74</v>
      </c>
      <c r="AI158" t="s">
        <v>74</v>
      </c>
      <c r="AJ158" t="s">
        <v>74</v>
      </c>
      <c r="AK158" t="s">
        <v>74</v>
      </c>
      <c r="AL158" t="s">
        <v>74</v>
      </c>
      <c r="AM158" t="s">
        <v>74</v>
      </c>
      <c r="AN158" t="s">
        <v>74</v>
      </c>
      <c r="AO158" t="s">
        <v>1612</v>
      </c>
      <c r="AP158" t="s">
        <v>1613</v>
      </c>
      <c r="AQ158" t="s">
        <v>74</v>
      </c>
      <c r="AR158" t="s">
        <v>74</v>
      </c>
      <c r="AS158" t="s">
        <v>74</v>
      </c>
      <c r="AT158" t="s">
        <v>74</v>
      </c>
      <c r="AU158" t="s">
        <v>74</v>
      </c>
      <c r="AV158" t="s">
        <v>74</v>
      </c>
      <c r="AW158" t="s">
        <v>74</v>
      </c>
      <c r="AX158" t="s">
        <v>74</v>
      </c>
      <c r="AY158" t="s">
        <v>74</v>
      </c>
      <c r="AZ158" t="s">
        <v>74</v>
      </c>
      <c r="BA158" t="s">
        <v>74</v>
      </c>
      <c r="BB158" t="s">
        <v>74</v>
      </c>
      <c r="BC158" t="s">
        <v>74</v>
      </c>
      <c r="BD158" t="s">
        <v>74</v>
      </c>
      <c r="BE158" t="s">
        <v>1614</v>
      </c>
      <c r="BF158" t="str">
        <f>HYPERLINK("http://dx.doi.org/10.1177/22925503221109714","http://dx.doi.org/10.1177/22925503221109714")</f>
        <v>http://dx.doi.org/10.1177/22925503221109714</v>
      </c>
      <c r="BG158" t="s">
        <v>74</v>
      </c>
      <c r="BH158" t="s">
        <v>1148</v>
      </c>
      <c r="BI158" t="s">
        <v>74</v>
      </c>
      <c r="BJ158" t="s">
        <v>74</v>
      </c>
      <c r="BK158" t="s">
        <v>74</v>
      </c>
      <c r="BL158" t="s">
        <v>74</v>
      </c>
      <c r="BM158" t="s">
        <v>74</v>
      </c>
      <c r="BN158" t="s">
        <v>74</v>
      </c>
      <c r="BO158" t="s">
        <v>74</v>
      </c>
      <c r="BP158" t="s">
        <v>74</v>
      </c>
      <c r="BQ158" t="s">
        <v>74</v>
      </c>
      <c r="BR158" t="s">
        <v>74</v>
      </c>
      <c r="BS158" t="s">
        <v>1615</v>
      </c>
      <c r="BT158" t="str">
        <f>HYPERLINK("https%3A%2F%2Fwww.webofscience.com%2Fwos%2Fwoscc%2Ffull-record%2FWOS:000822083400001","View Full Record in Web of Science")</f>
        <v>View Full Record in Web of Science</v>
      </c>
    </row>
    <row r="159" spans="1:72" x14ac:dyDescent="0.25">
      <c r="A159" t="s">
        <v>72</v>
      </c>
      <c r="B159" t="s">
        <v>1616</v>
      </c>
      <c r="C159" t="s">
        <v>74</v>
      </c>
      <c r="D159" t="s">
        <v>74</v>
      </c>
      <c r="E159" t="s">
        <v>74</v>
      </c>
      <c r="F159" t="s">
        <v>1617</v>
      </c>
      <c r="G159" t="s">
        <v>74</v>
      </c>
      <c r="H159" t="s">
        <v>74</v>
      </c>
      <c r="I159" t="s">
        <v>1618</v>
      </c>
      <c r="J159" t="s">
        <v>1619</v>
      </c>
      <c r="K159" t="s">
        <v>74</v>
      </c>
      <c r="L159" t="s">
        <v>74</v>
      </c>
      <c r="M159" t="s">
        <v>74</v>
      </c>
      <c r="N159" t="s">
        <v>74</v>
      </c>
      <c r="O159" t="s">
        <v>74</v>
      </c>
      <c r="P159" t="s">
        <v>74</v>
      </c>
      <c r="Q159" t="s">
        <v>74</v>
      </c>
      <c r="R159" t="s">
        <v>74</v>
      </c>
      <c r="S159" t="s">
        <v>74</v>
      </c>
      <c r="T159" t="s">
        <v>74</v>
      </c>
      <c r="U159" t="s">
        <v>74</v>
      </c>
      <c r="V159" t="s">
        <v>74</v>
      </c>
      <c r="W159" t="s">
        <v>74</v>
      </c>
      <c r="X159" t="s">
        <v>74</v>
      </c>
      <c r="Y159" t="s">
        <v>74</v>
      </c>
      <c r="Z159" t="s">
        <v>74</v>
      </c>
      <c r="AA159" t="s">
        <v>74</v>
      </c>
      <c r="AB159" t="s">
        <v>74</v>
      </c>
      <c r="AC159" t="s">
        <v>74</v>
      </c>
      <c r="AD159" t="s">
        <v>74</v>
      </c>
      <c r="AE159" t="s">
        <v>74</v>
      </c>
      <c r="AF159" t="s">
        <v>74</v>
      </c>
      <c r="AG159" t="s">
        <v>74</v>
      </c>
      <c r="AH159" t="s">
        <v>74</v>
      </c>
      <c r="AI159" t="s">
        <v>74</v>
      </c>
      <c r="AJ159" t="s">
        <v>74</v>
      </c>
      <c r="AK159" t="s">
        <v>74</v>
      </c>
      <c r="AL159" t="s">
        <v>74</v>
      </c>
      <c r="AM159" t="s">
        <v>74</v>
      </c>
      <c r="AN159" t="s">
        <v>74</v>
      </c>
      <c r="AO159" t="s">
        <v>1620</v>
      </c>
      <c r="AP159" t="s">
        <v>1621</v>
      </c>
      <c r="AQ159" t="s">
        <v>74</v>
      </c>
      <c r="AR159" t="s">
        <v>74</v>
      </c>
      <c r="AS159" t="s">
        <v>74</v>
      </c>
      <c r="AT159" t="s">
        <v>1622</v>
      </c>
      <c r="AU159">
        <v>2022</v>
      </c>
      <c r="AV159">
        <v>65</v>
      </c>
      <c r="AW159">
        <v>5</v>
      </c>
      <c r="AX159" t="s">
        <v>74</v>
      </c>
      <c r="AY159" t="s">
        <v>74</v>
      </c>
      <c r="AZ159" t="s">
        <v>1366</v>
      </c>
      <c r="BA159" t="s">
        <v>74</v>
      </c>
      <c r="BB159">
        <v>54</v>
      </c>
      <c r="BC159">
        <v>56</v>
      </c>
      <c r="BD159" t="s">
        <v>74</v>
      </c>
      <c r="BE159" t="s">
        <v>1623</v>
      </c>
      <c r="BF159" t="str">
        <f>HYPERLINK("http://dx.doi.org/10.1080/08956308.2022.2090182","http://dx.doi.org/10.1080/08956308.2022.2090182")</f>
        <v>http://dx.doi.org/10.1080/08956308.2022.2090182</v>
      </c>
      <c r="BG159" t="s">
        <v>74</v>
      </c>
      <c r="BH159" t="s">
        <v>74</v>
      </c>
      <c r="BI159" t="s">
        <v>74</v>
      </c>
      <c r="BJ159" t="s">
        <v>74</v>
      </c>
      <c r="BK159" t="s">
        <v>74</v>
      </c>
      <c r="BL159" t="s">
        <v>74</v>
      </c>
      <c r="BM159" t="s">
        <v>74</v>
      </c>
      <c r="BN159" t="s">
        <v>74</v>
      </c>
      <c r="BO159" t="s">
        <v>74</v>
      </c>
      <c r="BP159" t="s">
        <v>74</v>
      </c>
      <c r="BQ159" t="s">
        <v>74</v>
      </c>
      <c r="BR159" t="s">
        <v>74</v>
      </c>
      <c r="BS159" t="s">
        <v>1624</v>
      </c>
      <c r="BT159" t="str">
        <f>HYPERLINK("https%3A%2F%2Fwww.webofscience.com%2Fwos%2Fwoscc%2Ffull-record%2FWOS:000841677400008","View Full Record in Web of Science")</f>
        <v>View Full Record in Web of Science</v>
      </c>
    </row>
    <row r="160" spans="1:72" x14ac:dyDescent="0.25">
      <c r="A160" t="s">
        <v>72</v>
      </c>
      <c r="B160" t="s">
        <v>1625</v>
      </c>
      <c r="C160" t="s">
        <v>74</v>
      </c>
      <c r="D160" t="s">
        <v>74</v>
      </c>
      <c r="E160" t="s">
        <v>74</v>
      </c>
      <c r="F160" t="s">
        <v>1626</v>
      </c>
      <c r="G160" t="s">
        <v>74</v>
      </c>
      <c r="H160" t="s">
        <v>74</v>
      </c>
      <c r="I160" t="s">
        <v>1627</v>
      </c>
      <c r="J160" t="s">
        <v>653</v>
      </c>
      <c r="K160" t="s">
        <v>74</v>
      </c>
      <c r="L160" t="s">
        <v>74</v>
      </c>
      <c r="M160" t="s">
        <v>74</v>
      </c>
      <c r="N160" t="s">
        <v>74</v>
      </c>
      <c r="O160" t="s">
        <v>74</v>
      </c>
      <c r="P160" t="s">
        <v>74</v>
      </c>
      <c r="Q160" t="s">
        <v>74</v>
      </c>
      <c r="R160" t="s">
        <v>74</v>
      </c>
      <c r="S160" t="s">
        <v>74</v>
      </c>
      <c r="T160" t="s">
        <v>74</v>
      </c>
      <c r="U160" t="s">
        <v>74</v>
      </c>
      <c r="V160" t="s">
        <v>1628</v>
      </c>
      <c r="W160" t="s">
        <v>74</v>
      </c>
      <c r="X160" t="s">
        <v>74</v>
      </c>
      <c r="Y160" t="s">
        <v>74</v>
      </c>
      <c r="Z160" t="s">
        <v>74</v>
      </c>
      <c r="AA160" t="s">
        <v>74</v>
      </c>
      <c r="AB160" t="s">
        <v>1629</v>
      </c>
      <c r="AC160" t="s">
        <v>74</v>
      </c>
      <c r="AD160" t="s">
        <v>74</v>
      </c>
      <c r="AE160" t="s">
        <v>74</v>
      </c>
      <c r="AF160" t="s">
        <v>74</v>
      </c>
      <c r="AG160" t="s">
        <v>74</v>
      </c>
      <c r="AH160" t="s">
        <v>74</v>
      </c>
      <c r="AI160" t="s">
        <v>74</v>
      </c>
      <c r="AJ160" t="s">
        <v>74</v>
      </c>
      <c r="AK160" t="s">
        <v>74</v>
      </c>
      <c r="AL160" t="s">
        <v>74</v>
      </c>
      <c r="AM160" t="s">
        <v>74</v>
      </c>
      <c r="AN160" t="s">
        <v>74</v>
      </c>
      <c r="AO160" t="s">
        <v>657</v>
      </c>
      <c r="AP160" t="s">
        <v>658</v>
      </c>
      <c r="AQ160" t="s">
        <v>74</v>
      </c>
      <c r="AR160" t="s">
        <v>74</v>
      </c>
      <c r="AS160" t="s">
        <v>74</v>
      </c>
      <c r="AT160" t="s">
        <v>74</v>
      </c>
      <c r="AU160" t="s">
        <v>74</v>
      </c>
      <c r="AV160" t="s">
        <v>74</v>
      </c>
      <c r="AW160" t="s">
        <v>74</v>
      </c>
      <c r="AX160" t="s">
        <v>74</v>
      </c>
      <c r="AY160" t="s">
        <v>74</v>
      </c>
      <c r="AZ160" t="s">
        <v>74</v>
      </c>
      <c r="BA160" t="s">
        <v>74</v>
      </c>
      <c r="BB160" t="s">
        <v>74</v>
      </c>
      <c r="BC160" t="s">
        <v>74</v>
      </c>
      <c r="BD160" t="s">
        <v>74</v>
      </c>
      <c r="BE160" t="s">
        <v>1630</v>
      </c>
      <c r="BF160" t="str">
        <f>HYPERLINK("http://dx.doi.org/10.1080/10447318.2023.2175162","http://dx.doi.org/10.1080/10447318.2023.2175162")</f>
        <v>http://dx.doi.org/10.1080/10447318.2023.2175162</v>
      </c>
      <c r="BG160" t="s">
        <v>74</v>
      </c>
      <c r="BH160" t="s">
        <v>218</v>
      </c>
      <c r="BI160" t="s">
        <v>74</v>
      </c>
      <c r="BJ160" t="s">
        <v>74</v>
      </c>
      <c r="BK160" t="s">
        <v>74</v>
      </c>
      <c r="BL160" t="s">
        <v>74</v>
      </c>
      <c r="BM160" t="s">
        <v>74</v>
      </c>
      <c r="BN160" t="s">
        <v>74</v>
      </c>
      <c r="BO160" t="s">
        <v>74</v>
      </c>
      <c r="BP160" t="s">
        <v>74</v>
      </c>
      <c r="BQ160" t="s">
        <v>74</v>
      </c>
      <c r="BR160" t="s">
        <v>74</v>
      </c>
      <c r="BS160" t="s">
        <v>1631</v>
      </c>
      <c r="BT160" t="str">
        <f>HYPERLINK("https%3A%2F%2Fwww.webofscience.com%2Fwos%2Fwoscc%2Ffull-record%2FWOS:000929338400001","View Full Record in Web of Science")</f>
        <v>View Full Record in Web of Science</v>
      </c>
    </row>
    <row r="161" spans="1:72" x14ac:dyDescent="0.25">
      <c r="A161" t="s">
        <v>72</v>
      </c>
      <c r="B161" t="s">
        <v>1632</v>
      </c>
      <c r="C161" t="s">
        <v>74</v>
      </c>
      <c r="D161" t="s">
        <v>74</v>
      </c>
      <c r="E161" t="s">
        <v>74</v>
      </c>
      <c r="F161" t="s">
        <v>1633</v>
      </c>
      <c r="G161" t="s">
        <v>74</v>
      </c>
      <c r="H161" t="s">
        <v>74</v>
      </c>
      <c r="I161" t="s">
        <v>1634</v>
      </c>
      <c r="J161" t="s">
        <v>1635</v>
      </c>
      <c r="K161" t="s">
        <v>74</v>
      </c>
      <c r="L161" t="s">
        <v>74</v>
      </c>
      <c r="M161" t="s">
        <v>74</v>
      </c>
      <c r="N161" t="s">
        <v>74</v>
      </c>
      <c r="O161" t="s">
        <v>74</v>
      </c>
      <c r="P161" t="s">
        <v>74</v>
      </c>
      <c r="Q161" t="s">
        <v>74</v>
      </c>
      <c r="R161" t="s">
        <v>74</v>
      </c>
      <c r="S161" t="s">
        <v>74</v>
      </c>
      <c r="T161" t="s">
        <v>74</v>
      </c>
      <c r="U161" t="s">
        <v>74</v>
      </c>
      <c r="V161" t="s">
        <v>74</v>
      </c>
      <c r="W161" t="s">
        <v>74</v>
      </c>
      <c r="X161" t="s">
        <v>74</v>
      </c>
      <c r="Y161" t="s">
        <v>74</v>
      </c>
      <c r="Z161" t="s">
        <v>74</v>
      </c>
      <c r="AA161" t="s">
        <v>74</v>
      </c>
      <c r="AB161" t="s">
        <v>1636</v>
      </c>
      <c r="AC161" t="s">
        <v>74</v>
      </c>
      <c r="AD161" t="s">
        <v>74</v>
      </c>
      <c r="AE161" t="s">
        <v>74</v>
      </c>
      <c r="AF161" t="s">
        <v>74</v>
      </c>
      <c r="AG161" t="s">
        <v>74</v>
      </c>
      <c r="AH161" t="s">
        <v>74</v>
      </c>
      <c r="AI161" t="s">
        <v>74</v>
      </c>
      <c r="AJ161" t="s">
        <v>74</v>
      </c>
      <c r="AK161" t="s">
        <v>74</v>
      </c>
      <c r="AL161" t="s">
        <v>74</v>
      </c>
      <c r="AM161" t="s">
        <v>74</v>
      </c>
      <c r="AN161" t="s">
        <v>74</v>
      </c>
      <c r="AO161" t="s">
        <v>1637</v>
      </c>
      <c r="AP161" t="s">
        <v>1638</v>
      </c>
      <c r="AQ161" t="s">
        <v>74</v>
      </c>
      <c r="AR161" t="s">
        <v>74</v>
      </c>
      <c r="AS161" t="s">
        <v>74</v>
      </c>
      <c r="AT161" t="s">
        <v>465</v>
      </c>
      <c r="AU161">
        <v>2022</v>
      </c>
      <c r="AV161">
        <v>115</v>
      </c>
      <c r="AW161">
        <v>12</v>
      </c>
      <c r="AX161" t="s">
        <v>74</v>
      </c>
      <c r="AY161" t="s">
        <v>74</v>
      </c>
      <c r="AZ161" t="s">
        <v>74</v>
      </c>
      <c r="BA161" t="s">
        <v>74</v>
      </c>
      <c r="BB161">
        <v>484</v>
      </c>
      <c r="BC161">
        <v>486</v>
      </c>
      <c r="BD161" t="s">
        <v>74</v>
      </c>
      <c r="BE161" t="s">
        <v>1639</v>
      </c>
      <c r="BF161" t="str">
        <f>HYPERLINK("http://dx.doi.org/10.1177/01410768221144763","http://dx.doi.org/10.1177/01410768221144763")</f>
        <v>http://dx.doi.org/10.1177/01410768221144763</v>
      </c>
      <c r="BG161" t="s">
        <v>74</v>
      </c>
      <c r="BH161" t="s">
        <v>74</v>
      </c>
      <c r="BI161" t="s">
        <v>74</v>
      </c>
      <c r="BJ161" t="s">
        <v>74</v>
      </c>
      <c r="BK161" t="s">
        <v>74</v>
      </c>
      <c r="BL161" t="s">
        <v>74</v>
      </c>
      <c r="BM161" t="s">
        <v>74</v>
      </c>
      <c r="BN161">
        <v>36480946</v>
      </c>
      <c r="BO161" t="s">
        <v>74</v>
      </c>
      <c r="BP161" t="s">
        <v>74</v>
      </c>
      <c r="BQ161" t="s">
        <v>74</v>
      </c>
      <c r="BR161" t="s">
        <v>74</v>
      </c>
      <c r="BS161" t="s">
        <v>1640</v>
      </c>
      <c r="BT161" t="str">
        <f>HYPERLINK("https%3A%2F%2Fwww.webofscience.com%2Fwos%2Fwoscc%2Ffull-record%2FWOS:000905471000006","View Full Record in Web of Science")</f>
        <v>View Full Record in Web of Science</v>
      </c>
    </row>
    <row r="162" spans="1:72" x14ac:dyDescent="0.25">
      <c r="A162" t="s">
        <v>72</v>
      </c>
      <c r="B162" t="s">
        <v>1641</v>
      </c>
      <c r="C162" t="s">
        <v>74</v>
      </c>
      <c r="D162" t="s">
        <v>74</v>
      </c>
      <c r="E162" t="s">
        <v>74</v>
      </c>
      <c r="F162" t="s">
        <v>1642</v>
      </c>
      <c r="G162" t="s">
        <v>74</v>
      </c>
      <c r="H162" t="s">
        <v>74</v>
      </c>
      <c r="I162" t="s">
        <v>1643</v>
      </c>
      <c r="J162" t="s">
        <v>1290</v>
      </c>
      <c r="K162" t="s">
        <v>74</v>
      </c>
      <c r="L162" t="s">
        <v>74</v>
      </c>
      <c r="M162" t="s">
        <v>74</v>
      </c>
      <c r="N162" t="s">
        <v>74</v>
      </c>
      <c r="O162" t="s">
        <v>74</v>
      </c>
      <c r="P162" t="s">
        <v>74</v>
      </c>
      <c r="Q162" t="s">
        <v>74</v>
      </c>
      <c r="R162" t="s">
        <v>74</v>
      </c>
      <c r="S162" t="s">
        <v>74</v>
      </c>
      <c r="T162" t="s">
        <v>74</v>
      </c>
      <c r="U162" t="s">
        <v>74</v>
      </c>
      <c r="V162" t="s">
        <v>1644</v>
      </c>
      <c r="W162" t="s">
        <v>74</v>
      </c>
      <c r="X162" t="s">
        <v>74</v>
      </c>
      <c r="Y162" t="s">
        <v>74</v>
      </c>
      <c r="Z162" t="s">
        <v>74</v>
      </c>
      <c r="AA162" t="s">
        <v>74</v>
      </c>
      <c r="AB162" t="s">
        <v>74</v>
      </c>
      <c r="AC162" t="s">
        <v>74</v>
      </c>
      <c r="AD162" t="s">
        <v>74</v>
      </c>
      <c r="AE162" t="s">
        <v>74</v>
      </c>
      <c r="AF162" t="s">
        <v>74</v>
      </c>
      <c r="AG162" t="s">
        <v>74</v>
      </c>
      <c r="AH162" t="s">
        <v>74</v>
      </c>
      <c r="AI162" t="s">
        <v>74</v>
      </c>
      <c r="AJ162" t="s">
        <v>74</v>
      </c>
      <c r="AK162" t="s">
        <v>74</v>
      </c>
      <c r="AL162" t="s">
        <v>74</v>
      </c>
      <c r="AM162" t="s">
        <v>74</v>
      </c>
      <c r="AN162" t="s">
        <v>74</v>
      </c>
      <c r="AO162" t="s">
        <v>74</v>
      </c>
      <c r="AP162" t="s">
        <v>1294</v>
      </c>
      <c r="AQ162" t="s">
        <v>74</v>
      </c>
      <c r="AR162" t="s">
        <v>74</v>
      </c>
      <c r="AS162" t="s">
        <v>74</v>
      </c>
      <c r="AT162" t="s">
        <v>435</v>
      </c>
      <c r="AU162">
        <v>2023</v>
      </c>
      <c r="AV162">
        <v>9</v>
      </c>
      <c r="AW162">
        <v>2</v>
      </c>
      <c r="AX162" t="s">
        <v>74</v>
      </c>
      <c r="AY162" t="s">
        <v>74</v>
      </c>
      <c r="AZ162" t="s">
        <v>74</v>
      </c>
      <c r="BA162" t="s">
        <v>74</v>
      </c>
      <c r="BB162" t="s">
        <v>74</v>
      </c>
      <c r="BC162" t="s">
        <v>74</v>
      </c>
      <c r="BD162" t="s">
        <v>1645</v>
      </c>
      <c r="BE162" t="s">
        <v>1646</v>
      </c>
      <c r="BF162" t="str">
        <f>HYPERLINK("http://dx.doi.org/10.1016/j.heliyon.2023.e13424","http://dx.doi.org/10.1016/j.heliyon.2023.e13424")</f>
        <v>http://dx.doi.org/10.1016/j.heliyon.2023.e13424</v>
      </c>
      <c r="BG162" t="s">
        <v>74</v>
      </c>
      <c r="BH162" t="s">
        <v>218</v>
      </c>
      <c r="BI162" t="s">
        <v>74</v>
      </c>
      <c r="BJ162" t="s">
        <v>74</v>
      </c>
      <c r="BK162" t="s">
        <v>74</v>
      </c>
      <c r="BL162" t="s">
        <v>74</v>
      </c>
      <c r="BM162" t="s">
        <v>74</v>
      </c>
      <c r="BN162">
        <v>36825184</v>
      </c>
      <c r="BO162" t="s">
        <v>74</v>
      </c>
      <c r="BP162" t="s">
        <v>74</v>
      </c>
      <c r="BQ162" t="s">
        <v>74</v>
      </c>
      <c r="BR162" t="s">
        <v>74</v>
      </c>
      <c r="BS162" t="s">
        <v>1647</v>
      </c>
      <c r="BT162" t="str">
        <f>HYPERLINK("https%3A%2F%2Fwww.webofscience.com%2Fwos%2Fwoscc%2Ffull-record%2FWOS:000968489800001","View Full Record in Web of Science")</f>
        <v>View Full Record in Web of Science</v>
      </c>
    </row>
    <row r="163" spans="1:72" x14ac:dyDescent="0.25">
      <c r="A163" t="s">
        <v>72</v>
      </c>
      <c r="B163" t="s">
        <v>1648</v>
      </c>
      <c r="C163" t="s">
        <v>74</v>
      </c>
      <c r="D163" t="s">
        <v>74</v>
      </c>
      <c r="E163" t="s">
        <v>74</v>
      </c>
      <c r="F163" t="s">
        <v>1649</v>
      </c>
      <c r="G163" t="s">
        <v>74</v>
      </c>
      <c r="H163" t="s">
        <v>74</v>
      </c>
      <c r="I163" t="s">
        <v>1650</v>
      </c>
      <c r="J163" t="s">
        <v>1651</v>
      </c>
      <c r="K163" t="s">
        <v>74</v>
      </c>
      <c r="L163" t="s">
        <v>74</v>
      </c>
      <c r="M163" t="s">
        <v>74</v>
      </c>
      <c r="N163" t="s">
        <v>74</v>
      </c>
      <c r="O163" t="s">
        <v>74</v>
      </c>
      <c r="P163" t="s">
        <v>74</v>
      </c>
      <c r="Q163" t="s">
        <v>74</v>
      </c>
      <c r="R163" t="s">
        <v>74</v>
      </c>
      <c r="S163" t="s">
        <v>74</v>
      </c>
      <c r="T163" t="s">
        <v>74</v>
      </c>
      <c r="U163" t="s">
        <v>74</v>
      </c>
      <c r="V163" t="s">
        <v>1652</v>
      </c>
      <c r="W163" t="s">
        <v>74</v>
      </c>
      <c r="X163" t="s">
        <v>74</v>
      </c>
      <c r="Y163" t="s">
        <v>74</v>
      </c>
      <c r="Z163" t="s">
        <v>74</v>
      </c>
      <c r="AA163" t="s">
        <v>1653</v>
      </c>
      <c r="AB163" t="s">
        <v>1654</v>
      </c>
      <c r="AC163" t="s">
        <v>74</v>
      </c>
      <c r="AD163" t="s">
        <v>74</v>
      </c>
      <c r="AE163" t="s">
        <v>74</v>
      </c>
      <c r="AF163" t="s">
        <v>74</v>
      </c>
      <c r="AG163" t="s">
        <v>74</v>
      </c>
      <c r="AH163" t="s">
        <v>74</v>
      </c>
      <c r="AI163" t="s">
        <v>74</v>
      </c>
      <c r="AJ163" t="s">
        <v>74</v>
      </c>
      <c r="AK163" t="s">
        <v>74</v>
      </c>
      <c r="AL163" t="s">
        <v>74</v>
      </c>
      <c r="AM163" t="s">
        <v>74</v>
      </c>
      <c r="AN163" t="s">
        <v>74</v>
      </c>
      <c r="AO163" t="s">
        <v>1655</v>
      </c>
      <c r="AP163" t="s">
        <v>1656</v>
      </c>
      <c r="AQ163" t="s">
        <v>74</v>
      </c>
      <c r="AR163" t="s">
        <v>74</v>
      </c>
      <c r="AS163" t="s">
        <v>74</v>
      </c>
      <c r="AT163" t="s">
        <v>435</v>
      </c>
      <c r="AU163">
        <v>2023</v>
      </c>
      <c r="AV163">
        <v>31</v>
      </c>
      <c r="AW163">
        <v>2</v>
      </c>
      <c r="AX163" t="s">
        <v>74</v>
      </c>
      <c r="AY163" t="s">
        <v>74</v>
      </c>
      <c r="AZ163" t="s">
        <v>74</v>
      </c>
      <c r="BA163" t="s">
        <v>74</v>
      </c>
      <c r="BB163">
        <v>475</v>
      </c>
      <c r="BC163">
        <v>484</v>
      </c>
      <c r="BD163" t="s">
        <v>74</v>
      </c>
      <c r="BE163" t="s">
        <v>1657</v>
      </c>
      <c r="BF163" t="str">
        <f>HYPERLINK("http://dx.doi.org/10.1109/TFUZZ.2022.3190613","http://dx.doi.org/10.1109/TFUZZ.2022.3190613")</f>
        <v>http://dx.doi.org/10.1109/TFUZZ.2022.3190613</v>
      </c>
      <c r="BG163" t="s">
        <v>74</v>
      </c>
      <c r="BH163" t="s">
        <v>74</v>
      </c>
      <c r="BI163" t="s">
        <v>74</v>
      </c>
      <c r="BJ163" t="s">
        <v>74</v>
      </c>
      <c r="BK163" t="s">
        <v>74</v>
      </c>
      <c r="BL163" t="s">
        <v>74</v>
      </c>
      <c r="BM163" t="s">
        <v>74</v>
      </c>
      <c r="BN163" t="s">
        <v>74</v>
      </c>
      <c r="BO163" t="s">
        <v>74</v>
      </c>
      <c r="BP163" t="s">
        <v>74</v>
      </c>
      <c r="BQ163" t="s">
        <v>74</v>
      </c>
      <c r="BR163" t="s">
        <v>74</v>
      </c>
      <c r="BS163" t="s">
        <v>1658</v>
      </c>
      <c r="BT163" t="str">
        <f>HYPERLINK("https%3A%2F%2Fwww.webofscience.com%2Fwos%2Fwoscc%2Ffull-record%2FWOS:000967270300001","View Full Record in Web of Science")</f>
        <v>View Full Record in Web of Science</v>
      </c>
    </row>
    <row r="164" spans="1:72" x14ac:dyDescent="0.25">
      <c r="A164" t="s">
        <v>72</v>
      </c>
      <c r="B164" t="s">
        <v>1659</v>
      </c>
      <c r="C164" t="s">
        <v>74</v>
      </c>
      <c r="D164" t="s">
        <v>74</v>
      </c>
      <c r="E164" t="s">
        <v>74</v>
      </c>
      <c r="F164" t="s">
        <v>1660</v>
      </c>
      <c r="G164" t="s">
        <v>74</v>
      </c>
      <c r="H164" t="s">
        <v>74</v>
      </c>
      <c r="I164" t="s">
        <v>1661</v>
      </c>
      <c r="J164" t="s">
        <v>1662</v>
      </c>
      <c r="K164" t="s">
        <v>74</v>
      </c>
      <c r="L164" t="s">
        <v>74</v>
      </c>
      <c r="M164" t="s">
        <v>74</v>
      </c>
      <c r="N164" t="s">
        <v>74</v>
      </c>
      <c r="O164" t="s">
        <v>74</v>
      </c>
      <c r="P164" t="s">
        <v>74</v>
      </c>
      <c r="Q164" t="s">
        <v>74</v>
      </c>
      <c r="R164" t="s">
        <v>74</v>
      </c>
      <c r="S164" t="s">
        <v>74</v>
      </c>
      <c r="T164" t="s">
        <v>74</v>
      </c>
      <c r="U164" t="s">
        <v>74</v>
      </c>
      <c r="V164" t="s">
        <v>1663</v>
      </c>
      <c r="W164" t="s">
        <v>74</v>
      </c>
      <c r="X164" t="s">
        <v>74</v>
      </c>
      <c r="Y164" t="s">
        <v>74</v>
      </c>
      <c r="Z164" t="s">
        <v>74</v>
      </c>
      <c r="AA164" t="s">
        <v>74</v>
      </c>
      <c r="AB164" t="s">
        <v>1664</v>
      </c>
      <c r="AC164" t="s">
        <v>74</v>
      </c>
      <c r="AD164" t="s">
        <v>74</v>
      </c>
      <c r="AE164" t="s">
        <v>74</v>
      </c>
      <c r="AF164" t="s">
        <v>74</v>
      </c>
      <c r="AG164" t="s">
        <v>74</v>
      </c>
      <c r="AH164" t="s">
        <v>74</v>
      </c>
      <c r="AI164" t="s">
        <v>74</v>
      </c>
      <c r="AJ164" t="s">
        <v>74</v>
      </c>
      <c r="AK164" t="s">
        <v>74</v>
      </c>
      <c r="AL164" t="s">
        <v>74</v>
      </c>
      <c r="AM164" t="s">
        <v>74</v>
      </c>
      <c r="AN164" t="s">
        <v>74</v>
      </c>
      <c r="AO164" t="s">
        <v>1665</v>
      </c>
      <c r="AP164" t="s">
        <v>1666</v>
      </c>
      <c r="AQ164" t="s">
        <v>74</v>
      </c>
      <c r="AR164" t="s">
        <v>74</v>
      </c>
      <c r="AS164" t="s">
        <v>74</v>
      </c>
      <c r="AT164" t="s">
        <v>1409</v>
      </c>
      <c r="AU164">
        <v>2023</v>
      </c>
      <c r="AV164">
        <v>163</v>
      </c>
      <c r="AW164" t="s">
        <v>74</v>
      </c>
      <c r="AX164" t="s">
        <v>74</v>
      </c>
      <c r="AY164" t="s">
        <v>74</v>
      </c>
      <c r="AZ164" t="s">
        <v>74</v>
      </c>
      <c r="BA164" t="s">
        <v>74</v>
      </c>
      <c r="BB164">
        <v>108</v>
      </c>
      <c r="BC164">
        <v>121</v>
      </c>
      <c r="BD164" t="s">
        <v>74</v>
      </c>
      <c r="BE164" t="s">
        <v>1667</v>
      </c>
      <c r="BF164" t="str">
        <f>HYPERLINK("http://dx.doi.org/10.1016/j.neunet.2023.03.026","http://dx.doi.org/10.1016/j.neunet.2023.03.026")</f>
        <v>http://dx.doi.org/10.1016/j.neunet.2023.03.026</v>
      </c>
      <c r="BG164" t="s">
        <v>74</v>
      </c>
      <c r="BH164" t="s">
        <v>611</v>
      </c>
      <c r="BI164" t="s">
        <v>74</v>
      </c>
      <c r="BJ164" t="s">
        <v>74</v>
      </c>
      <c r="BK164" t="s">
        <v>74</v>
      </c>
      <c r="BL164" t="s">
        <v>74</v>
      </c>
      <c r="BM164" t="s">
        <v>74</v>
      </c>
      <c r="BN164">
        <v>37030275</v>
      </c>
      <c r="BO164" t="s">
        <v>74</v>
      </c>
      <c r="BP164" t="s">
        <v>74</v>
      </c>
      <c r="BQ164" t="s">
        <v>74</v>
      </c>
      <c r="BR164" t="s">
        <v>74</v>
      </c>
      <c r="BS164" t="s">
        <v>1668</v>
      </c>
      <c r="BT164" t="str">
        <f>HYPERLINK("https%3A%2F%2Fwww.webofscience.com%2Fwos%2Fwoscc%2Ffull-record%2FWOS:000978764100001","View Full Record in Web of Science")</f>
        <v>View Full Record in Web of Science</v>
      </c>
    </row>
    <row r="165" spans="1:72" x14ac:dyDescent="0.25">
      <c r="A165" t="s">
        <v>72</v>
      </c>
      <c r="B165" t="s">
        <v>1669</v>
      </c>
      <c r="C165" t="s">
        <v>74</v>
      </c>
      <c r="D165" t="s">
        <v>74</v>
      </c>
      <c r="E165" t="s">
        <v>74</v>
      </c>
      <c r="F165" t="s">
        <v>1670</v>
      </c>
      <c r="G165" t="s">
        <v>74</v>
      </c>
      <c r="H165" t="s">
        <v>74</v>
      </c>
      <c r="I165" t="s">
        <v>1671</v>
      </c>
      <c r="J165" t="s">
        <v>1672</v>
      </c>
      <c r="K165" t="s">
        <v>74</v>
      </c>
      <c r="L165" t="s">
        <v>74</v>
      </c>
      <c r="M165" t="s">
        <v>74</v>
      </c>
      <c r="N165" t="s">
        <v>74</v>
      </c>
      <c r="O165" t="s">
        <v>74</v>
      </c>
      <c r="P165" t="s">
        <v>74</v>
      </c>
      <c r="Q165" t="s">
        <v>74</v>
      </c>
      <c r="R165" t="s">
        <v>74</v>
      </c>
      <c r="S165" t="s">
        <v>74</v>
      </c>
      <c r="T165" t="s">
        <v>74</v>
      </c>
      <c r="U165" t="s">
        <v>74</v>
      </c>
      <c r="V165" t="s">
        <v>74</v>
      </c>
      <c r="W165" t="s">
        <v>74</v>
      </c>
      <c r="X165" t="s">
        <v>74</v>
      </c>
      <c r="Y165" t="s">
        <v>74</v>
      </c>
      <c r="Z165" t="s">
        <v>74</v>
      </c>
      <c r="AA165" t="s">
        <v>74</v>
      </c>
      <c r="AB165" t="s">
        <v>74</v>
      </c>
      <c r="AC165" t="s">
        <v>74</v>
      </c>
      <c r="AD165" t="s">
        <v>74</v>
      </c>
      <c r="AE165" t="s">
        <v>74</v>
      </c>
      <c r="AF165" t="s">
        <v>74</v>
      </c>
      <c r="AG165" t="s">
        <v>74</v>
      </c>
      <c r="AH165" t="s">
        <v>74</v>
      </c>
      <c r="AI165" t="s">
        <v>74</v>
      </c>
      <c r="AJ165" t="s">
        <v>74</v>
      </c>
      <c r="AK165" t="s">
        <v>74</v>
      </c>
      <c r="AL165" t="s">
        <v>74</v>
      </c>
      <c r="AM165" t="s">
        <v>74</v>
      </c>
      <c r="AN165" t="s">
        <v>74</v>
      </c>
      <c r="AO165" t="s">
        <v>1673</v>
      </c>
      <c r="AP165" t="s">
        <v>1674</v>
      </c>
      <c r="AQ165" t="s">
        <v>74</v>
      </c>
      <c r="AR165" t="s">
        <v>74</v>
      </c>
      <c r="AS165" t="s">
        <v>74</v>
      </c>
      <c r="AT165" t="s">
        <v>175</v>
      </c>
      <c r="AU165">
        <v>2023</v>
      </c>
      <c r="AV165">
        <v>10</v>
      </c>
      <c r="AW165">
        <v>1</v>
      </c>
      <c r="AX165" t="s">
        <v>74</v>
      </c>
      <c r="AY165" t="s">
        <v>74</v>
      </c>
      <c r="AZ165" t="s">
        <v>74</v>
      </c>
      <c r="BA165" t="s">
        <v>74</v>
      </c>
      <c r="BB165">
        <v>1</v>
      </c>
      <c r="BC165">
        <v>2</v>
      </c>
      <c r="BD165" t="s">
        <v>74</v>
      </c>
      <c r="BE165" t="s">
        <v>1675</v>
      </c>
      <c r="BF165" t="str">
        <f>HYPERLINK("http://dx.doi.org/10.1109/JAS.2023.123003","http://dx.doi.org/10.1109/JAS.2023.123003")</f>
        <v>http://dx.doi.org/10.1109/JAS.2023.123003</v>
      </c>
      <c r="BG165" t="s">
        <v>74</v>
      </c>
      <c r="BH165" t="s">
        <v>74</v>
      </c>
      <c r="BI165" t="s">
        <v>74</v>
      </c>
      <c r="BJ165" t="s">
        <v>74</v>
      </c>
      <c r="BK165" t="s">
        <v>74</v>
      </c>
      <c r="BL165" t="s">
        <v>74</v>
      </c>
      <c r="BM165" t="s">
        <v>74</v>
      </c>
      <c r="BN165" t="s">
        <v>74</v>
      </c>
      <c r="BO165" t="s">
        <v>74</v>
      </c>
      <c r="BP165" t="s">
        <v>74</v>
      </c>
      <c r="BQ165" t="s">
        <v>74</v>
      </c>
      <c r="BR165" t="s">
        <v>74</v>
      </c>
      <c r="BS165" t="s">
        <v>1676</v>
      </c>
      <c r="BT165" t="str">
        <f>HYPERLINK("https%3A%2F%2Fwww.webofscience.com%2Fwos%2Fwoscc%2Ffull-record%2FWOS:000965746900001","View Full Record in Web of Science")</f>
        <v>View Full Record in Web of Science</v>
      </c>
    </row>
    <row r="166" spans="1:72" x14ac:dyDescent="0.25">
      <c r="A166" t="s">
        <v>72</v>
      </c>
      <c r="B166" t="s">
        <v>1677</v>
      </c>
      <c r="C166" t="s">
        <v>74</v>
      </c>
      <c r="D166" t="s">
        <v>74</v>
      </c>
      <c r="E166" t="s">
        <v>74</v>
      </c>
      <c r="F166" t="s">
        <v>1678</v>
      </c>
      <c r="G166" t="s">
        <v>74</v>
      </c>
      <c r="H166" t="s">
        <v>74</v>
      </c>
      <c r="I166" t="s">
        <v>1679</v>
      </c>
      <c r="J166" t="s">
        <v>1680</v>
      </c>
      <c r="K166" t="s">
        <v>74</v>
      </c>
      <c r="L166" t="s">
        <v>74</v>
      </c>
      <c r="M166" t="s">
        <v>74</v>
      </c>
      <c r="N166" t="s">
        <v>74</v>
      </c>
      <c r="O166" t="s">
        <v>74</v>
      </c>
      <c r="P166" t="s">
        <v>74</v>
      </c>
      <c r="Q166" t="s">
        <v>74</v>
      </c>
      <c r="R166" t="s">
        <v>74</v>
      </c>
      <c r="S166" t="s">
        <v>74</v>
      </c>
      <c r="T166" t="s">
        <v>74</v>
      </c>
      <c r="U166" t="s">
        <v>74</v>
      </c>
      <c r="V166" t="s">
        <v>1681</v>
      </c>
      <c r="W166" t="s">
        <v>74</v>
      </c>
      <c r="X166" t="s">
        <v>74</v>
      </c>
      <c r="Y166" t="s">
        <v>74</v>
      </c>
      <c r="Z166" t="s">
        <v>74</v>
      </c>
      <c r="AA166" t="s">
        <v>74</v>
      </c>
      <c r="AB166" t="s">
        <v>74</v>
      </c>
      <c r="AC166" t="s">
        <v>74</v>
      </c>
      <c r="AD166" t="s">
        <v>74</v>
      </c>
      <c r="AE166" t="s">
        <v>74</v>
      </c>
      <c r="AF166" t="s">
        <v>74</v>
      </c>
      <c r="AG166" t="s">
        <v>74</v>
      </c>
      <c r="AH166" t="s">
        <v>74</v>
      </c>
      <c r="AI166" t="s">
        <v>74</v>
      </c>
      <c r="AJ166" t="s">
        <v>74</v>
      </c>
      <c r="AK166" t="s">
        <v>74</v>
      </c>
      <c r="AL166" t="s">
        <v>74</v>
      </c>
      <c r="AM166" t="s">
        <v>74</v>
      </c>
      <c r="AN166" t="s">
        <v>74</v>
      </c>
      <c r="AO166" t="s">
        <v>1682</v>
      </c>
      <c r="AP166" t="s">
        <v>1683</v>
      </c>
      <c r="AQ166" t="s">
        <v>74</v>
      </c>
      <c r="AR166" t="s">
        <v>74</v>
      </c>
      <c r="AS166" t="s">
        <v>74</v>
      </c>
      <c r="AT166" t="s">
        <v>124</v>
      </c>
      <c r="AU166">
        <v>2023</v>
      </c>
      <c r="AV166">
        <v>29</v>
      </c>
      <c r="AW166">
        <v>5</v>
      </c>
      <c r="AX166" t="s">
        <v>74</v>
      </c>
      <c r="AY166" t="s">
        <v>74</v>
      </c>
      <c r="AZ166" t="s">
        <v>74</v>
      </c>
      <c r="BA166" t="s">
        <v>74</v>
      </c>
      <c r="BB166">
        <v>2489</v>
      </c>
      <c r="BC166">
        <v>2498</v>
      </c>
      <c r="BD166" t="s">
        <v>74</v>
      </c>
      <c r="BE166" t="s">
        <v>1684</v>
      </c>
      <c r="BF166" t="str">
        <f>HYPERLINK("http://dx.doi.org/10.1109/TVCG.2023.3247065","http://dx.doi.org/10.1109/TVCG.2023.3247065")</f>
        <v>http://dx.doi.org/10.1109/TVCG.2023.3247065</v>
      </c>
      <c r="BG166" t="s">
        <v>74</v>
      </c>
      <c r="BH166" t="s">
        <v>74</v>
      </c>
      <c r="BI166" t="s">
        <v>74</v>
      </c>
      <c r="BJ166" t="s">
        <v>74</v>
      </c>
      <c r="BK166" t="s">
        <v>74</v>
      </c>
      <c r="BL166" t="s">
        <v>74</v>
      </c>
      <c r="BM166" t="s">
        <v>74</v>
      </c>
      <c r="BN166">
        <v>37027706</v>
      </c>
      <c r="BO166" t="s">
        <v>74</v>
      </c>
      <c r="BP166" t="s">
        <v>74</v>
      </c>
      <c r="BQ166" t="s">
        <v>74</v>
      </c>
      <c r="BR166" t="s">
        <v>74</v>
      </c>
      <c r="BS166" t="s">
        <v>1685</v>
      </c>
      <c r="BT166" t="str">
        <f>HYPERLINK("https%3A%2F%2Fwww.webofscience.com%2Fwos%2Fwoscc%2Ffull-record%2FWOS:000965693300001","View Full Record in Web of Science")</f>
        <v>View Full Record in Web of Science</v>
      </c>
    </row>
    <row r="167" spans="1:72" x14ac:dyDescent="0.25">
      <c r="A167" t="s">
        <v>84</v>
      </c>
      <c r="B167" t="s">
        <v>1686</v>
      </c>
      <c r="C167" t="s">
        <v>74</v>
      </c>
      <c r="D167" t="s">
        <v>74</v>
      </c>
      <c r="E167" t="s">
        <v>233</v>
      </c>
      <c r="F167" t="s">
        <v>1687</v>
      </c>
      <c r="G167" t="s">
        <v>74</v>
      </c>
      <c r="H167" t="s">
        <v>74</v>
      </c>
      <c r="I167" t="s">
        <v>1688</v>
      </c>
      <c r="J167" t="s">
        <v>1689</v>
      </c>
      <c r="K167" t="s">
        <v>1690</v>
      </c>
      <c r="L167" t="s">
        <v>74</v>
      </c>
      <c r="M167" t="s">
        <v>74</v>
      </c>
      <c r="N167" t="s">
        <v>74</v>
      </c>
      <c r="O167" t="s">
        <v>1691</v>
      </c>
      <c r="P167" t="s">
        <v>1692</v>
      </c>
      <c r="Q167" t="s">
        <v>1693</v>
      </c>
      <c r="R167" t="s">
        <v>1694</v>
      </c>
      <c r="S167" t="s">
        <v>74</v>
      </c>
      <c r="T167" t="s">
        <v>74</v>
      </c>
      <c r="U167" t="s">
        <v>74</v>
      </c>
      <c r="V167" t="s">
        <v>1695</v>
      </c>
      <c r="W167" t="s">
        <v>74</v>
      </c>
      <c r="X167" t="s">
        <v>74</v>
      </c>
      <c r="Y167" t="s">
        <v>74</v>
      </c>
      <c r="Z167" t="s">
        <v>74</v>
      </c>
      <c r="AA167" t="s">
        <v>74</v>
      </c>
      <c r="AB167" t="s">
        <v>74</v>
      </c>
      <c r="AC167" t="s">
        <v>74</v>
      </c>
      <c r="AD167" t="s">
        <v>74</v>
      </c>
      <c r="AE167" t="s">
        <v>74</v>
      </c>
      <c r="AF167" t="s">
        <v>74</v>
      </c>
      <c r="AG167" t="s">
        <v>74</v>
      </c>
      <c r="AH167" t="s">
        <v>74</v>
      </c>
      <c r="AI167" t="s">
        <v>74</v>
      </c>
      <c r="AJ167" t="s">
        <v>74</v>
      </c>
      <c r="AK167" t="s">
        <v>74</v>
      </c>
      <c r="AL167" t="s">
        <v>74</v>
      </c>
      <c r="AM167" t="s">
        <v>74</v>
      </c>
      <c r="AN167" t="s">
        <v>74</v>
      </c>
      <c r="AO167" t="s">
        <v>1696</v>
      </c>
      <c r="AP167" t="s">
        <v>1697</v>
      </c>
      <c r="AQ167" t="s">
        <v>1698</v>
      </c>
      <c r="AR167" t="s">
        <v>74</v>
      </c>
      <c r="AS167" t="s">
        <v>74</v>
      </c>
      <c r="AT167" t="s">
        <v>74</v>
      </c>
      <c r="AU167">
        <v>2022</v>
      </c>
      <c r="AV167" t="s">
        <v>74</v>
      </c>
      <c r="AW167" t="s">
        <v>74</v>
      </c>
      <c r="AX167" t="s">
        <v>74</v>
      </c>
      <c r="AY167" t="s">
        <v>74</v>
      </c>
      <c r="AZ167" t="s">
        <v>74</v>
      </c>
      <c r="BA167" t="s">
        <v>74</v>
      </c>
      <c r="BB167">
        <v>27</v>
      </c>
      <c r="BC167">
        <v>29</v>
      </c>
      <c r="BD167" t="s">
        <v>74</v>
      </c>
      <c r="BE167" t="s">
        <v>1699</v>
      </c>
      <c r="BF167" t="str">
        <f>HYPERLINK("http://dx.doi.org/10.1109/ISMAR-Adjunct57072.2022.00016","http://dx.doi.org/10.1109/ISMAR-Adjunct57072.2022.00016")</f>
        <v>http://dx.doi.org/10.1109/ISMAR-Adjunct57072.2022.00016</v>
      </c>
      <c r="BG167" t="s">
        <v>74</v>
      </c>
      <c r="BH167" t="s">
        <v>74</v>
      </c>
      <c r="BI167" t="s">
        <v>74</v>
      </c>
      <c r="BJ167" t="s">
        <v>74</v>
      </c>
      <c r="BK167" t="s">
        <v>74</v>
      </c>
      <c r="BL167" t="s">
        <v>74</v>
      </c>
      <c r="BM167" t="s">
        <v>74</v>
      </c>
      <c r="BN167" t="s">
        <v>74</v>
      </c>
      <c r="BO167" t="s">
        <v>74</v>
      </c>
      <c r="BP167" t="s">
        <v>74</v>
      </c>
      <c r="BQ167" t="s">
        <v>74</v>
      </c>
      <c r="BR167" t="s">
        <v>74</v>
      </c>
      <c r="BS167" t="s">
        <v>1700</v>
      </c>
      <c r="BT167" t="str">
        <f>HYPERLINK("https%3A%2F%2Fwww.webofscience.com%2Fwos%2Fwoscc%2Ffull-record%2FWOS:000918030200007","View Full Record in Web of Science")</f>
        <v>View Full Record in Web of Science</v>
      </c>
    </row>
    <row r="168" spans="1:72" x14ac:dyDescent="0.25">
      <c r="A168" t="s">
        <v>72</v>
      </c>
      <c r="B168" t="s">
        <v>1701</v>
      </c>
      <c r="C168" t="s">
        <v>74</v>
      </c>
      <c r="D168" t="s">
        <v>74</v>
      </c>
      <c r="E168" t="s">
        <v>74</v>
      </c>
      <c r="F168" t="s">
        <v>1702</v>
      </c>
      <c r="G168" t="s">
        <v>74</v>
      </c>
      <c r="H168" t="s">
        <v>74</v>
      </c>
      <c r="I168" t="s">
        <v>1703</v>
      </c>
      <c r="J168" t="s">
        <v>1704</v>
      </c>
      <c r="K168" t="s">
        <v>74</v>
      </c>
      <c r="L168" t="s">
        <v>74</v>
      </c>
      <c r="M168" t="s">
        <v>74</v>
      </c>
      <c r="N168" t="s">
        <v>74</v>
      </c>
      <c r="O168" t="s">
        <v>74</v>
      </c>
      <c r="P168" t="s">
        <v>74</v>
      </c>
      <c r="Q168" t="s">
        <v>74</v>
      </c>
      <c r="R168" t="s">
        <v>74</v>
      </c>
      <c r="S168" t="s">
        <v>74</v>
      </c>
      <c r="T168" t="s">
        <v>74</v>
      </c>
      <c r="U168" t="s">
        <v>74</v>
      </c>
      <c r="V168" t="s">
        <v>74</v>
      </c>
      <c r="W168" t="s">
        <v>74</v>
      </c>
      <c r="X168" t="s">
        <v>74</v>
      </c>
      <c r="Y168" t="s">
        <v>74</v>
      </c>
      <c r="Z168" t="s">
        <v>74</v>
      </c>
      <c r="AA168" t="s">
        <v>74</v>
      </c>
      <c r="AB168" t="s">
        <v>74</v>
      </c>
      <c r="AC168" t="s">
        <v>74</v>
      </c>
      <c r="AD168" t="s">
        <v>74</v>
      </c>
      <c r="AE168" t="s">
        <v>74</v>
      </c>
      <c r="AF168" t="s">
        <v>74</v>
      </c>
      <c r="AG168" t="s">
        <v>74</v>
      </c>
      <c r="AH168" t="s">
        <v>74</v>
      </c>
      <c r="AI168" t="s">
        <v>74</v>
      </c>
      <c r="AJ168" t="s">
        <v>74</v>
      </c>
      <c r="AK168" t="s">
        <v>74</v>
      </c>
      <c r="AL168" t="s">
        <v>74</v>
      </c>
      <c r="AM168" t="s">
        <v>74</v>
      </c>
      <c r="AN168" t="s">
        <v>74</v>
      </c>
      <c r="AO168" t="s">
        <v>1705</v>
      </c>
      <c r="AP168" t="s">
        <v>1706</v>
      </c>
      <c r="AQ168" t="s">
        <v>74</v>
      </c>
      <c r="AR168" t="s">
        <v>74</v>
      </c>
      <c r="AS168" t="s">
        <v>74</v>
      </c>
      <c r="AT168" t="s">
        <v>175</v>
      </c>
      <c r="AU168">
        <v>2023</v>
      </c>
      <c r="AV168">
        <v>35</v>
      </c>
      <c r="AW168">
        <v>1</v>
      </c>
      <c r="AX168" t="s">
        <v>74</v>
      </c>
      <c r="AY168" t="s">
        <v>74</v>
      </c>
      <c r="AZ168" t="s">
        <v>74</v>
      </c>
      <c r="BA168" t="s">
        <v>74</v>
      </c>
      <c r="BB168">
        <v>12</v>
      </c>
      <c r="BC168">
        <v>14</v>
      </c>
      <c r="BD168" t="s">
        <v>74</v>
      </c>
      <c r="BE168" t="s">
        <v>1707</v>
      </c>
      <c r="BF168" t="str">
        <f>HYPERLINK("http://dx.doi.org/10.1016/j.clon.2022.06.011","http://dx.doi.org/10.1016/j.clon.2022.06.011")</f>
        <v>http://dx.doi.org/10.1016/j.clon.2022.06.011</v>
      </c>
      <c r="BG168" t="s">
        <v>74</v>
      </c>
      <c r="BH168" t="s">
        <v>426</v>
      </c>
      <c r="BI168" t="s">
        <v>74</v>
      </c>
      <c r="BJ168" t="s">
        <v>74</v>
      </c>
      <c r="BK168" t="s">
        <v>74</v>
      </c>
      <c r="BL168" t="s">
        <v>74</v>
      </c>
      <c r="BM168" t="s">
        <v>74</v>
      </c>
      <c r="BN168">
        <v>35840481</v>
      </c>
      <c r="BO168" t="s">
        <v>74</v>
      </c>
      <c r="BP168" t="s">
        <v>74</v>
      </c>
      <c r="BQ168" t="s">
        <v>74</v>
      </c>
      <c r="BR168" t="s">
        <v>74</v>
      </c>
      <c r="BS168" t="s">
        <v>1708</v>
      </c>
      <c r="BT168" t="str">
        <f>HYPERLINK("https%3A%2F%2Fwww.webofscience.com%2Fwos%2Fwoscc%2Ffull-record%2FWOS:000938723500001","View Full Record in Web of Science")</f>
        <v>View Full Record in Web of Science</v>
      </c>
    </row>
    <row r="169" spans="1:72" x14ac:dyDescent="0.25">
      <c r="A169" t="s">
        <v>72</v>
      </c>
      <c r="B169" t="s">
        <v>1709</v>
      </c>
      <c r="C169" t="s">
        <v>74</v>
      </c>
      <c r="D169" t="s">
        <v>74</v>
      </c>
      <c r="E169" t="s">
        <v>74</v>
      </c>
      <c r="F169" t="s">
        <v>1710</v>
      </c>
      <c r="G169" t="s">
        <v>74</v>
      </c>
      <c r="H169" t="s">
        <v>74</v>
      </c>
      <c r="I169" t="s">
        <v>1711</v>
      </c>
      <c r="J169" t="s">
        <v>1712</v>
      </c>
      <c r="K169" t="s">
        <v>74</v>
      </c>
      <c r="L169" t="s">
        <v>74</v>
      </c>
      <c r="M169" t="s">
        <v>74</v>
      </c>
      <c r="N169" t="s">
        <v>74</v>
      </c>
      <c r="O169" t="s">
        <v>74</v>
      </c>
      <c r="P169" t="s">
        <v>74</v>
      </c>
      <c r="Q169" t="s">
        <v>74</v>
      </c>
      <c r="R169" t="s">
        <v>74</v>
      </c>
      <c r="S169" t="s">
        <v>74</v>
      </c>
      <c r="T169" t="s">
        <v>74</v>
      </c>
      <c r="U169" t="s">
        <v>74</v>
      </c>
      <c r="V169" t="s">
        <v>74</v>
      </c>
      <c r="W169" t="s">
        <v>74</v>
      </c>
      <c r="X169" t="s">
        <v>74</v>
      </c>
      <c r="Y169" t="s">
        <v>74</v>
      </c>
      <c r="Z169" t="s">
        <v>74</v>
      </c>
      <c r="AA169" t="s">
        <v>74</v>
      </c>
      <c r="AB169" t="s">
        <v>74</v>
      </c>
      <c r="AC169" t="s">
        <v>74</v>
      </c>
      <c r="AD169" t="s">
        <v>74</v>
      </c>
      <c r="AE169" t="s">
        <v>74</v>
      </c>
      <c r="AF169" t="s">
        <v>74</v>
      </c>
      <c r="AG169" t="s">
        <v>74</v>
      </c>
      <c r="AH169" t="s">
        <v>74</v>
      </c>
      <c r="AI169" t="s">
        <v>74</v>
      </c>
      <c r="AJ169" t="s">
        <v>74</v>
      </c>
      <c r="AK169" t="s">
        <v>74</v>
      </c>
      <c r="AL169" t="s">
        <v>74</v>
      </c>
      <c r="AM169" t="s">
        <v>74</v>
      </c>
      <c r="AN169" t="s">
        <v>74</v>
      </c>
      <c r="AO169" t="s">
        <v>1713</v>
      </c>
      <c r="AP169" t="s">
        <v>1714</v>
      </c>
      <c r="AQ169" t="s">
        <v>74</v>
      </c>
      <c r="AR169" t="s">
        <v>74</v>
      </c>
      <c r="AS169" t="s">
        <v>74</v>
      </c>
      <c r="AT169" t="s">
        <v>712</v>
      </c>
      <c r="AU169">
        <v>2022</v>
      </c>
      <c r="AV169">
        <v>70</v>
      </c>
      <c r="AW169">
        <v>8</v>
      </c>
      <c r="AX169" t="s">
        <v>74</v>
      </c>
      <c r="AY169" t="s">
        <v>74</v>
      </c>
      <c r="AZ169" t="s">
        <v>74</v>
      </c>
      <c r="BA169" t="s">
        <v>74</v>
      </c>
      <c r="BB169">
        <v>3121</v>
      </c>
      <c r="BC169">
        <v>3122</v>
      </c>
      <c r="BD169" t="s">
        <v>74</v>
      </c>
      <c r="BE169" t="s">
        <v>1715</v>
      </c>
      <c r="BF169" t="str">
        <f>HYPERLINK("http://dx.doi.org/10.4103/ijo.IJO_847_22","http://dx.doi.org/10.4103/ijo.IJO_847_22")</f>
        <v>http://dx.doi.org/10.4103/ijo.IJO_847_22</v>
      </c>
      <c r="BG169" t="s">
        <v>74</v>
      </c>
      <c r="BH169" t="s">
        <v>74</v>
      </c>
      <c r="BI169" t="s">
        <v>74</v>
      </c>
      <c r="BJ169" t="s">
        <v>74</v>
      </c>
      <c r="BK169" t="s">
        <v>74</v>
      </c>
      <c r="BL169" t="s">
        <v>74</v>
      </c>
      <c r="BM169" t="s">
        <v>74</v>
      </c>
      <c r="BN169">
        <v>35918984</v>
      </c>
      <c r="BO169" t="s">
        <v>74</v>
      </c>
      <c r="BP169" t="s">
        <v>74</v>
      </c>
      <c r="BQ169" t="s">
        <v>74</v>
      </c>
      <c r="BR169" t="s">
        <v>74</v>
      </c>
      <c r="BS169" t="s">
        <v>1716</v>
      </c>
      <c r="BT169" t="str">
        <f>HYPERLINK("https%3A%2F%2Fwww.webofscience.com%2Fwos%2Fwoscc%2Ffull-record%2FWOS:000847240800071","View Full Record in Web of Science")</f>
        <v>View Full Record in Web of Science</v>
      </c>
    </row>
    <row r="170" spans="1:72" x14ac:dyDescent="0.25">
      <c r="A170" t="s">
        <v>72</v>
      </c>
      <c r="B170" t="s">
        <v>1717</v>
      </c>
      <c r="C170" t="s">
        <v>74</v>
      </c>
      <c r="D170" t="s">
        <v>74</v>
      </c>
      <c r="E170" t="s">
        <v>74</v>
      </c>
      <c r="F170" t="s">
        <v>1718</v>
      </c>
      <c r="G170" t="s">
        <v>74</v>
      </c>
      <c r="H170" t="s">
        <v>74</v>
      </c>
      <c r="I170" t="s">
        <v>1719</v>
      </c>
      <c r="J170" t="s">
        <v>119</v>
      </c>
      <c r="K170" t="s">
        <v>74</v>
      </c>
      <c r="L170" t="s">
        <v>74</v>
      </c>
      <c r="M170" t="s">
        <v>74</v>
      </c>
      <c r="N170" t="s">
        <v>74</v>
      </c>
      <c r="O170" t="s">
        <v>74</v>
      </c>
      <c r="P170" t="s">
        <v>74</v>
      </c>
      <c r="Q170" t="s">
        <v>74</v>
      </c>
      <c r="R170" t="s">
        <v>74</v>
      </c>
      <c r="S170" t="s">
        <v>74</v>
      </c>
      <c r="T170" t="s">
        <v>74</v>
      </c>
      <c r="U170" t="s">
        <v>74</v>
      </c>
      <c r="V170" t="s">
        <v>1720</v>
      </c>
      <c r="W170" t="s">
        <v>74</v>
      </c>
      <c r="X170" t="s">
        <v>74</v>
      </c>
      <c r="Y170" t="s">
        <v>74</v>
      </c>
      <c r="Z170" t="s">
        <v>74</v>
      </c>
      <c r="AA170" t="s">
        <v>74</v>
      </c>
      <c r="AB170" t="s">
        <v>1721</v>
      </c>
      <c r="AC170" t="s">
        <v>74</v>
      </c>
      <c r="AD170" t="s">
        <v>74</v>
      </c>
      <c r="AE170" t="s">
        <v>74</v>
      </c>
      <c r="AF170" t="s">
        <v>74</v>
      </c>
      <c r="AG170" t="s">
        <v>74</v>
      </c>
      <c r="AH170" t="s">
        <v>74</v>
      </c>
      <c r="AI170" t="s">
        <v>74</v>
      </c>
      <c r="AJ170" t="s">
        <v>74</v>
      </c>
      <c r="AK170" t="s">
        <v>74</v>
      </c>
      <c r="AL170" t="s">
        <v>74</v>
      </c>
      <c r="AM170" t="s">
        <v>74</v>
      </c>
      <c r="AN170" t="s">
        <v>74</v>
      </c>
      <c r="AO170" t="s">
        <v>74</v>
      </c>
      <c r="AP170" t="s">
        <v>123</v>
      </c>
      <c r="AQ170" t="s">
        <v>74</v>
      </c>
      <c r="AR170" t="s">
        <v>74</v>
      </c>
      <c r="AS170" t="s">
        <v>74</v>
      </c>
      <c r="AT170" t="s">
        <v>435</v>
      </c>
      <c r="AU170">
        <v>2022</v>
      </c>
      <c r="AV170">
        <v>11</v>
      </c>
      <c r="AW170">
        <v>3</v>
      </c>
      <c r="AX170" t="s">
        <v>74</v>
      </c>
      <c r="AY170" t="s">
        <v>74</v>
      </c>
      <c r="AZ170" t="s">
        <v>74</v>
      </c>
      <c r="BA170" t="s">
        <v>74</v>
      </c>
      <c r="BB170" t="s">
        <v>74</v>
      </c>
      <c r="BC170" t="s">
        <v>74</v>
      </c>
      <c r="BD170">
        <v>317</v>
      </c>
      <c r="BE170" t="s">
        <v>1722</v>
      </c>
      <c r="BF170" t="str">
        <f>HYPERLINK("http://dx.doi.org/10.3390/electronics11030317","http://dx.doi.org/10.3390/electronics11030317")</f>
        <v>http://dx.doi.org/10.3390/electronics11030317</v>
      </c>
      <c r="BG170" t="s">
        <v>74</v>
      </c>
      <c r="BH170" t="s">
        <v>74</v>
      </c>
      <c r="BI170" t="s">
        <v>74</v>
      </c>
      <c r="BJ170" t="s">
        <v>74</v>
      </c>
      <c r="BK170" t="s">
        <v>74</v>
      </c>
      <c r="BL170" t="s">
        <v>74</v>
      </c>
      <c r="BM170" t="s">
        <v>74</v>
      </c>
      <c r="BN170" t="s">
        <v>74</v>
      </c>
      <c r="BO170" t="s">
        <v>74</v>
      </c>
      <c r="BP170" t="s">
        <v>74</v>
      </c>
      <c r="BQ170" t="s">
        <v>74</v>
      </c>
      <c r="BR170" t="s">
        <v>74</v>
      </c>
      <c r="BS170" t="s">
        <v>1723</v>
      </c>
      <c r="BT170" t="str">
        <f>HYPERLINK("https%3A%2F%2Fwww.webofscience.com%2Fwos%2Fwoscc%2Ffull-record%2FWOS:000754788300001","View Full Record in Web of Science")</f>
        <v>View Full Record in Web of Science</v>
      </c>
    </row>
    <row r="171" spans="1:72" x14ac:dyDescent="0.25">
      <c r="A171" t="s">
        <v>84</v>
      </c>
      <c r="B171" t="s">
        <v>1724</v>
      </c>
      <c r="C171" t="s">
        <v>74</v>
      </c>
      <c r="D171" t="s">
        <v>74</v>
      </c>
      <c r="E171" t="s">
        <v>233</v>
      </c>
      <c r="F171" t="s">
        <v>1725</v>
      </c>
      <c r="G171" t="s">
        <v>74</v>
      </c>
      <c r="H171" t="s">
        <v>74</v>
      </c>
      <c r="I171" t="s">
        <v>1726</v>
      </c>
      <c r="J171" t="s">
        <v>236</v>
      </c>
      <c r="K171" t="s">
        <v>237</v>
      </c>
      <c r="L171" t="s">
        <v>74</v>
      </c>
      <c r="M171" t="s">
        <v>74</v>
      </c>
      <c r="N171" t="s">
        <v>74</v>
      </c>
      <c r="O171" t="s">
        <v>238</v>
      </c>
      <c r="P171" t="s">
        <v>239</v>
      </c>
      <c r="Q171" t="s">
        <v>240</v>
      </c>
      <c r="R171" t="s">
        <v>241</v>
      </c>
      <c r="S171" t="s">
        <v>74</v>
      </c>
      <c r="T171" t="s">
        <v>74</v>
      </c>
      <c r="U171" t="s">
        <v>74</v>
      </c>
      <c r="V171" t="s">
        <v>1727</v>
      </c>
      <c r="W171" t="s">
        <v>74</v>
      </c>
      <c r="X171" t="s">
        <v>74</v>
      </c>
      <c r="Y171" t="s">
        <v>74</v>
      </c>
      <c r="Z171" t="s">
        <v>74</v>
      </c>
      <c r="AA171" t="s">
        <v>74</v>
      </c>
      <c r="AB171" t="s">
        <v>74</v>
      </c>
      <c r="AC171" t="s">
        <v>74</v>
      </c>
      <c r="AD171" t="s">
        <v>74</v>
      </c>
      <c r="AE171" t="s">
        <v>74</v>
      </c>
      <c r="AF171" t="s">
        <v>74</v>
      </c>
      <c r="AG171" t="s">
        <v>74</v>
      </c>
      <c r="AH171" t="s">
        <v>74</v>
      </c>
      <c r="AI171" t="s">
        <v>74</v>
      </c>
      <c r="AJ171" t="s">
        <v>74</v>
      </c>
      <c r="AK171" t="s">
        <v>74</v>
      </c>
      <c r="AL171" t="s">
        <v>74</v>
      </c>
      <c r="AM171" t="s">
        <v>74</v>
      </c>
      <c r="AN171" t="s">
        <v>74</v>
      </c>
      <c r="AO171" t="s">
        <v>243</v>
      </c>
      <c r="AP171" t="s">
        <v>74</v>
      </c>
      <c r="AQ171" t="s">
        <v>244</v>
      </c>
      <c r="AR171" t="s">
        <v>74</v>
      </c>
      <c r="AS171" t="s">
        <v>74</v>
      </c>
      <c r="AT171" t="s">
        <v>74</v>
      </c>
      <c r="AU171">
        <v>2022</v>
      </c>
      <c r="AV171" t="s">
        <v>74</v>
      </c>
      <c r="AW171" t="s">
        <v>74</v>
      </c>
      <c r="AX171" t="s">
        <v>74</v>
      </c>
      <c r="AY171" t="s">
        <v>74</v>
      </c>
      <c r="AZ171" t="s">
        <v>74</v>
      </c>
      <c r="BA171" t="s">
        <v>74</v>
      </c>
      <c r="BB171">
        <v>248</v>
      </c>
      <c r="BC171">
        <v>253</v>
      </c>
      <c r="BD171" t="s">
        <v>74</v>
      </c>
      <c r="BE171" t="s">
        <v>1728</v>
      </c>
      <c r="BF171" t="str">
        <f>HYPERLINK("http://dx.doi.org/10.1109/ICDCSW56584.2022.00054","http://dx.doi.org/10.1109/ICDCSW56584.2022.00054")</f>
        <v>http://dx.doi.org/10.1109/ICDCSW56584.2022.00054</v>
      </c>
      <c r="BG171" t="s">
        <v>74</v>
      </c>
      <c r="BH171" t="s">
        <v>74</v>
      </c>
      <c r="BI171" t="s">
        <v>74</v>
      </c>
      <c r="BJ171" t="s">
        <v>74</v>
      </c>
      <c r="BK171" t="s">
        <v>74</v>
      </c>
      <c r="BL171" t="s">
        <v>74</v>
      </c>
      <c r="BM171" t="s">
        <v>74</v>
      </c>
      <c r="BN171" t="s">
        <v>74</v>
      </c>
      <c r="BO171" t="s">
        <v>74</v>
      </c>
      <c r="BP171" t="s">
        <v>74</v>
      </c>
      <c r="BQ171" t="s">
        <v>74</v>
      </c>
      <c r="BR171" t="s">
        <v>74</v>
      </c>
      <c r="BS171" t="s">
        <v>1729</v>
      </c>
      <c r="BT171" t="str">
        <f>HYPERLINK("https%3A%2F%2Fwww.webofscience.com%2Fwos%2Fwoscc%2Ffull-record%2FWOS:000895984800045","View Full Record in Web of Science")</f>
        <v>View Full Record in Web of Science</v>
      </c>
    </row>
    <row r="172" spans="1:72" x14ac:dyDescent="0.25">
      <c r="A172" t="s">
        <v>72</v>
      </c>
      <c r="B172" t="s">
        <v>1730</v>
      </c>
      <c r="C172" t="s">
        <v>74</v>
      </c>
      <c r="D172" t="s">
        <v>74</v>
      </c>
      <c r="E172" t="s">
        <v>74</v>
      </c>
      <c r="F172" t="s">
        <v>1731</v>
      </c>
      <c r="G172" t="s">
        <v>74</v>
      </c>
      <c r="H172" t="s">
        <v>74</v>
      </c>
      <c r="I172" t="s">
        <v>1732</v>
      </c>
      <c r="J172" t="s">
        <v>1733</v>
      </c>
      <c r="K172" t="s">
        <v>74</v>
      </c>
      <c r="L172" t="s">
        <v>74</v>
      </c>
      <c r="M172" t="s">
        <v>74</v>
      </c>
      <c r="N172" t="s">
        <v>74</v>
      </c>
      <c r="O172" t="s">
        <v>74</v>
      </c>
      <c r="P172" t="s">
        <v>74</v>
      </c>
      <c r="Q172" t="s">
        <v>74</v>
      </c>
      <c r="R172" t="s">
        <v>74</v>
      </c>
      <c r="S172" t="s">
        <v>74</v>
      </c>
      <c r="T172" t="s">
        <v>74</v>
      </c>
      <c r="U172" t="s">
        <v>74</v>
      </c>
      <c r="V172" t="s">
        <v>1734</v>
      </c>
      <c r="W172" t="s">
        <v>74</v>
      </c>
      <c r="X172" t="s">
        <v>74</v>
      </c>
      <c r="Y172" t="s">
        <v>74</v>
      </c>
      <c r="Z172" t="s">
        <v>74</v>
      </c>
      <c r="AA172" t="s">
        <v>1735</v>
      </c>
      <c r="AB172" t="s">
        <v>1736</v>
      </c>
      <c r="AC172" t="s">
        <v>74</v>
      </c>
      <c r="AD172" t="s">
        <v>74</v>
      </c>
      <c r="AE172" t="s">
        <v>74</v>
      </c>
      <c r="AF172" t="s">
        <v>74</v>
      </c>
      <c r="AG172" t="s">
        <v>74</v>
      </c>
      <c r="AH172" t="s">
        <v>74</v>
      </c>
      <c r="AI172" t="s">
        <v>74</v>
      </c>
      <c r="AJ172" t="s">
        <v>74</v>
      </c>
      <c r="AK172" t="s">
        <v>74</v>
      </c>
      <c r="AL172" t="s">
        <v>74</v>
      </c>
      <c r="AM172" t="s">
        <v>74</v>
      </c>
      <c r="AN172" t="s">
        <v>74</v>
      </c>
      <c r="AO172" t="s">
        <v>1737</v>
      </c>
      <c r="AP172" t="s">
        <v>1738</v>
      </c>
      <c r="AQ172" t="s">
        <v>74</v>
      </c>
      <c r="AR172" t="s">
        <v>74</v>
      </c>
      <c r="AS172" t="s">
        <v>74</v>
      </c>
      <c r="AT172" t="s">
        <v>175</v>
      </c>
      <c r="AU172">
        <v>2023</v>
      </c>
      <c r="AV172">
        <v>117</v>
      </c>
      <c r="AW172" t="s">
        <v>74</v>
      </c>
      <c r="AX172" t="s">
        <v>1739</v>
      </c>
      <c r="AY172" t="s">
        <v>74</v>
      </c>
      <c r="AZ172" t="s">
        <v>74</v>
      </c>
      <c r="BA172" t="s">
        <v>74</v>
      </c>
      <c r="BB172" t="s">
        <v>74</v>
      </c>
      <c r="BC172" t="s">
        <v>74</v>
      </c>
      <c r="BD172">
        <v>105581</v>
      </c>
      <c r="BE172" t="s">
        <v>1740</v>
      </c>
      <c r="BF172" t="str">
        <f>HYPERLINK("http://dx.doi.org/10.1016/j.engappai.2022.105581","http://dx.doi.org/10.1016/j.engappai.2022.105581")</f>
        <v>http://dx.doi.org/10.1016/j.engappai.2022.105581</v>
      </c>
      <c r="BG172" t="s">
        <v>74</v>
      </c>
      <c r="BH172" t="s">
        <v>74</v>
      </c>
      <c r="BI172" t="s">
        <v>74</v>
      </c>
      <c r="BJ172" t="s">
        <v>74</v>
      </c>
      <c r="BK172" t="s">
        <v>74</v>
      </c>
      <c r="BL172" t="s">
        <v>74</v>
      </c>
      <c r="BM172" t="s">
        <v>74</v>
      </c>
      <c r="BN172" t="s">
        <v>74</v>
      </c>
      <c r="BO172" t="s">
        <v>74</v>
      </c>
      <c r="BP172" t="s">
        <v>74</v>
      </c>
      <c r="BQ172" t="s">
        <v>74</v>
      </c>
      <c r="BR172" t="s">
        <v>74</v>
      </c>
      <c r="BS172" t="s">
        <v>1741</v>
      </c>
      <c r="BT172" t="str">
        <f>HYPERLINK("https%3A%2F%2Fwww.webofscience.com%2Fwos%2Fwoscc%2Ffull-record%2FWOS:000895150800007","View Full Record in Web of Science")</f>
        <v>View Full Record in Web of Science</v>
      </c>
    </row>
    <row r="173" spans="1:72" x14ac:dyDescent="0.25">
      <c r="A173" t="s">
        <v>84</v>
      </c>
      <c r="B173" t="s">
        <v>1742</v>
      </c>
      <c r="C173" t="s">
        <v>74</v>
      </c>
      <c r="D173" t="s">
        <v>74</v>
      </c>
      <c r="E173" t="s">
        <v>233</v>
      </c>
      <c r="F173" t="s">
        <v>1743</v>
      </c>
      <c r="G173" t="s">
        <v>74</v>
      </c>
      <c r="H173" t="s">
        <v>74</v>
      </c>
      <c r="I173" t="s">
        <v>1744</v>
      </c>
      <c r="J173" t="s">
        <v>798</v>
      </c>
      <c r="K173" t="s">
        <v>74</v>
      </c>
      <c r="L173" t="s">
        <v>74</v>
      </c>
      <c r="M173" t="s">
        <v>74</v>
      </c>
      <c r="N173" t="s">
        <v>74</v>
      </c>
      <c r="O173" t="s">
        <v>799</v>
      </c>
      <c r="P173" t="s">
        <v>800</v>
      </c>
      <c r="Q173" t="s">
        <v>108</v>
      </c>
      <c r="R173" t="s">
        <v>801</v>
      </c>
      <c r="S173" t="s">
        <v>74</v>
      </c>
      <c r="T173" t="s">
        <v>74</v>
      </c>
      <c r="U173" t="s">
        <v>74</v>
      </c>
      <c r="V173" t="s">
        <v>1745</v>
      </c>
      <c r="W173" t="s">
        <v>74</v>
      </c>
      <c r="X173" t="s">
        <v>74</v>
      </c>
      <c r="Y173" t="s">
        <v>74</v>
      </c>
      <c r="Z173" t="s">
        <v>74</v>
      </c>
      <c r="AA173" t="s">
        <v>74</v>
      </c>
      <c r="AB173" t="s">
        <v>74</v>
      </c>
      <c r="AC173" t="s">
        <v>74</v>
      </c>
      <c r="AD173" t="s">
        <v>74</v>
      </c>
      <c r="AE173" t="s">
        <v>74</v>
      </c>
      <c r="AF173" t="s">
        <v>74</v>
      </c>
      <c r="AG173" t="s">
        <v>74</v>
      </c>
      <c r="AH173" t="s">
        <v>74</v>
      </c>
      <c r="AI173" t="s">
        <v>74</v>
      </c>
      <c r="AJ173" t="s">
        <v>74</v>
      </c>
      <c r="AK173" t="s">
        <v>74</v>
      </c>
      <c r="AL173" t="s">
        <v>74</v>
      </c>
      <c r="AM173" t="s">
        <v>74</v>
      </c>
      <c r="AN173" t="s">
        <v>74</v>
      </c>
      <c r="AO173" t="s">
        <v>74</v>
      </c>
      <c r="AP173" t="s">
        <v>74</v>
      </c>
      <c r="AQ173" t="s">
        <v>804</v>
      </c>
      <c r="AR173" t="s">
        <v>74</v>
      </c>
      <c r="AS173" t="s">
        <v>74</v>
      </c>
      <c r="AT173" t="s">
        <v>74</v>
      </c>
      <c r="AU173">
        <v>2022</v>
      </c>
      <c r="AV173" t="s">
        <v>74</v>
      </c>
      <c r="AW173" t="s">
        <v>74</v>
      </c>
      <c r="AX173" t="s">
        <v>74</v>
      </c>
      <c r="AY173" t="s">
        <v>74</v>
      </c>
      <c r="AZ173" t="s">
        <v>74</v>
      </c>
      <c r="BA173" t="s">
        <v>74</v>
      </c>
      <c r="BB173">
        <v>160</v>
      </c>
      <c r="BC173">
        <v>166</v>
      </c>
      <c r="BD173" t="s">
        <v>74</v>
      </c>
      <c r="BE173" t="s">
        <v>1746</v>
      </c>
      <c r="BF173" t="str">
        <f>HYPERLINK("http://dx.doi.org/10.1109/VRW55335.2022.00044","http://dx.doi.org/10.1109/VRW55335.2022.00044")</f>
        <v>http://dx.doi.org/10.1109/VRW55335.2022.00044</v>
      </c>
      <c r="BG173" t="s">
        <v>74</v>
      </c>
      <c r="BH173" t="s">
        <v>74</v>
      </c>
      <c r="BI173" t="s">
        <v>74</v>
      </c>
      <c r="BJ173" t="s">
        <v>74</v>
      </c>
      <c r="BK173" t="s">
        <v>74</v>
      </c>
      <c r="BL173" t="s">
        <v>74</v>
      </c>
      <c r="BM173" t="s">
        <v>74</v>
      </c>
      <c r="BN173" t="s">
        <v>74</v>
      </c>
      <c r="BO173" t="s">
        <v>74</v>
      </c>
      <c r="BP173" t="s">
        <v>74</v>
      </c>
      <c r="BQ173" t="s">
        <v>74</v>
      </c>
      <c r="BR173" t="s">
        <v>74</v>
      </c>
      <c r="BS173" t="s">
        <v>1747</v>
      </c>
      <c r="BT173" t="str">
        <f>HYPERLINK("https%3A%2F%2Fwww.webofscience.com%2Fwos%2Fwoscc%2Ffull-record%2FWOS:000808111800035","View Full Record in Web of Science")</f>
        <v>View Full Record in Web of Science</v>
      </c>
    </row>
    <row r="174" spans="1:72" x14ac:dyDescent="0.25">
      <c r="A174" t="s">
        <v>72</v>
      </c>
      <c r="B174" t="s">
        <v>1748</v>
      </c>
      <c r="C174" t="s">
        <v>74</v>
      </c>
      <c r="D174" t="s">
        <v>74</v>
      </c>
      <c r="E174" t="s">
        <v>74</v>
      </c>
      <c r="F174" t="s">
        <v>1749</v>
      </c>
      <c r="G174" t="s">
        <v>74</v>
      </c>
      <c r="H174" t="s">
        <v>74</v>
      </c>
      <c r="I174" t="s">
        <v>1750</v>
      </c>
      <c r="J174" t="s">
        <v>1751</v>
      </c>
      <c r="K174" t="s">
        <v>74</v>
      </c>
      <c r="L174" t="s">
        <v>74</v>
      </c>
      <c r="M174" t="s">
        <v>74</v>
      </c>
      <c r="N174" t="s">
        <v>74</v>
      </c>
      <c r="O174" t="s">
        <v>74</v>
      </c>
      <c r="P174" t="s">
        <v>74</v>
      </c>
      <c r="Q174" t="s">
        <v>74</v>
      </c>
      <c r="R174" t="s">
        <v>74</v>
      </c>
      <c r="S174" t="s">
        <v>74</v>
      </c>
      <c r="T174" t="s">
        <v>74</v>
      </c>
      <c r="U174" t="s">
        <v>74</v>
      </c>
      <c r="V174" t="s">
        <v>74</v>
      </c>
      <c r="W174" t="s">
        <v>74</v>
      </c>
      <c r="X174" t="s">
        <v>74</v>
      </c>
      <c r="Y174" t="s">
        <v>74</v>
      </c>
      <c r="Z174" t="s">
        <v>74</v>
      </c>
      <c r="AA174" t="s">
        <v>74</v>
      </c>
      <c r="AB174" t="s">
        <v>74</v>
      </c>
      <c r="AC174" t="s">
        <v>74</v>
      </c>
      <c r="AD174" t="s">
        <v>74</v>
      </c>
      <c r="AE174" t="s">
        <v>74</v>
      </c>
      <c r="AF174" t="s">
        <v>74</v>
      </c>
      <c r="AG174" t="s">
        <v>74</v>
      </c>
      <c r="AH174" t="s">
        <v>74</v>
      </c>
      <c r="AI174" t="s">
        <v>74</v>
      </c>
      <c r="AJ174" t="s">
        <v>74</v>
      </c>
      <c r="AK174" t="s">
        <v>74</v>
      </c>
      <c r="AL174" t="s">
        <v>74</v>
      </c>
      <c r="AM174" t="s">
        <v>74</v>
      </c>
      <c r="AN174" t="s">
        <v>74</v>
      </c>
      <c r="AO174" t="s">
        <v>1752</v>
      </c>
      <c r="AP174" t="s">
        <v>74</v>
      </c>
      <c r="AQ174" t="s">
        <v>74</v>
      </c>
      <c r="AR174" t="s">
        <v>74</v>
      </c>
      <c r="AS174" t="s">
        <v>74</v>
      </c>
      <c r="AT174" t="s">
        <v>1753</v>
      </c>
      <c r="AU174">
        <v>2022</v>
      </c>
      <c r="AV174">
        <v>6</v>
      </c>
      <c r="AW174">
        <v>12</v>
      </c>
      <c r="AX174" t="s">
        <v>74</v>
      </c>
      <c r="AY174" t="s">
        <v>74</v>
      </c>
      <c r="AZ174" t="s">
        <v>74</v>
      </c>
      <c r="BA174" t="s">
        <v>74</v>
      </c>
      <c r="BB174">
        <v>2668</v>
      </c>
      <c r="BC174">
        <v>2673</v>
      </c>
      <c r="BD174" t="s">
        <v>74</v>
      </c>
      <c r="BE174" t="s">
        <v>1754</v>
      </c>
      <c r="BF174" t="str">
        <f>HYPERLINK("http://dx.doi.org/10.1016/j.joule.2022.10.013","http://dx.doi.org/10.1016/j.joule.2022.10.013")</f>
        <v>http://dx.doi.org/10.1016/j.joule.2022.10.013</v>
      </c>
      <c r="BG174" t="s">
        <v>74</v>
      </c>
      <c r="BH174" t="s">
        <v>74</v>
      </c>
      <c r="BI174" t="s">
        <v>74</v>
      </c>
      <c r="BJ174" t="s">
        <v>74</v>
      </c>
      <c r="BK174" t="s">
        <v>74</v>
      </c>
      <c r="BL174" t="s">
        <v>74</v>
      </c>
      <c r="BM174" t="s">
        <v>74</v>
      </c>
      <c r="BN174" t="s">
        <v>74</v>
      </c>
      <c r="BO174" t="s">
        <v>74</v>
      </c>
      <c r="BP174" t="s">
        <v>74</v>
      </c>
      <c r="BQ174" t="s">
        <v>74</v>
      </c>
      <c r="BR174" t="s">
        <v>74</v>
      </c>
      <c r="BS174" t="s">
        <v>1755</v>
      </c>
      <c r="BT174" t="str">
        <f>HYPERLINK("https%3A%2F%2Fwww.webofscience.com%2Fwos%2Fwoscc%2Ffull-record%2FWOS:000913282300001","View Full Record in Web of Science")</f>
        <v>View Full Record in Web of Science</v>
      </c>
    </row>
    <row r="175" spans="1:72" x14ac:dyDescent="0.25">
      <c r="A175" t="s">
        <v>84</v>
      </c>
      <c r="B175" t="s">
        <v>1756</v>
      </c>
      <c r="C175" t="s">
        <v>74</v>
      </c>
      <c r="D175" t="s">
        <v>74</v>
      </c>
      <c r="E175" t="s">
        <v>233</v>
      </c>
      <c r="F175" t="s">
        <v>1757</v>
      </c>
      <c r="G175" t="s">
        <v>74</v>
      </c>
      <c r="H175" t="s">
        <v>74</v>
      </c>
      <c r="I175" t="s">
        <v>1758</v>
      </c>
      <c r="J175" t="s">
        <v>1689</v>
      </c>
      <c r="K175" t="s">
        <v>1690</v>
      </c>
      <c r="L175" t="s">
        <v>74</v>
      </c>
      <c r="M175" t="s">
        <v>74</v>
      </c>
      <c r="N175" t="s">
        <v>74</v>
      </c>
      <c r="O175" t="s">
        <v>1691</v>
      </c>
      <c r="P175" t="s">
        <v>1692</v>
      </c>
      <c r="Q175" t="s">
        <v>1693</v>
      </c>
      <c r="R175" t="s">
        <v>1694</v>
      </c>
      <c r="S175" t="s">
        <v>74</v>
      </c>
      <c r="T175" t="s">
        <v>74</v>
      </c>
      <c r="U175" t="s">
        <v>74</v>
      </c>
      <c r="V175" t="s">
        <v>74</v>
      </c>
      <c r="W175" t="s">
        <v>74</v>
      </c>
      <c r="X175" t="s">
        <v>74</v>
      </c>
      <c r="Y175" t="s">
        <v>74</v>
      </c>
      <c r="Z175" t="s">
        <v>74</v>
      </c>
      <c r="AA175" t="s">
        <v>74</v>
      </c>
      <c r="AB175" t="s">
        <v>811</v>
      </c>
      <c r="AC175" t="s">
        <v>74</v>
      </c>
      <c r="AD175" t="s">
        <v>74</v>
      </c>
      <c r="AE175" t="s">
        <v>74</v>
      </c>
      <c r="AF175" t="s">
        <v>74</v>
      </c>
      <c r="AG175" t="s">
        <v>74</v>
      </c>
      <c r="AH175" t="s">
        <v>74</v>
      </c>
      <c r="AI175" t="s">
        <v>74</v>
      </c>
      <c r="AJ175" t="s">
        <v>74</v>
      </c>
      <c r="AK175" t="s">
        <v>74</v>
      </c>
      <c r="AL175" t="s">
        <v>74</v>
      </c>
      <c r="AM175" t="s">
        <v>74</v>
      </c>
      <c r="AN175" t="s">
        <v>74</v>
      </c>
      <c r="AO175" t="s">
        <v>1696</v>
      </c>
      <c r="AP175" t="s">
        <v>1697</v>
      </c>
      <c r="AQ175" t="s">
        <v>1698</v>
      </c>
      <c r="AR175" t="s">
        <v>74</v>
      </c>
      <c r="AS175" t="s">
        <v>74</v>
      </c>
      <c r="AT175" t="s">
        <v>74</v>
      </c>
      <c r="AU175">
        <v>2022</v>
      </c>
      <c r="AV175" t="s">
        <v>74</v>
      </c>
      <c r="AW175" t="s">
        <v>74</v>
      </c>
      <c r="AX175" t="s">
        <v>74</v>
      </c>
      <c r="AY175" t="s">
        <v>74</v>
      </c>
      <c r="AZ175" t="s">
        <v>74</v>
      </c>
      <c r="BA175" t="s">
        <v>74</v>
      </c>
      <c r="BB175">
        <v>55</v>
      </c>
      <c r="BC175">
        <v>55</v>
      </c>
      <c r="BD175" t="s">
        <v>74</v>
      </c>
      <c r="BE175" t="s">
        <v>1759</v>
      </c>
      <c r="BF175" t="str">
        <f>HYPERLINK("http://dx.doi.org/10.1109/ISMAR-Adjunct57072.2022.00020","http://dx.doi.org/10.1109/ISMAR-Adjunct57072.2022.00020")</f>
        <v>http://dx.doi.org/10.1109/ISMAR-Adjunct57072.2022.00020</v>
      </c>
      <c r="BG175" t="s">
        <v>74</v>
      </c>
      <c r="BH175" t="s">
        <v>74</v>
      </c>
      <c r="BI175" t="s">
        <v>74</v>
      </c>
      <c r="BJ175" t="s">
        <v>74</v>
      </c>
      <c r="BK175" t="s">
        <v>74</v>
      </c>
      <c r="BL175" t="s">
        <v>74</v>
      </c>
      <c r="BM175" t="s">
        <v>74</v>
      </c>
      <c r="BN175" t="s">
        <v>74</v>
      </c>
      <c r="BO175" t="s">
        <v>74</v>
      </c>
      <c r="BP175" t="s">
        <v>74</v>
      </c>
      <c r="BQ175" t="s">
        <v>74</v>
      </c>
      <c r="BR175" t="s">
        <v>74</v>
      </c>
      <c r="BS175" t="s">
        <v>1760</v>
      </c>
      <c r="BT175" t="str">
        <f>HYPERLINK("https%3A%2F%2Fwww.webofscience.com%2Fwos%2Fwoscc%2Ffull-record%2FWOS:000918030200011","View Full Record in Web of Science")</f>
        <v>View Full Record in Web of Science</v>
      </c>
    </row>
    <row r="176" spans="1:72" x14ac:dyDescent="0.25">
      <c r="A176" t="s">
        <v>72</v>
      </c>
      <c r="B176" t="s">
        <v>1761</v>
      </c>
      <c r="C176" t="s">
        <v>74</v>
      </c>
      <c r="D176" t="s">
        <v>74</v>
      </c>
      <c r="E176" t="s">
        <v>74</v>
      </c>
      <c r="F176" t="s">
        <v>1762</v>
      </c>
      <c r="G176" t="s">
        <v>74</v>
      </c>
      <c r="H176" t="s">
        <v>74</v>
      </c>
      <c r="I176" t="s">
        <v>1763</v>
      </c>
      <c r="J176" t="s">
        <v>1764</v>
      </c>
      <c r="K176" t="s">
        <v>74</v>
      </c>
      <c r="L176" t="s">
        <v>74</v>
      </c>
      <c r="M176" t="s">
        <v>74</v>
      </c>
      <c r="N176" t="s">
        <v>74</v>
      </c>
      <c r="O176" t="s">
        <v>74</v>
      </c>
      <c r="P176" t="s">
        <v>74</v>
      </c>
      <c r="Q176" t="s">
        <v>74</v>
      </c>
      <c r="R176" t="s">
        <v>74</v>
      </c>
      <c r="S176" t="s">
        <v>74</v>
      </c>
      <c r="T176" t="s">
        <v>74</v>
      </c>
      <c r="U176" t="s">
        <v>74</v>
      </c>
      <c r="V176" t="s">
        <v>74</v>
      </c>
      <c r="W176" t="s">
        <v>74</v>
      </c>
      <c r="X176" t="s">
        <v>74</v>
      </c>
      <c r="Y176" t="s">
        <v>74</v>
      </c>
      <c r="Z176" t="s">
        <v>74</v>
      </c>
      <c r="AA176" t="s">
        <v>74</v>
      </c>
      <c r="AB176" t="s">
        <v>74</v>
      </c>
      <c r="AC176" t="s">
        <v>74</v>
      </c>
      <c r="AD176" t="s">
        <v>74</v>
      </c>
      <c r="AE176" t="s">
        <v>74</v>
      </c>
      <c r="AF176" t="s">
        <v>74</v>
      </c>
      <c r="AG176" t="s">
        <v>74</v>
      </c>
      <c r="AH176" t="s">
        <v>74</v>
      </c>
      <c r="AI176" t="s">
        <v>74</v>
      </c>
      <c r="AJ176" t="s">
        <v>74</v>
      </c>
      <c r="AK176" t="s">
        <v>74</v>
      </c>
      <c r="AL176" t="s">
        <v>74</v>
      </c>
      <c r="AM176" t="s">
        <v>74</v>
      </c>
      <c r="AN176" t="s">
        <v>74</v>
      </c>
      <c r="AO176" t="s">
        <v>1765</v>
      </c>
      <c r="AP176" t="s">
        <v>1766</v>
      </c>
      <c r="AQ176" t="s">
        <v>74</v>
      </c>
      <c r="AR176" t="s">
        <v>74</v>
      </c>
      <c r="AS176" t="s">
        <v>74</v>
      </c>
      <c r="AT176" t="s">
        <v>465</v>
      </c>
      <c r="AU176">
        <v>2022</v>
      </c>
      <c r="AV176">
        <v>9</v>
      </c>
      <c r="AW176">
        <v>12</v>
      </c>
      <c r="AX176" t="s">
        <v>74</v>
      </c>
      <c r="AY176" t="s">
        <v>74</v>
      </c>
      <c r="AZ176" t="s">
        <v>74</v>
      </c>
      <c r="BA176" t="s">
        <v>74</v>
      </c>
      <c r="BB176" t="s">
        <v>74</v>
      </c>
      <c r="BC176" t="s">
        <v>74</v>
      </c>
      <c r="BD176">
        <v>100111</v>
      </c>
      <c r="BE176" t="s">
        <v>1767</v>
      </c>
      <c r="BF176" t="str">
        <f>HYPERLINK("http://dx.doi.org/10.1016/j.apjon.2022.100111","http://dx.doi.org/10.1016/j.apjon.2022.100111")</f>
        <v>http://dx.doi.org/10.1016/j.apjon.2022.100111</v>
      </c>
      <c r="BG176" t="s">
        <v>74</v>
      </c>
      <c r="BH176" t="s">
        <v>1065</v>
      </c>
      <c r="BI176" t="s">
        <v>74</v>
      </c>
      <c r="BJ176" t="s">
        <v>74</v>
      </c>
      <c r="BK176" t="s">
        <v>74</v>
      </c>
      <c r="BL176" t="s">
        <v>74</v>
      </c>
      <c r="BM176" t="s">
        <v>74</v>
      </c>
      <c r="BN176">
        <v>36276879</v>
      </c>
      <c r="BO176" t="s">
        <v>74</v>
      </c>
      <c r="BP176" t="s">
        <v>74</v>
      </c>
      <c r="BQ176" t="s">
        <v>74</v>
      </c>
      <c r="BR176" t="s">
        <v>74</v>
      </c>
      <c r="BS176" t="s">
        <v>1768</v>
      </c>
      <c r="BT176" t="str">
        <f>HYPERLINK("https%3A%2F%2Fwww.webofscience.com%2Fwos%2Fwoscc%2Ffull-record%2FWOS:000875820400005","View Full Record in Web of Science")</f>
        <v>View Full Record in Web of Science</v>
      </c>
    </row>
    <row r="177" spans="1:72" x14ac:dyDescent="0.25">
      <c r="A177" t="s">
        <v>84</v>
      </c>
      <c r="B177" t="s">
        <v>1769</v>
      </c>
      <c r="C177" t="s">
        <v>74</v>
      </c>
      <c r="D177" t="s">
        <v>74</v>
      </c>
      <c r="E177" t="s">
        <v>86</v>
      </c>
      <c r="F177" t="s">
        <v>1770</v>
      </c>
      <c r="G177" t="s">
        <v>74</v>
      </c>
      <c r="H177" t="s">
        <v>74</v>
      </c>
      <c r="I177" t="s">
        <v>1771</v>
      </c>
      <c r="J177" t="s">
        <v>1772</v>
      </c>
      <c r="K177" t="s">
        <v>74</v>
      </c>
      <c r="L177" t="s">
        <v>74</v>
      </c>
      <c r="M177" t="s">
        <v>74</v>
      </c>
      <c r="N177" t="s">
        <v>74</v>
      </c>
      <c r="O177" t="s">
        <v>1773</v>
      </c>
      <c r="P177" t="s">
        <v>1774</v>
      </c>
      <c r="Q177" t="s">
        <v>1775</v>
      </c>
      <c r="R177" t="s">
        <v>1776</v>
      </c>
      <c r="S177" t="s">
        <v>74</v>
      </c>
      <c r="T177" t="s">
        <v>74</v>
      </c>
      <c r="U177" t="s">
        <v>74</v>
      </c>
      <c r="V177" t="s">
        <v>1777</v>
      </c>
      <c r="W177" t="s">
        <v>74</v>
      </c>
      <c r="X177" t="s">
        <v>74</v>
      </c>
      <c r="Y177" t="s">
        <v>74</v>
      </c>
      <c r="Z177" t="s">
        <v>74</v>
      </c>
      <c r="AA177" t="s">
        <v>1778</v>
      </c>
      <c r="AB177" t="s">
        <v>1779</v>
      </c>
      <c r="AC177" t="s">
        <v>74</v>
      </c>
      <c r="AD177" t="s">
        <v>74</v>
      </c>
      <c r="AE177" t="s">
        <v>74</v>
      </c>
      <c r="AF177" t="s">
        <v>74</v>
      </c>
      <c r="AG177" t="s">
        <v>74</v>
      </c>
      <c r="AH177" t="s">
        <v>74</v>
      </c>
      <c r="AI177" t="s">
        <v>74</v>
      </c>
      <c r="AJ177" t="s">
        <v>74</v>
      </c>
      <c r="AK177" t="s">
        <v>74</v>
      </c>
      <c r="AL177" t="s">
        <v>74</v>
      </c>
      <c r="AM177" t="s">
        <v>74</v>
      </c>
      <c r="AN177" t="s">
        <v>74</v>
      </c>
      <c r="AO177" t="s">
        <v>74</v>
      </c>
      <c r="AP177" t="s">
        <v>74</v>
      </c>
      <c r="AQ177" t="s">
        <v>1780</v>
      </c>
      <c r="AR177" t="s">
        <v>74</v>
      </c>
      <c r="AS177" t="s">
        <v>74</v>
      </c>
      <c r="AT177" t="s">
        <v>74</v>
      </c>
      <c r="AU177">
        <v>2022</v>
      </c>
      <c r="AV177" t="s">
        <v>74</v>
      </c>
      <c r="AW177" t="s">
        <v>74</v>
      </c>
      <c r="AX177" t="s">
        <v>74</v>
      </c>
      <c r="AY177" t="s">
        <v>74</v>
      </c>
      <c r="AZ177" t="s">
        <v>74</v>
      </c>
      <c r="BA177" t="s">
        <v>74</v>
      </c>
      <c r="BB177">
        <v>505</v>
      </c>
      <c r="BC177">
        <v>513</v>
      </c>
      <c r="BD177" t="s">
        <v>74</v>
      </c>
      <c r="BE177" t="s">
        <v>1781</v>
      </c>
      <c r="BF177" t="str">
        <f>HYPERLINK("http://dx.doi.org/10.1109/MASS56207.2022.00077","http://dx.doi.org/10.1109/MASS56207.2022.00077")</f>
        <v>http://dx.doi.org/10.1109/MASS56207.2022.00077</v>
      </c>
      <c r="BG177" t="s">
        <v>74</v>
      </c>
      <c r="BH177" t="s">
        <v>74</v>
      </c>
      <c r="BI177" t="s">
        <v>74</v>
      </c>
      <c r="BJ177" t="s">
        <v>74</v>
      </c>
      <c r="BK177" t="s">
        <v>74</v>
      </c>
      <c r="BL177" t="s">
        <v>74</v>
      </c>
      <c r="BM177" t="s">
        <v>74</v>
      </c>
      <c r="BN177" t="s">
        <v>74</v>
      </c>
      <c r="BO177" t="s">
        <v>74</v>
      </c>
      <c r="BP177" t="s">
        <v>74</v>
      </c>
      <c r="BQ177" t="s">
        <v>74</v>
      </c>
      <c r="BR177" t="s">
        <v>74</v>
      </c>
      <c r="BS177" t="s">
        <v>1782</v>
      </c>
      <c r="BT177" t="str">
        <f>HYPERLINK("https%3A%2F%2Fwww.webofscience.com%2Fwos%2Fwoscc%2Ffull-record%2FWOS:000925366900068","View Full Record in Web of Science")</f>
        <v>View Full Record in Web of Science</v>
      </c>
    </row>
    <row r="178" spans="1:72" x14ac:dyDescent="0.25">
      <c r="A178" t="s">
        <v>72</v>
      </c>
      <c r="B178" t="s">
        <v>1783</v>
      </c>
      <c r="C178" t="s">
        <v>74</v>
      </c>
      <c r="D178" t="s">
        <v>74</v>
      </c>
      <c r="E178" t="s">
        <v>74</v>
      </c>
      <c r="F178" t="s">
        <v>1784</v>
      </c>
      <c r="G178" t="s">
        <v>74</v>
      </c>
      <c r="H178" t="s">
        <v>74</v>
      </c>
      <c r="I178" t="s">
        <v>1785</v>
      </c>
      <c r="J178" t="s">
        <v>201</v>
      </c>
      <c r="K178" t="s">
        <v>74</v>
      </c>
      <c r="L178" t="s">
        <v>74</v>
      </c>
      <c r="M178" t="s">
        <v>74</v>
      </c>
      <c r="N178" t="s">
        <v>74</v>
      </c>
      <c r="O178" t="s">
        <v>74</v>
      </c>
      <c r="P178" t="s">
        <v>74</v>
      </c>
      <c r="Q178" t="s">
        <v>74</v>
      </c>
      <c r="R178" t="s">
        <v>74</v>
      </c>
      <c r="S178" t="s">
        <v>74</v>
      </c>
      <c r="T178" t="s">
        <v>74</v>
      </c>
      <c r="U178" t="s">
        <v>74</v>
      </c>
      <c r="V178" t="s">
        <v>1786</v>
      </c>
      <c r="W178" t="s">
        <v>74</v>
      </c>
      <c r="X178" t="s">
        <v>74</v>
      </c>
      <c r="Y178" t="s">
        <v>74</v>
      </c>
      <c r="Z178" t="s">
        <v>74</v>
      </c>
      <c r="AA178" t="s">
        <v>1091</v>
      </c>
      <c r="AB178" t="s">
        <v>1787</v>
      </c>
      <c r="AC178" t="s">
        <v>74</v>
      </c>
      <c r="AD178" t="s">
        <v>74</v>
      </c>
      <c r="AE178" t="s">
        <v>74</v>
      </c>
      <c r="AF178" t="s">
        <v>74</v>
      </c>
      <c r="AG178" t="s">
        <v>74</v>
      </c>
      <c r="AH178" t="s">
        <v>74</v>
      </c>
      <c r="AI178" t="s">
        <v>74</v>
      </c>
      <c r="AJ178" t="s">
        <v>74</v>
      </c>
      <c r="AK178" t="s">
        <v>74</v>
      </c>
      <c r="AL178" t="s">
        <v>74</v>
      </c>
      <c r="AM178" t="s">
        <v>74</v>
      </c>
      <c r="AN178" t="s">
        <v>74</v>
      </c>
      <c r="AO178" t="s">
        <v>205</v>
      </c>
      <c r="AP178" t="s">
        <v>74</v>
      </c>
      <c r="AQ178" t="s">
        <v>74</v>
      </c>
      <c r="AR178" t="s">
        <v>74</v>
      </c>
      <c r="AS178" t="s">
        <v>74</v>
      </c>
      <c r="AT178" t="s">
        <v>74</v>
      </c>
      <c r="AU178">
        <v>2022</v>
      </c>
      <c r="AV178">
        <v>10</v>
      </c>
      <c r="AW178" t="s">
        <v>74</v>
      </c>
      <c r="AX178" t="s">
        <v>74</v>
      </c>
      <c r="AY178" t="s">
        <v>74</v>
      </c>
      <c r="AZ178" t="s">
        <v>74</v>
      </c>
      <c r="BA178" t="s">
        <v>74</v>
      </c>
      <c r="BB178">
        <v>98944</v>
      </c>
      <c r="BC178">
        <v>98958</v>
      </c>
      <c r="BD178" t="s">
        <v>74</v>
      </c>
      <c r="BE178" t="s">
        <v>1788</v>
      </c>
      <c r="BF178" t="str">
        <f>HYPERLINK("http://dx.doi.org/10.1109/ACCESS.2022.3206457","http://dx.doi.org/10.1109/ACCESS.2022.3206457")</f>
        <v>http://dx.doi.org/10.1109/ACCESS.2022.3206457</v>
      </c>
      <c r="BG178" t="s">
        <v>74</v>
      </c>
      <c r="BH178" t="s">
        <v>74</v>
      </c>
      <c r="BI178" t="s">
        <v>74</v>
      </c>
      <c r="BJ178" t="s">
        <v>74</v>
      </c>
      <c r="BK178" t="s">
        <v>74</v>
      </c>
      <c r="BL178" t="s">
        <v>74</v>
      </c>
      <c r="BM178" t="s">
        <v>74</v>
      </c>
      <c r="BN178" t="s">
        <v>74</v>
      </c>
      <c r="BO178" t="s">
        <v>74</v>
      </c>
      <c r="BP178" t="s">
        <v>74</v>
      </c>
      <c r="BQ178" t="s">
        <v>74</v>
      </c>
      <c r="BR178" t="s">
        <v>74</v>
      </c>
      <c r="BS178" t="s">
        <v>1789</v>
      </c>
      <c r="BT178" t="str">
        <f>HYPERLINK("https%3A%2F%2Fwww.webofscience.com%2Fwos%2Fwoscc%2Ffull-record%2FWOS:000857320800001","View Full Record in Web of Science")</f>
        <v>View Full Record in Web of Science</v>
      </c>
    </row>
    <row r="179" spans="1:72" x14ac:dyDescent="0.25">
      <c r="A179" t="s">
        <v>72</v>
      </c>
      <c r="B179" t="s">
        <v>1790</v>
      </c>
      <c r="C179" t="s">
        <v>74</v>
      </c>
      <c r="D179" t="s">
        <v>74</v>
      </c>
      <c r="E179" t="s">
        <v>74</v>
      </c>
      <c r="F179" t="s">
        <v>1791</v>
      </c>
      <c r="G179" t="s">
        <v>74</v>
      </c>
      <c r="H179" t="s">
        <v>74</v>
      </c>
      <c r="I179" t="s">
        <v>1792</v>
      </c>
      <c r="J179" t="s">
        <v>1290</v>
      </c>
      <c r="K179" t="s">
        <v>74</v>
      </c>
      <c r="L179" t="s">
        <v>74</v>
      </c>
      <c r="M179" t="s">
        <v>74</v>
      </c>
      <c r="N179" t="s">
        <v>74</v>
      </c>
      <c r="O179" t="s">
        <v>74</v>
      </c>
      <c r="P179" t="s">
        <v>74</v>
      </c>
      <c r="Q179" t="s">
        <v>74</v>
      </c>
      <c r="R179" t="s">
        <v>74</v>
      </c>
      <c r="S179" t="s">
        <v>74</v>
      </c>
      <c r="T179" t="s">
        <v>74</v>
      </c>
      <c r="U179" t="s">
        <v>74</v>
      </c>
      <c r="V179" t="s">
        <v>1793</v>
      </c>
      <c r="W179" t="s">
        <v>74</v>
      </c>
      <c r="X179" t="s">
        <v>74</v>
      </c>
      <c r="Y179" t="s">
        <v>74</v>
      </c>
      <c r="Z179" t="s">
        <v>74</v>
      </c>
      <c r="AA179" t="s">
        <v>74</v>
      </c>
      <c r="AB179" t="s">
        <v>1794</v>
      </c>
      <c r="AC179" t="s">
        <v>74</v>
      </c>
      <c r="AD179" t="s">
        <v>74</v>
      </c>
      <c r="AE179" t="s">
        <v>74</v>
      </c>
      <c r="AF179" t="s">
        <v>74</v>
      </c>
      <c r="AG179" t="s">
        <v>74</v>
      </c>
      <c r="AH179" t="s">
        <v>74</v>
      </c>
      <c r="AI179" t="s">
        <v>74</v>
      </c>
      <c r="AJ179" t="s">
        <v>74</v>
      </c>
      <c r="AK179" t="s">
        <v>74</v>
      </c>
      <c r="AL179" t="s">
        <v>74</v>
      </c>
      <c r="AM179" t="s">
        <v>74</v>
      </c>
      <c r="AN179" t="s">
        <v>74</v>
      </c>
      <c r="AO179" t="s">
        <v>74</v>
      </c>
      <c r="AP179" t="s">
        <v>1294</v>
      </c>
      <c r="AQ179" t="s">
        <v>74</v>
      </c>
      <c r="AR179" t="s">
        <v>74</v>
      </c>
      <c r="AS179" t="s">
        <v>74</v>
      </c>
      <c r="AT179" t="s">
        <v>195</v>
      </c>
      <c r="AU179">
        <v>2022</v>
      </c>
      <c r="AV179">
        <v>8</v>
      </c>
      <c r="AW179">
        <v>11</v>
      </c>
      <c r="AX179" t="s">
        <v>74</v>
      </c>
      <c r="AY179" t="s">
        <v>74</v>
      </c>
      <c r="AZ179" t="s">
        <v>74</v>
      </c>
      <c r="BA179" t="s">
        <v>74</v>
      </c>
      <c r="BB179" t="s">
        <v>74</v>
      </c>
      <c r="BC179" t="s">
        <v>74</v>
      </c>
      <c r="BD179" t="s">
        <v>1795</v>
      </c>
      <c r="BE179" t="s">
        <v>1796</v>
      </c>
      <c r="BF179" t="str">
        <f>HYPERLINK("http://dx.doi.org/10.1016/j.heliyon.2022.e11364","http://dx.doi.org/10.1016/j.heliyon.2022.e11364")</f>
        <v>http://dx.doi.org/10.1016/j.heliyon.2022.e11364</v>
      </c>
      <c r="BG179" t="s">
        <v>74</v>
      </c>
      <c r="BH179" t="s">
        <v>683</v>
      </c>
      <c r="BI179" t="s">
        <v>74</v>
      </c>
      <c r="BJ179" t="s">
        <v>74</v>
      </c>
      <c r="BK179" t="s">
        <v>74</v>
      </c>
      <c r="BL179" t="s">
        <v>74</v>
      </c>
      <c r="BM179" t="s">
        <v>74</v>
      </c>
      <c r="BN179">
        <v>36387471</v>
      </c>
      <c r="BO179" t="s">
        <v>74</v>
      </c>
      <c r="BP179" t="s">
        <v>74</v>
      </c>
      <c r="BQ179" t="s">
        <v>74</v>
      </c>
      <c r="BR179" t="s">
        <v>74</v>
      </c>
      <c r="BS179" t="s">
        <v>1797</v>
      </c>
      <c r="BT179" t="str">
        <f>HYPERLINK("https%3A%2F%2Fwww.webofscience.com%2Fwos%2Fwoscc%2Ffull-record%2FWOS:000911561600015","View Full Record in Web of Science")</f>
        <v>View Full Record in Web of Science</v>
      </c>
    </row>
    <row r="180" spans="1:72" x14ac:dyDescent="0.25">
      <c r="A180" t="s">
        <v>72</v>
      </c>
      <c r="B180" t="s">
        <v>1798</v>
      </c>
      <c r="C180" t="s">
        <v>74</v>
      </c>
      <c r="D180" t="s">
        <v>74</v>
      </c>
      <c r="E180" t="s">
        <v>74</v>
      </c>
      <c r="F180" t="s">
        <v>1799</v>
      </c>
      <c r="G180" t="s">
        <v>74</v>
      </c>
      <c r="H180" t="s">
        <v>74</v>
      </c>
      <c r="I180" t="s">
        <v>1800</v>
      </c>
      <c r="J180" t="s">
        <v>1801</v>
      </c>
      <c r="K180" t="s">
        <v>74</v>
      </c>
      <c r="L180" t="s">
        <v>74</v>
      </c>
      <c r="M180" t="s">
        <v>74</v>
      </c>
      <c r="N180" t="s">
        <v>74</v>
      </c>
      <c r="O180" t="s">
        <v>74</v>
      </c>
      <c r="P180" t="s">
        <v>74</v>
      </c>
      <c r="Q180" t="s">
        <v>74</v>
      </c>
      <c r="R180" t="s">
        <v>74</v>
      </c>
      <c r="S180" t="s">
        <v>74</v>
      </c>
      <c r="T180" t="s">
        <v>74</v>
      </c>
      <c r="U180" t="s">
        <v>74</v>
      </c>
      <c r="V180" t="s">
        <v>1802</v>
      </c>
      <c r="W180" t="s">
        <v>74</v>
      </c>
      <c r="X180" t="s">
        <v>74</v>
      </c>
      <c r="Y180" t="s">
        <v>74</v>
      </c>
      <c r="Z180" t="s">
        <v>74</v>
      </c>
      <c r="AA180" t="s">
        <v>1803</v>
      </c>
      <c r="AB180" t="s">
        <v>1804</v>
      </c>
      <c r="AC180" t="s">
        <v>74</v>
      </c>
      <c r="AD180" t="s">
        <v>74</v>
      </c>
      <c r="AE180" t="s">
        <v>74</v>
      </c>
      <c r="AF180" t="s">
        <v>74</v>
      </c>
      <c r="AG180" t="s">
        <v>74</v>
      </c>
      <c r="AH180" t="s">
        <v>74</v>
      </c>
      <c r="AI180" t="s">
        <v>74</v>
      </c>
      <c r="AJ180" t="s">
        <v>74</v>
      </c>
      <c r="AK180" t="s">
        <v>74</v>
      </c>
      <c r="AL180" t="s">
        <v>74</v>
      </c>
      <c r="AM180" t="s">
        <v>74</v>
      </c>
      <c r="AN180" t="s">
        <v>74</v>
      </c>
      <c r="AO180" t="s">
        <v>1805</v>
      </c>
      <c r="AP180" t="s">
        <v>74</v>
      </c>
      <c r="AQ180" t="s">
        <v>74</v>
      </c>
      <c r="AR180" t="s">
        <v>74</v>
      </c>
      <c r="AS180" t="s">
        <v>74</v>
      </c>
      <c r="AT180" t="s">
        <v>195</v>
      </c>
      <c r="AU180">
        <v>2022</v>
      </c>
      <c r="AV180">
        <v>7</v>
      </c>
      <c r="AW180">
        <v>11</v>
      </c>
      <c r="AX180" t="s">
        <v>74</v>
      </c>
      <c r="AY180" t="s">
        <v>74</v>
      </c>
      <c r="AZ180" t="s">
        <v>74</v>
      </c>
      <c r="BA180" t="s">
        <v>74</v>
      </c>
      <c r="BB180">
        <v>841</v>
      </c>
      <c r="BC180">
        <v>843</v>
      </c>
      <c r="BD180" t="s">
        <v>74</v>
      </c>
      <c r="BE180" t="s">
        <v>1806</v>
      </c>
      <c r="BF180" t="str">
        <f>HYPERLINK("http://dx.doi.org/10.1038/s41578-022-00501-5","http://dx.doi.org/10.1038/s41578-022-00501-5")</f>
        <v>http://dx.doi.org/10.1038/s41578-022-00501-5</v>
      </c>
      <c r="BG180" t="s">
        <v>74</v>
      </c>
      <c r="BH180" t="s">
        <v>1065</v>
      </c>
      <c r="BI180" t="s">
        <v>74</v>
      </c>
      <c r="BJ180" t="s">
        <v>74</v>
      </c>
      <c r="BK180" t="s">
        <v>74</v>
      </c>
      <c r="BL180" t="s">
        <v>74</v>
      </c>
      <c r="BM180" t="s">
        <v>74</v>
      </c>
      <c r="BN180">
        <v>36212106</v>
      </c>
      <c r="BO180" t="s">
        <v>74</v>
      </c>
      <c r="BP180" t="s">
        <v>74</v>
      </c>
      <c r="BQ180" t="s">
        <v>74</v>
      </c>
      <c r="BR180" t="s">
        <v>74</v>
      </c>
      <c r="BS180" t="s">
        <v>1807</v>
      </c>
      <c r="BT180" t="str">
        <f>HYPERLINK("https%3A%2F%2Fwww.webofscience.com%2Fwos%2Fwoscc%2Ffull-record%2FWOS:000865194500001","View Full Record in Web of Science")</f>
        <v>View Full Record in Web of Science</v>
      </c>
    </row>
    <row r="181" spans="1:72" x14ac:dyDescent="0.25">
      <c r="A181" t="s">
        <v>72</v>
      </c>
      <c r="B181" t="s">
        <v>1808</v>
      </c>
      <c r="C181" t="s">
        <v>74</v>
      </c>
      <c r="D181" t="s">
        <v>74</v>
      </c>
      <c r="E181" t="s">
        <v>74</v>
      </c>
      <c r="F181" t="s">
        <v>1809</v>
      </c>
      <c r="G181" t="s">
        <v>74</v>
      </c>
      <c r="H181" t="s">
        <v>74</v>
      </c>
      <c r="I181" t="s">
        <v>1810</v>
      </c>
      <c r="J181" t="s">
        <v>305</v>
      </c>
      <c r="K181" t="s">
        <v>74</v>
      </c>
      <c r="L181" t="s">
        <v>74</v>
      </c>
      <c r="M181" t="s">
        <v>74</v>
      </c>
      <c r="N181" t="s">
        <v>74</v>
      </c>
      <c r="O181" t="s">
        <v>74</v>
      </c>
      <c r="P181" t="s">
        <v>74</v>
      </c>
      <c r="Q181" t="s">
        <v>74</v>
      </c>
      <c r="R181" t="s">
        <v>74</v>
      </c>
      <c r="S181" t="s">
        <v>74</v>
      </c>
      <c r="T181" t="s">
        <v>74</v>
      </c>
      <c r="U181" t="s">
        <v>74</v>
      </c>
      <c r="V181" t="s">
        <v>1811</v>
      </c>
      <c r="W181" t="s">
        <v>74</v>
      </c>
      <c r="X181" t="s">
        <v>74</v>
      </c>
      <c r="Y181" t="s">
        <v>74</v>
      </c>
      <c r="Z181" t="s">
        <v>74</v>
      </c>
      <c r="AA181" t="s">
        <v>74</v>
      </c>
      <c r="AB181" t="s">
        <v>1812</v>
      </c>
      <c r="AC181" t="s">
        <v>74</v>
      </c>
      <c r="AD181" t="s">
        <v>74</v>
      </c>
      <c r="AE181" t="s">
        <v>74</v>
      </c>
      <c r="AF181" t="s">
        <v>74</v>
      </c>
      <c r="AG181" t="s">
        <v>74</v>
      </c>
      <c r="AH181" t="s">
        <v>74</v>
      </c>
      <c r="AI181" t="s">
        <v>74</v>
      </c>
      <c r="AJ181" t="s">
        <v>74</v>
      </c>
      <c r="AK181" t="s">
        <v>74</v>
      </c>
      <c r="AL181" t="s">
        <v>74</v>
      </c>
      <c r="AM181" t="s">
        <v>74</v>
      </c>
      <c r="AN181" t="s">
        <v>74</v>
      </c>
      <c r="AO181" t="s">
        <v>307</v>
      </c>
      <c r="AP181" t="s">
        <v>308</v>
      </c>
      <c r="AQ181" t="s">
        <v>74</v>
      </c>
      <c r="AR181" t="s">
        <v>74</v>
      </c>
      <c r="AS181" t="s">
        <v>74</v>
      </c>
      <c r="AT181" t="s">
        <v>309</v>
      </c>
      <c r="AU181">
        <v>2022</v>
      </c>
      <c r="AV181">
        <v>24</v>
      </c>
      <c r="AW181">
        <v>6</v>
      </c>
      <c r="AX181" t="s">
        <v>74</v>
      </c>
      <c r="AY181" t="s">
        <v>74</v>
      </c>
      <c r="AZ181" t="s">
        <v>74</v>
      </c>
      <c r="BA181" t="s">
        <v>74</v>
      </c>
      <c r="BB181">
        <v>34</v>
      </c>
      <c r="BC181">
        <v>40</v>
      </c>
      <c r="BD181" t="s">
        <v>74</v>
      </c>
      <c r="BE181" t="s">
        <v>1813</v>
      </c>
      <c r="BF181" t="str">
        <f>HYPERLINK("http://dx.doi.org/10.1109/MITP.2022.3225064","http://dx.doi.org/10.1109/MITP.2022.3225064")</f>
        <v>http://dx.doi.org/10.1109/MITP.2022.3225064</v>
      </c>
      <c r="BG181" t="s">
        <v>74</v>
      </c>
      <c r="BH181" t="s">
        <v>74</v>
      </c>
      <c r="BI181" t="s">
        <v>74</v>
      </c>
      <c r="BJ181" t="s">
        <v>74</v>
      </c>
      <c r="BK181" t="s">
        <v>74</v>
      </c>
      <c r="BL181" t="s">
        <v>74</v>
      </c>
      <c r="BM181" t="s">
        <v>74</v>
      </c>
      <c r="BN181" t="s">
        <v>74</v>
      </c>
      <c r="BO181" t="s">
        <v>74</v>
      </c>
      <c r="BP181" t="s">
        <v>74</v>
      </c>
      <c r="BQ181" t="s">
        <v>74</v>
      </c>
      <c r="BR181" t="s">
        <v>74</v>
      </c>
      <c r="BS181" t="s">
        <v>1814</v>
      </c>
      <c r="BT181" t="str">
        <f>HYPERLINK("https%3A%2F%2Fwww.webofscience.com%2Fwos%2Fwoscc%2Ffull-record%2FWOS:000917257500008","View Full Record in Web of Science")</f>
        <v>View Full Record in Web of Science</v>
      </c>
    </row>
    <row r="182" spans="1:72" x14ac:dyDescent="0.25">
      <c r="A182" t="s">
        <v>72</v>
      </c>
      <c r="B182" t="s">
        <v>1815</v>
      </c>
      <c r="C182" t="s">
        <v>74</v>
      </c>
      <c r="D182" t="s">
        <v>74</v>
      </c>
      <c r="E182" t="s">
        <v>74</v>
      </c>
      <c r="F182" t="s">
        <v>1816</v>
      </c>
      <c r="G182" t="s">
        <v>74</v>
      </c>
      <c r="H182" t="s">
        <v>74</v>
      </c>
      <c r="I182" t="s">
        <v>1817</v>
      </c>
      <c r="J182" t="s">
        <v>817</v>
      </c>
      <c r="K182" t="s">
        <v>74</v>
      </c>
      <c r="L182" t="s">
        <v>74</v>
      </c>
      <c r="M182" t="s">
        <v>74</v>
      </c>
      <c r="N182" t="s">
        <v>74</v>
      </c>
      <c r="O182" t="s">
        <v>74</v>
      </c>
      <c r="P182" t="s">
        <v>74</v>
      </c>
      <c r="Q182" t="s">
        <v>74</v>
      </c>
      <c r="R182" t="s">
        <v>74</v>
      </c>
      <c r="S182" t="s">
        <v>74</v>
      </c>
      <c r="T182" t="s">
        <v>74</v>
      </c>
      <c r="U182" t="s">
        <v>74</v>
      </c>
      <c r="V182" t="s">
        <v>74</v>
      </c>
      <c r="W182" t="s">
        <v>74</v>
      </c>
      <c r="X182" t="s">
        <v>74</v>
      </c>
      <c r="Y182" t="s">
        <v>74</v>
      </c>
      <c r="Z182" t="s">
        <v>74</v>
      </c>
      <c r="AA182" t="s">
        <v>74</v>
      </c>
      <c r="AB182" t="s">
        <v>1818</v>
      </c>
      <c r="AC182" t="s">
        <v>74</v>
      </c>
      <c r="AD182" t="s">
        <v>74</v>
      </c>
      <c r="AE182" t="s">
        <v>74</v>
      </c>
      <c r="AF182" t="s">
        <v>74</v>
      </c>
      <c r="AG182" t="s">
        <v>74</v>
      </c>
      <c r="AH182" t="s">
        <v>74</v>
      </c>
      <c r="AI182" t="s">
        <v>74</v>
      </c>
      <c r="AJ182" t="s">
        <v>74</v>
      </c>
      <c r="AK182" t="s">
        <v>74</v>
      </c>
      <c r="AL182" t="s">
        <v>74</v>
      </c>
      <c r="AM182" t="s">
        <v>74</v>
      </c>
      <c r="AN182" t="s">
        <v>74</v>
      </c>
      <c r="AO182" t="s">
        <v>820</v>
      </c>
      <c r="AP182" t="s">
        <v>74</v>
      </c>
      <c r="AQ182" t="s">
        <v>74</v>
      </c>
      <c r="AR182" t="s">
        <v>74</v>
      </c>
      <c r="AS182" t="s">
        <v>74</v>
      </c>
      <c r="AT182" t="s">
        <v>435</v>
      </c>
      <c r="AU182">
        <v>2022</v>
      </c>
      <c r="AV182">
        <v>9</v>
      </c>
      <c r="AW182">
        <v>1</v>
      </c>
      <c r="AX182" t="s">
        <v>74</v>
      </c>
      <c r="AY182" t="s">
        <v>74</v>
      </c>
      <c r="AZ182" t="s">
        <v>74</v>
      </c>
      <c r="BA182" t="s">
        <v>74</v>
      </c>
      <c r="BB182">
        <v>2</v>
      </c>
      <c r="BC182">
        <v>7</v>
      </c>
      <c r="BD182" t="s">
        <v>74</v>
      </c>
      <c r="BE182" t="s">
        <v>1819</v>
      </c>
      <c r="BF182" t="str">
        <f>HYPERLINK("http://dx.doi.org/10.1109/TCSS.2022.3145165","http://dx.doi.org/10.1109/TCSS.2022.3145165")</f>
        <v>http://dx.doi.org/10.1109/TCSS.2022.3145165</v>
      </c>
      <c r="BG182" t="s">
        <v>74</v>
      </c>
      <c r="BH182" t="s">
        <v>74</v>
      </c>
      <c r="BI182" t="s">
        <v>74</v>
      </c>
      <c r="BJ182" t="s">
        <v>74</v>
      </c>
      <c r="BK182" t="s">
        <v>74</v>
      </c>
      <c r="BL182" t="s">
        <v>74</v>
      </c>
      <c r="BM182" t="s">
        <v>74</v>
      </c>
      <c r="BN182" t="s">
        <v>74</v>
      </c>
      <c r="BO182" t="s">
        <v>74</v>
      </c>
      <c r="BP182" t="s">
        <v>74</v>
      </c>
      <c r="BQ182" t="s">
        <v>74</v>
      </c>
      <c r="BR182" t="s">
        <v>74</v>
      </c>
      <c r="BS182" t="s">
        <v>1820</v>
      </c>
      <c r="BT182" t="str">
        <f>HYPERLINK("https%3A%2F%2Fwww.webofscience.com%2Fwos%2Fwoscc%2Ffull-record%2FWOS:000750075000002","View Full Record in Web of Science")</f>
        <v>View Full Record in Web of Science</v>
      </c>
    </row>
    <row r="183" spans="1:72" x14ac:dyDescent="0.25">
      <c r="A183" t="s">
        <v>72</v>
      </c>
      <c r="B183" t="s">
        <v>1821</v>
      </c>
      <c r="C183" t="s">
        <v>74</v>
      </c>
      <c r="D183" t="s">
        <v>74</v>
      </c>
      <c r="E183" t="s">
        <v>74</v>
      </c>
      <c r="F183" t="s">
        <v>1822</v>
      </c>
      <c r="G183" t="s">
        <v>74</v>
      </c>
      <c r="H183" t="s">
        <v>74</v>
      </c>
      <c r="I183" t="s">
        <v>1823</v>
      </c>
      <c r="J183" t="s">
        <v>1824</v>
      </c>
      <c r="K183" t="s">
        <v>74</v>
      </c>
      <c r="L183" t="s">
        <v>74</v>
      </c>
      <c r="M183" t="s">
        <v>74</v>
      </c>
      <c r="N183" t="s">
        <v>74</v>
      </c>
      <c r="O183" t="s">
        <v>74</v>
      </c>
      <c r="P183" t="s">
        <v>74</v>
      </c>
      <c r="Q183" t="s">
        <v>74</v>
      </c>
      <c r="R183" t="s">
        <v>74</v>
      </c>
      <c r="S183" t="s">
        <v>74</v>
      </c>
      <c r="T183" t="s">
        <v>74</v>
      </c>
      <c r="U183" t="s">
        <v>74</v>
      </c>
      <c r="V183" t="s">
        <v>74</v>
      </c>
      <c r="W183" t="s">
        <v>74</v>
      </c>
      <c r="X183" t="s">
        <v>74</v>
      </c>
      <c r="Y183" t="s">
        <v>74</v>
      </c>
      <c r="Z183" t="s">
        <v>74</v>
      </c>
      <c r="AA183" t="s">
        <v>1825</v>
      </c>
      <c r="AB183" t="s">
        <v>1826</v>
      </c>
      <c r="AC183" t="s">
        <v>74</v>
      </c>
      <c r="AD183" t="s">
        <v>74</v>
      </c>
      <c r="AE183" t="s">
        <v>74</v>
      </c>
      <c r="AF183" t="s">
        <v>74</v>
      </c>
      <c r="AG183" t="s">
        <v>74</v>
      </c>
      <c r="AH183" t="s">
        <v>74</v>
      </c>
      <c r="AI183" t="s">
        <v>74</v>
      </c>
      <c r="AJ183" t="s">
        <v>74</v>
      </c>
      <c r="AK183" t="s">
        <v>74</v>
      </c>
      <c r="AL183" t="s">
        <v>74</v>
      </c>
      <c r="AM183" t="s">
        <v>74</v>
      </c>
      <c r="AN183" t="s">
        <v>74</v>
      </c>
      <c r="AO183" t="s">
        <v>1827</v>
      </c>
      <c r="AP183" t="s">
        <v>1828</v>
      </c>
      <c r="AQ183" t="s">
        <v>74</v>
      </c>
      <c r="AR183" t="s">
        <v>74</v>
      </c>
      <c r="AS183" t="s">
        <v>74</v>
      </c>
      <c r="AT183" t="s">
        <v>984</v>
      </c>
      <c r="AU183">
        <v>2022</v>
      </c>
      <c r="AV183">
        <v>97</v>
      </c>
      <c r="AW183">
        <v>5</v>
      </c>
      <c r="AX183" t="s">
        <v>74</v>
      </c>
      <c r="AY183" t="s">
        <v>74</v>
      </c>
      <c r="AZ183" t="s">
        <v>74</v>
      </c>
      <c r="BA183" t="s">
        <v>74</v>
      </c>
      <c r="BB183">
        <v>455</v>
      </c>
      <c r="BC183">
        <v>457</v>
      </c>
      <c r="BD183" t="s">
        <v>74</v>
      </c>
      <c r="BE183" t="s">
        <v>1829</v>
      </c>
      <c r="BF183" t="str">
        <f>HYPERLINK("http://dx.doi.org/10.6036/10529","http://dx.doi.org/10.6036/10529")</f>
        <v>http://dx.doi.org/10.6036/10529</v>
      </c>
      <c r="BG183" t="s">
        <v>74</v>
      </c>
      <c r="BH183" t="s">
        <v>74</v>
      </c>
      <c r="BI183" t="s">
        <v>74</v>
      </c>
      <c r="BJ183" t="s">
        <v>74</v>
      </c>
      <c r="BK183" t="s">
        <v>74</v>
      </c>
      <c r="BL183" t="s">
        <v>74</v>
      </c>
      <c r="BM183" t="s">
        <v>74</v>
      </c>
      <c r="BN183" t="s">
        <v>74</v>
      </c>
      <c r="BO183" t="s">
        <v>74</v>
      </c>
      <c r="BP183" t="s">
        <v>74</v>
      </c>
      <c r="BQ183" t="s">
        <v>74</v>
      </c>
      <c r="BR183" t="s">
        <v>74</v>
      </c>
      <c r="BS183" t="s">
        <v>1830</v>
      </c>
      <c r="BT183" t="str">
        <f>HYPERLINK("https%3A%2F%2Fwww.webofscience.com%2Fwos%2Fwoscc%2Ffull-record%2FWOS:000852278700001","View Full Record in Web of Science")</f>
        <v>View Full Record in Web of Science</v>
      </c>
    </row>
    <row r="184" spans="1:72" x14ac:dyDescent="0.25">
      <c r="A184" t="s">
        <v>72</v>
      </c>
      <c r="B184" t="s">
        <v>1831</v>
      </c>
      <c r="C184" t="s">
        <v>74</v>
      </c>
      <c r="D184" t="s">
        <v>74</v>
      </c>
      <c r="E184" t="s">
        <v>74</v>
      </c>
      <c r="F184" t="s">
        <v>1832</v>
      </c>
      <c r="G184" t="s">
        <v>74</v>
      </c>
      <c r="H184" t="s">
        <v>74</v>
      </c>
      <c r="I184" t="s">
        <v>1833</v>
      </c>
      <c r="J184" t="s">
        <v>201</v>
      </c>
      <c r="K184" t="s">
        <v>74</v>
      </c>
      <c r="L184" t="s">
        <v>74</v>
      </c>
      <c r="M184" t="s">
        <v>74</v>
      </c>
      <c r="N184" t="s">
        <v>74</v>
      </c>
      <c r="O184" t="s">
        <v>74</v>
      </c>
      <c r="P184" t="s">
        <v>74</v>
      </c>
      <c r="Q184" t="s">
        <v>74</v>
      </c>
      <c r="R184" t="s">
        <v>74</v>
      </c>
      <c r="S184" t="s">
        <v>74</v>
      </c>
      <c r="T184" t="s">
        <v>74</v>
      </c>
      <c r="U184" t="s">
        <v>74</v>
      </c>
      <c r="V184" t="s">
        <v>1834</v>
      </c>
      <c r="W184" t="s">
        <v>74</v>
      </c>
      <c r="X184" t="s">
        <v>74</v>
      </c>
      <c r="Y184" t="s">
        <v>74</v>
      </c>
      <c r="Z184" t="s">
        <v>74</v>
      </c>
      <c r="AA184" t="s">
        <v>74</v>
      </c>
      <c r="AB184" t="s">
        <v>1835</v>
      </c>
      <c r="AC184" t="s">
        <v>74</v>
      </c>
      <c r="AD184" t="s">
        <v>74</v>
      </c>
      <c r="AE184" t="s">
        <v>74</v>
      </c>
      <c r="AF184" t="s">
        <v>74</v>
      </c>
      <c r="AG184" t="s">
        <v>74</v>
      </c>
      <c r="AH184" t="s">
        <v>74</v>
      </c>
      <c r="AI184" t="s">
        <v>74</v>
      </c>
      <c r="AJ184" t="s">
        <v>74</v>
      </c>
      <c r="AK184" t="s">
        <v>74</v>
      </c>
      <c r="AL184" t="s">
        <v>74</v>
      </c>
      <c r="AM184" t="s">
        <v>74</v>
      </c>
      <c r="AN184" t="s">
        <v>74</v>
      </c>
      <c r="AO184" t="s">
        <v>205</v>
      </c>
      <c r="AP184" t="s">
        <v>74</v>
      </c>
      <c r="AQ184" t="s">
        <v>74</v>
      </c>
      <c r="AR184" t="s">
        <v>74</v>
      </c>
      <c r="AS184" t="s">
        <v>74</v>
      </c>
      <c r="AT184" t="s">
        <v>74</v>
      </c>
      <c r="AU184">
        <v>2022</v>
      </c>
      <c r="AV184">
        <v>10</v>
      </c>
      <c r="AW184" t="s">
        <v>74</v>
      </c>
      <c r="AX184" t="s">
        <v>74</v>
      </c>
      <c r="AY184" t="s">
        <v>74</v>
      </c>
      <c r="AZ184" t="s">
        <v>74</v>
      </c>
      <c r="BA184" t="s">
        <v>74</v>
      </c>
      <c r="BB184">
        <v>110796</v>
      </c>
      <c r="BC184">
        <v>110806</v>
      </c>
      <c r="BD184" t="s">
        <v>74</v>
      </c>
      <c r="BE184" t="s">
        <v>1836</v>
      </c>
      <c r="BF184" t="str">
        <f>HYPERLINK("http://dx.doi.org/10.1109/ACCESS.2022.3215736","http://dx.doi.org/10.1109/ACCESS.2022.3215736")</f>
        <v>http://dx.doi.org/10.1109/ACCESS.2022.3215736</v>
      </c>
      <c r="BG184" t="s">
        <v>74</v>
      </c>
      <c r="BH184" t="s">
        <v>74</v>
      </c>
      <c r="BI184" t="s">
        <v>74</v>
      </c>
      <c r="BJ184" t="s">
        <v>74</v>
      </c>
      <c r="BK184" t="s">
        <v>74</v>
      </c>
      <c r="BL184" t="s">
        <v>74</v>
      </c>
      <c r="BM184" t="s">
        <v>74</v>
      </c>
      <c r="BN184" t="s">
        <v>74</v>
      </c>
      <c r="BO184" t="s">
        <v>74</v>
      </c>
      <c r="BP184" t="s">
        <v>74</v>
      </c>
      <c r="BQ184" t="s">
        <v>74</v>
      </c>
      <c r="BR184" t="s">
        <v>74</v>
      </c>
      <c r="BS184" t="s">
        <v>1837</v>
      </c>
      <c r="BT184" t="str">
        <f>HYPERLINK("https%3A%2F%2Fwww.webofscience.com%2Fwos%2Fwoscc%2Ffull-record%2FWOS:000873853600001","View Full Record in Web of Science")</f>
        <v>View Full Record in Web of Science</v>
      </c>
    </row>
    <row r="185" spans="1:72" x14ac:dyDescent="0.25">
      <c r="A185" t="s">
        <v>72</v>
      </c>
      <c r="B185" t="s">
        <v>1838</v>
      </c>
      <c r="C185" t="s">
        <v>74</v>
      </c>
      <c r="D185" t="s">
        <v>74</v>
      </c>
      <c r="E185" t="s">
        <v>74</v>
      </c>
      <c r="F185" t="s">
        <v>1839</v>
      </c>
      <c r="G185" t="s">
        <v>74</v>
      </c>
      <c r="H185" t="s">
        <v>74</v>
      </c>
      <c r="I185" t="s">
        <v>1840</v>
      </c>
      <c r="J185" t="s">
        <v>1841</v>
      </c>
      <c r="K185" t="s">
        <v>74</v>
      </c>
      <c r="L185" t="s">
        <v>74</v>
      </c>
      <c r="M185" t="s">
        <v>74</v>
      </c>
      <c r="N185" t="s">
        <v>74</v>
      </c>
      <c r="O185" t="s">
        <v>74</v>
      </c>
      <c r="P185" t="s">
        <v>74</v>
      </c>
      <c r="Q185" t="s">
        <v>74</v>
      </c>
      <c r="R185" t="s">
        <v>74</v>
      </c>
      <c r="S185" t="s">
        <v>74</v>
      </c>
      <c r="T185" t="s">
        <v>74</v>
      </c>
      <c r="U185" t="s">
        <v>74</v>
      </c>
      <c r="V185" t="s">
        <v>1842</v>
      </c>
      <c r="W185" t="s">
        <v>74</v>
      </c>
      <c r="X185" t="s">
        <v>74</v>
      </c>
      <c r="Y185" t="s">
        <v>74</v>
      </c>
      <c r="Z185" t="s">
        <v>74</v>
      </c>
      <c r="AA185" t="s">
        <v>1843</v>
      </c>
      <c r="AB185" t="s">
        <v>1844</v>
      </c>
      <c r="AC185" t="s">
        <v>74</v>
      </c>
      <c r="AD185" t="s">
        <v>74</v>
      </c>
      <c r="AE185" t="s">
        <v>74</v>
      </c>
      <c r="AF185" t="s">
        <v>74</v>
      </c>
      <c r="AG185" t="s">
        <v>74</v>
      </c>
      <c r="AH185" t="s">
        <v>74</v>
      </c>
      <c r="AI185" t="s">
        <v>74</v>
      </c>
      <c r="AJ185" t="s">
        <v>74</v>
      </c>
      <c r="AK185" t="s">
        <v>74</v>
      </c>
      <c r="AL185" t="s">
        <v>74</v>
      </c>
      <c r="AM185" t="s">
        <v>74</v>
      </c>
      <c r="AN185" t="s">
        <v>74</v>
      </c>
      <c r="AO185" t="s">
        <v>74</v>
      </c>
      <c r="AP185" t="s">
        <v>1845</v>
      </c>
      <c r="AQ185" t="s">
        <v>74</v>
      </c>
      <c r="AR185" t="s">
        <v>74</v>
      </c>
      <c r="AS185" t="s">
        <v>74</v>
      </c>
      <c r="AT185" t="s">
        <v>81</v>
      </c>
      <c r="AU185">
        <v>2022</v>
      </c>
      <c r="AV185">
        <v>10</v>
      </c>
      <c r="AW185">
        <v>10</v>
      </c>
      <c r="AX185" t="s">
        <v>74</v>
      </c>
      <c r="AY185" t="s">
        <v>74</v>
      </c>
      <c r="AZ185" t="s">
        <v>74</v>
      </c>
      <c r="BA185" t="s">
        <v>74</v>
      </c>
      <c r="BB185" t="s">
        <v>74</v>
      </c>
      <c r="BC185" t="s">
        <v>74</v>
      </c>
      <c r="BD185">
        <v>926</v>
      </c>
      <c r="BE185" t="s">
        <v>1846</v>
      </c>
      <c r="BF185" t="str">
        <f>HYPERLINK("http://dx.doi.org/10.3390/machines10100926","http://dx.doi.org/10.3390/machines10100926")</f>
        <v>http://dx.doi.org/10.3390/machines10100926</v>
      </c>
      <c r="BG185" t="s">
        <v>74</v>
      </c>
      <c r="BH185" t="s">
        <v>74</v>
      </c>
      <c r="BI185" t="s">
        <v>74</v>
      </c>
      <c r="BJ185" t="s">
        <v>74</v>
      </c>
      <c r="BK185" t="s">
        <v>74</v>
      </c>
      <c r="BL185" t="s">
        <v>74</v>
      </c>
      <c r="BM185" t="s">
        <v>74</v>
      </c>
      <c r="BN185" t="s">
        <v>74</v>
      </c>
      <c r="BO185" t="s">
        <v>74</v>
      </c>
      <c r="BP185" t="s">
        <v>74</v>
      </c>
      <c r="BQ185" t="s">
        <v>74</v>
      </c>
      <c r="BR185" t="s">
        <v>74</v>
      </c>
      <c r="BS185" t="s">
        <v>1847</v>
      </c>
      <c r="BT185" t="str">
        <f>HYPERLINK("https%3A%2F%2Fwww.webofscience.com%2Fwos%2Fwoscc%2Ffull-record%2FWOS:000875036800001","View Full Record in Web of Science")</f>
        <v>View Full Record in Web of Science</v>
      </c>
    </row>
    <row r="186" spans="1:72" x14ac:dyDescent="0.25">
      <c r="A186" t="s">
        <v>72</v>
      </c>
      <c r="B186" t="s">
        <v>1848</v>
      </c>
      <c r="C186" t="s">
        <v>74</v>
      </c>
      <c r="D186" t="s">
        <v>74</v>
      </c>
      <c r="E186" t="s">
        <v>74</v>
      </c>
      <c r="F186" t="s">
        <v>1849</v>
      </c>
      <c r="G186" t="s">
        <v>74</v>
      </c>
      <c r="H186" t="s">
        <v>74</v>
      </c>
      <c r="I186" t="s">
        <v>1850</v>
      </c>
      <c r="J186" t="s">
        <v>1851</v>
      </c>
      <c r="K186" t="s">
        <v>74</v>
      </c>
      <c r="L186" t="s">
        <v>74</v>
      </c>
      <c r="M186" t="s">
        <v>74</v>
      </c>
      <c r="N186" t="s">
        <v>74</v>
      </c>
      <c r="O186" t="s">
        <v>74</v>
      </c>
      <c r="P186" t="s">
        <v>74</v>
      </c>
      <c r="Q186" t="s">
        <v>74</v>
      </c>
      <c r="R186" t="s">
        <v>74</v>
      </c>
      <c r="S186" t="s">
        <v>74</v>
      </c>
      <c r="T186" t="s">
        <v>74</v>
      </c>
      <c r="U186" t="s">
        <v>74</v>
      </c>
      <c r="V186" t="s">
        <v>74</v>
      </c>
      <c r="W186" t="s">
        <v>74</v>
      </c>
      <c r="X186" t="s">
        <v>74</v>
      </c>
      <c r="Y186" t="s">
        <v>74</v>
      </c>
      <c r="Z186" t="s">
        <v>74</v>
      </c>
      <c r="AA186" t="s">
        <v>74</v>
      </c>
      <c r="AB186" t="s">
        <v>74</v>
      </c>
      <c r="AC186" t="s">
        <v>74</v>
      </c>
      <c r="AD186" t="s">
        <v>74</v>
      </c>
      <c r="AE186" t="s">
        <v>74</v>
      </c>
      <c r="AF186" t="s">
        <v>74</v>
      </c>
      <c r="AG186" t="s">
        <v>74</v>
      </c>
      <c r="AH186" t="s">
        <v>74</v>
      </c>
      <c r="AI186" t="s">
        <v>74</v>
      </c>
      <c r="AJ186" t="s">
        <v>74</v>
      </c>
      <c r="AK186" t="s">
        <v>74</v>
      </c>
      <c r="AL186" t="s">
        <v>74</v>
      </c>
      <c r="AM186" t="s">
        <v>74</v>
      </c>
      <c r="AN186" t="s">
        <v>74</v>
      </c>
      <c r="AO186" t="s">
        <v>1852</v>
      </c>
      <c r="AP186" t="s">
        <v>1853</v>
      </c>
      <c r="AQ186" t="s">
        <v>74</v>
      </c>
      <c r="AR186" t="s">
        <v>74</v>
      </c>
      <c r="AS186" t="s">
        <v>74</v>
      </c>
      <c r="AT186" t="s">
        <v>175</v>
      </c>
      <c r="AU186">
        <v>2023</v>
      </c>
      <c r="AV186">
        <v>31</v>
      </c>
      <c r="AW186">
        <v>1</v>
      </c>
      <c r="AX186" t="s">
        <v>74</v>
      </c>
      <c r="AY186" t="s">
        <v>74</v>
      </c>
      <c r="AZ186" t="s">
        <v>74</v>
      </c>
      <c r="BA186" t="s">
        <v>74</v>
      </c>
      <c r="BB186" t="s">
        <v>74</v>
      </c>
      <c r="BC186" t="s">
        <v>74</v>
      </c>
      <c r="BD186">
        <v>1.0225536231165362E+16</v>
      </c>
      <c r="BE186" t="s">
        <v>1854</v>
      </c>
      <c r="BF186" t="str">
        <f>HYPERLINK("http://dx.doi.org/10.1177/10225536231165362","http://dx.doi.org/10.1177/10225536231165362")</f>
        <v>http://dx.doi.org/10.1177/10225536231165362</v>
      </c>
      <c r="BG186" t="s">
        <v>74</v>
      </c>
      <c r="BH186" t="s">
        <v>74</v>
      </c>
      <c r="BI186" t="s">
        <v>74</v>
      </c>
      <c r="BJ186" t="s">
        <v>74</v>
      </c>
      <c r="BK186" t="s">
        <v>74</v>
      </c>
      <c r="BL186" t="s">
        <v>74</v>
      </c>
      <c r="BM186" t="s">
        <v>74</v>
      </c>
      <c r="BN186">
        <v>36932039</v>
      </c>
      <c r="BO186" t="s">
        <v>74</v>
      </c>
      <c r="BP186" t="s">
        <v>74</v>
      </c>
      <c r="BQ186" t="s">
        <v>74</v>
      </c>
      <c r="BR186" t="s">
        <v>74</v>
      </c>
      <c r="BS186" t="s">
        <v>1855</v>
      </c>
      <c r="BT186" t="str">
        <f>HYPERLINK("https%3A%2F%2Fwww.webofscience.com%2Fwos%2Fwoscc%2Ffull-record%2FWOS:000953882100001","View Full Record in Web of Science")</f>
        <v>View Full Record in Web of Science</v>
      </c>
    </row>
    <row r="187" spans="1:72" x14ac:dyDescent="0.25">
      <c r="A187" t="s">
        <v>84</v>
      </c>
      <c r="B187" t="s">
        <v>1856</v>
      </c>
      <c r="C187" t="s">
        <v>74</v>
      </c>
      <c r="D187" t="s">
        <v>74</v>
      </c>
      <c r="E187" t="s">
        <v>233</v>
      </c>
      <c r="F187" t="s">
        <v>1857</v>
      </c>
      <c r="G187" t="s">
        <v>74</v>
      </c>
      <c r="H187" t="s">
        <v>74</v>
      </c>
      <c r="I187" t="s">
        <v>1858</v>
      </c>
      <c r="J187" t="s">
        <v>798</v>
      </c>
      <c r="K187" t="s">
        <v>74</v>
      </c>
      <c r="L187" t="s">
        <v>74</v>
      </c>
      <c r="M187" t="s">
        <v>74</v>
      </c>
      <c r="N187" t="s">
        <v>74</v>
      </c>
      <c r="O187" t="s">
        <v>799</v>
      </c>
      <c r="P187" t="s">
        <v>800</v>
      </c>
      <c r="Q187" t="s">
        <v>108</v>
      </c>
      <c r="R187" t="s">
        <v>801</v>
      </c>
      <c r="S187" t="s">
        <v>74</v>
      </c>
      <c r="T187" t="s">
        <v>74</v>
      </c>
      <c r="U187" t="s">
        <v>74</v>
      </c>
      <c r="V187" t="s">
        <v>1859</v>
      </c>
      <c r="W187" t="s">
        <v>74</v>
      </c>
      <c r="X187" t="s">
        <v>74</v>
      </c>
      <c r="Y187" t="s">
        <v>74</v>
      </c>
      <c r="Z187" t="s">
        <v>74</v>
      </c>
      <c r="AA187" t="s">
        <v>74</v>
      </c>
      <c r="AB187" t="s">
        <v>74</v>
      </c>
      <c r="AC187" t="s">
        <v>74</v>
      </c>
      <c r="AD187" t="s">
        <v>74</v>
      </c>
      <c r="AE187" t="s">
        <v>74</v>
      </c>
      <c r="AF187" t="s">
        <v>74</v>
      </c>
      <c r="AG187" t="s">
        <v>74</v>
      </c>
      <c r="AH187" t="s">
        <v>74</v>
      </c>
      <c r="AI187" t="s">
        <v>74</v>
      </c>
      <c r="AJ187" t="s">
        <v>74</v>
      </c>
      <c r="AK187" t="s">
        <v>74</v>
      </c>
      <c r="AL187" t="s">
        <v>74</v>
      </c>
      <c r="AM187" t="s">
        <v>74</v>
      </c>
      <c r="AN187" t="s">
        <v>74</v>
      </c>
      <c r="AO187" t="s">
        <v>74</v>
      </c>
      <c r="AP187" t="s">
        <v>74</v>
      </c>
      <c r="AQ187" t="s">
        <v>804</v>
      </c>
      <c r="AR187" t="s">
        <v>74</v>
      </c>
      <c r="AS187" t="s">
        <v>74</v>
      </c>
      <c r="AT187" t="s">
        <v>74</v>
      </c>
      <c r="AU187">
        <v>2022</v>
      </c>
      <c r="AV187" t="s">
        <v>74</v>
      </c>
      <c r="AW187" t="s">
        <v>74</v>
      </c>
      <c r="AX187" t="s">
        <v>74</v>
      </c>
      <c r="AY187" t="s">
        <v>74</v>
      </c>
      <c r="AZ187" t="s">
        <v>74</v>
      </c>
      <c r="BA187" t="s">
        <v>74</v>
      </c>
      <c r="BB187">
        <v>292</v>
      </c>
      <c r="BC187">
        <v>294</v>
      </c>
      <c r="BD187" t="s">
        <v>74</v>
      </c>
      <c r="BE187" t="s">
        <v>1860</v>
      </c>
      <c r="BF187" t="str">
        <f>HYPERLINK("http://dx.doi.org/10.1109/VRW55335.2022.00068","http://dx.doi.org/10.1109/VRW55335.2022.00068")</f>
        <v>http://dx.doi.org/10.1109/VRW55335.2022.00068</v>
      </c>
      <c r="BG187" t="s">
        <v>74</v>
      </c>
      <c r="BH187" t="s">
        <v>74</v>
      </c>
      <c r="BI187" t="s">
        <v>74</v>
      </c>
      <c r="BJ187" t="s">
        <v>74</v>
      </c>
      <c r="BK187" t="s">
        <v>74</v>
      </c>
      <c r="BL187" t="s">
        <v>74</v>
      </c>
      <c r="BM187" t="s">
        <v>74</v>
      </c>
      <c r="BN187" t="s">
        <v>74</v>
      </c>
      <c r="BO187" t="s">
        <v>74</v>
      </c>
      <c r="BP187" t="s">
        <v>74</v>
      </c>
      <c r="BQ187" t="s">
        <v>74</v>
      </c>
      <c r="BR187" t="s">
        <v>74</v>
      </c>
      <c r="BS187" t="s">
        <v>1861</v>
      </c>
      <c r="BT187" t="str">
        <f>HYPERLINK("https%3A%2F%2Fwww.webofscience.com%2Fwos%2Fwoscc%2Ffull-record%2FWOS:000808111800059","View Full Record in Web of Science")</f>
        <v>View Full Record in Web of Science</v>
      </c>
    </row>
    <row r="188" spans="1:72" x14ac:dyDescent="0.25">
      <c r="A188" t="s">
        <v>72</v>
      </c>
      <c r="B188" t="s">
        <v>1862</v>
      </c>
      <c r="C188" t="s">
        <v>74</v>
      </c>
      <c r="D188" t="s">
        <v>74</v>
      </c>
      <c r="E188" t="s">
        <v>74</v>
      </c>
      <c r="F188" t="s">
        <v>1863</v>
      </c>
      <c r="G188" t="s">
        <v>74</v>
      </c>
      <c r="H188" t="s">
        <v>74</v>
      </c>
      <c r="I188" t="s">
        <v>1864</v>
      </c>
      <c r="J188" t="s">
        <v>817</v>
      </c>
      <c r="K188" t="s">
        <v>74</v>
      </c>
      <c r="L188" t="s">
        <v>74</v>
      </c>
      <c r="M188" t="s">
        <v>74</v>
      </c>
      <c r="N188" t="s">
        <v>74</v>
      </c>
      <c r="O188" t="s">
        <v>74</v>
      </c>
      <c r="P188" t="s">
        <v>74</v>
      </c>
      <c r="Q188" t="s">
        <v>74</v>
      </c>
      <c r="R188" t="s">
        <v>74</v>
      </c>
      <c r="S188" t="s">
        <v>74</v>
      </c>
      <c r="T188" t="s">
        <v>74</v>
      </c>
      <c r="U188" t="s">
        <v>74</v>
      </c>
      <c r="V188" t="s">
        <v>1865</v>
      </c>
      <c r="W188" t="s">
        <v>74</v>
      </c>
      <c r="X188" t="s">
        <v>74</v>
      </c>
      <c r="Y188" t="s">
        <v>74</v>
      </c>
      <c r="Z188" t="s">
        <v>74</v>
      </c>
      <c r="AA188" t="s">
        <v>1866</v>
      </c>
      <c r="AB188" t="s">
        <v>1867</v>
      </c>
      <c r="AC188" t="s">
        <v>74</v>
      </c>
      <c r="AD188" t="s">
        <v>74</v>
      </c>
      <c r="AE188" t="s">
        <v>74</v>
      </c>
      <c r="AF188" t="s">
        <v>74</v>
      </c>
      <c r="AG188" t="s">
        <v>74</v>
      </c>
      <c r="AH188" t="s">
        <v>74</v>
      </c>
      <c r="AI188" t="s">
        <v>74</v>
      </c>
      <c r="AJ188" t="s">
        <v>74</v>
      </c>
      <c r="AK188" t="s">
        <v>74</v>
      </c>
      <c r="AL188" t="s">
        <v>74</v>
      </c>
      <c r="AM188" t="s">
        <v>74</v>
      </c>
      <c r="AN188" t="s">
        <v>74</v>
      </c>
      <c r="AO188" t="s">
        <v>820</v>
      </c>
      <c r="AP188" t="s">
        <v>74</v>
      </c>
      <c r="AQ188" t="s">
        <v>74</v>
      </c>
      <c r="AR188" t="s">
        <v>74</v>
      </c>
      <c r="AS188" t="s">
        <v>74</v>
      </c>
      <c r="AT188" t="s">
        <v>74</v>
      </c>
      <c r="AU188" t="s">
        <v>74</v>
      </c>
      <c r="AV188" t="s">
        <v>74</v>
      </c>
      <c r="AW188" t="s">
        <v>74</v>
      </c>
      <c r="AX188" t="s">
        <v>74</v>
      </c>
      <c r="AY188" t="s">
        <v>74</v>
      </c>
      <c r="AZ188" t="s">
        <v>74</v>
      </c>
      <c r="BA188" t="s">
        <v>74</v>
      </c>
      <c r="BB188" t="s">
        <v>74</v>
      </c>
      <c r="BC188" t="s">
        <v>74</v>
      </c>
      <c r="BD188" t="s">
        <v>74</v>
      </c>
      <c r="BE188" t="s">
        <v>1868</v>
      </c>
      <c r="BF188" t="str">
        <f>HYPERLINK("http://dx.doi.org/10.1109/TCSS.2022.3226717","http://dx.doi.org/10.1109/TCSS.2022.3226717")</f>
        <v>http://dx.doi.org/10.1109/TCSS.2022.3226717</v>
      </c>
      <c r="BG188" t="s">
        <v>74</v>
      </c>
      <c r="BH188" t="s">
        <v>426</v>
      </c>
      <c r="BI188" t="s">
        <v>74</v>
      </c>
      <c r="BJ188" t="s">
        <v>74</v>
      </c>
      <c r="BK188" t="s">
        <v>74</v>
      </c>
      <c r="BL188" t="s">
        <v>74</v>
      </c>
      <c r="BM188" t="s">
        <v>74</v>
      </c>
      <c r="BN188" t="s">
        <v>74</v>
      </c>
      <c r="BO188" t="s">
        <v>74</v>
      </c>
      <c r="BP188" t="s">
        <v>74</v>
      </c>
      <c r="BQ188" t="s">
        <v>74</v>
      </c>
      <c r="BR188" t="s">
        <v>74</v>
      </c>
      <c r="BS188" t="s">
        <v>1869</v>
      </c>
      <c r="BT188" t="str">
        <f>HYPERLINK("https%3A%2F%2Fwww.webofscience.com%2Fwos%2Fwoscc%2Ffull-record%2FWOS:000899996800001","View Full Record in Web of Science")</f>
        <v>View Full Record in Web of Science</v>
      </c>
    </row>
    <row r="189" spans="1:72" x14ac:dyDescent="0.25">
      <c r="A189" t="s">
        <v>72</v>
      </c>
      <c r="B189" t="s">
        <v>1870</v>
      </c>
      <c r="C189" t="s">
        <v>74</v>
      </c>
      <c r="D189" t="s">
        <v>74</v>
      </c>
      <c r="E189" t="s">
        <v>74</v>
      </c>
      <c r="F189" t="s">
        <v>1871</v>
      </c>
      <c r="G189" t="s">
        <v>74</v>
      </c>
      <c r="H189" t="s">
        <v>74</v>
      </c>
      <c r="I189" t="s">
        <v>1872</v>
      </c>
      <c r="J189" t="s">
        <v>1873</v>
      </c>
      <c r="K189" t="s">
        <v>74</v>
      </c>
      <c r="L189" t="s">
        <v>74</v>
      </c>
      <c r="M189" t="s">
        <v>74</v>
      </c>
      <c r="N189" t="s">
        <v>74</v>
      </c>
      <c r="O189" t="s">
        <v>74</v>
      </c>
      <c r="P189" t="s">
        <v>74</v>
      </c>
      <c r="Q189" t="s">
        <v>74</v>
      </c>
      <c r="R189" t="s">
        <v>74</v>
      </c>
      <c r="S189" t="s">
        <v>74</v>
      </c>
      <c r="T189" t="s">
        <v>74</v>
      </c>
      <c r="U189" t="s">
        <v>74</v>
      </c>
      <c r="V189" t="s">
        <v>74</v>
      </c>
      <c r="W189" t="s">
        <v>74</v>
      </c>
      <c r="X189" t="s">
        <v>74</v>
      </c>
      <c r="Y189" t="s">
        <v>74</v>
      </c>
      <c r="Z189" t="s">
        <v>74</v>
      </c>
      <c r="AA189" t="s">
        <v>74</v>
      </c>
      <c r="AB189" t="s">
        <v>74</v>
      </c>
      <c r="AC189" t="s">
        <v>74</v>
      </c>
      <c r="AD189" t="s">
        <v>74</v>
      </c>
      <c r="AE189" t="s">
        <v>74</v>
      </c>
      <c r="AF189" t="s">
        <v>74</v>
      </c>
      <c r="AG189" t="s">
        <v>74</v>
      </c>
      <c r="AH189" t="s">
        <v>74</v>
      </c>
      <c r="AI189" t="s">
        <v>74</v>
      </c>
      <c r="AJ189" t="s">
        <v>74</v>
      </c>
      <c r="AK189" t="s">
        <v>74</v>
      </c>
      <c r="AL189" t="s">
        <v>74</v>
      </c>
      <c r="AM189" t="s">
        <v>74</v>
      </c>
      <c r="AN189" t="s">
        <v>74</v>
      </c>
      <c r="AO189" t="s">
        <v>1874</v>
      </c>
      <c r="AP189" t="s">
        <v>1875</v>
      </c>
      <c r="AQ189" t="s">
        <v>74</v>
      </c>
      <c r="AR189" t="s">
        <v>74</v>
      </c>
      <c r="AS189" t="s">
        <v>74</v>
      </c>
      <c r="AT189" t="s">
        <v>195</v>
      </c>
      <c r="AU189">
        <v>2021</v>
      </c>
      <c r="AV189">
        <v>58</v>
      </c>
      <c r="AW189">
        <v>11</v>
      </c>
      <c r="AX189" t="s">
        <v>74</v>
      </c>
      <c r="AY189" t="s">
        <v>74</v>
      </c>
      <c r="AZ189" t="s">
        <v>74</v>
      </c>
      <c r="BA189" t="s">
        <v>74</v>
      </c>
      <c r="BB189">
        <v>25</v>
      </c>
      <c r="BC189">
        <v>25</v>
      </c>
      <c r="BD189" t="s">
        <v>74</v>
      </c>
      <c r="BE189" t="s">
        <v>74</v>
      </c>
      <c r="BF189" t="s">
        <v>74</v>
      </c>
      <c r="BG189" t="s">
        <v>74</v>
      </c>
      <c r="BH189" t="s">
        <v>74</v>
      </c>
      <c r="BI189" t="s">
        <v>74</v>
      </c>
      <c r="BJ189" t="s">
        <v>74</v>
      </c>
      <c r="BK189" t="s">
        <v>74</v>
      </c>
      <c r="BL189" t="s">
        <v>74</v>
      </c>
      <c r="BM189" t="s">
        <v>74</v>
      </c>
      <c r="BN189" t="s">
        <v>74</v>
      </c>
      <c r="BO189" t="s">
        <v>74</v>
      </c>
      <c r="BP189" t="s">
        <v>74</v>
      </c>
      <c r="BQ189" t="s">
        <v>74</v>
      </c>
      <c r="BR189" t="s">
        <v>74</v>
      </c>
      <c r="BS189" t="s">
        <v>1876</v>
      </c>
      <c r="BT189" t="str">
        <f>HYPERLINK("https%3A%2F%2Fwww.webofscience.com%2Fwos%2Fwoscc%2Ffull-record%2FWOS:000716699000010","View Full Record in Web of Science")</f>
        <v>View Full Record in Web of Science</v>
      </c>
    </row>
    <row r="190" spans="1:72" x14ac:dyDescent="0.25">
      <c r="A190" t="s">
        <v>72</v>
      </c>
      <c r="B190" t="s">
        <v>1877</v>
      </c>
      <c r="C190" t="s">
        <v>74</v>
      </c>
      <c r="D190" t="s">
        <v>74</v>
      </c>
      <c r="E190" t="s">
        <v>74</v>
      </c>
      <c r="F190" t="s">
        <v>1878</v>
      </c>
      <c r="G190" t="s">
        <v>74</v>
      </c>
      <c r="H190" t="s">
        <v>74</v>
      </c>
      <c r="I190" t="s">
        <v>1879</v>
      </c>
      <c r="J190" t="s">
        <v>1880</v>
      </c>
      <c r="K190" t="s">
        <v>74</v>
      </c>
      <c r="L190" t="s">
        <v>74</v>
      </c>
      <c r="M190" t="s">
        <v>74</v>
      </c>
      <c r="N190" t="s">
        <v>74</v>
      </c>
      <c r="O190" t="s">
        <v>74</v>
      </c>
      <c r="P190" t="s">
        <v>74</v>
      </c>
      <c r="Q190" t="s">
        <v>74</v>
      </c>
      <c r="R190" t="s">
        <v>74</v>
      </c>
      <c r="S190" t="s">
        <v>74</v>
      </c>
      <c r="T190" t="s">
        <v>74</v>
      </c>
      <c r="U190" t="s">
        <v>74</v>
      </c>
      <c r="V190" t="s">
        <v>1881</v>
      </c>
      <c r="W190" t="s">
        <v>74</v>
      </c>
      <c r="X190" t="s">
        <v>74</v>
      </c>
      <c r="Y190" t="s">
        <v>74</v>
      </c>
      <c r="Z190" t="s">
        <v>74</v>
      </c>
      <c r="AA190" t="s">
        <v>74</v>
      </c>
      <c r="AB190" t="s">
        <v>1882</v>
      </c>
      <c r="AC190" t="s">
        <v>74</v>
      </c>
      <c r="AD190" t="s">
        <v>74</v>
      </c>
      <c r="AE190" t="s">
        <v>74</v>
      </c>
      <c r="AF190" t="s">
        <v>74</v>
      </c>
      <c r="AG190" t="s">
        <v>74</v>
      </c>
      <c r="AH190" t="s">
        <v>74</v>
      </c>
      <c r="AI190" t="s">
        <v>74</v>
      </c>
      <c r="AJ190" t="s">
        <v>74</v>
      </c>
      <c r="AK190" t="s">
        <v>74</v>
      </c>
      <c r="AL190" t="s">
        <v>74</v>
      </c>
      <c r="AM190" t="s">
        <v>74</v>
      </c>
      <c r="AN190" t="s">
        <v>74</v>
      </c>
      <c r="AO190" t="s">
        <v>1883</v>
      </c>
      <c r="AP190" t="s">
        <v>1884</v>
      </c>
      <c r="AQ190" t="s">
        <v>74</v>
      </c>
      <c r="AR190" t="s">
        <v>74</v>
      </c>
      <c r="AS190" t="s">
        <v>74</v>
      </c>
      <c r="AT190" t="s">
        <v>74</v>
      </c>
      <c r="AU190" t="s">
        <v>74</v>
      </c>
      <c r="AV190" t="s">
        <v>74</v>
      </c>
      <c r="AW190" t="s">
        <v>74</v>
      </c>
      <c r="AX190" t="s">
        <v>74</v>
      </c>
      <c r="AY190" t="s">
        <v>74</v>
      </c>
      <c r="AZ190" t="s">
        <v>74</v>
      </c>
      <c r="BA190" t="s">
        <v>74</v>
      </c>
      <c r="BB190" t="s">
        <v>74</v>
      </c>
      <c r="BC190" t="s">
        <v>74</v>
      </c>
      <c r="BD190" t="s">
        <v>74</v>
      </c>
      <c r="BE190" t="s">
        <v>1885</v>
      </c>
      <c r="BF190" t="str">
        <f>HYPERLINK("http://dx.doi.org/10.3904/kjim.2022.129","http://dx.doi.org/10.3904/kjim.2022.129")</f>
        <v>http://dx.doi.org/10.3904/kjim.2022.129</v>
      </c>
      <c r="BG190" t="s">
        <v>74</v>
      </c>
      <c r="BH190" t="s">
        <v>768</v>
      </c>
      <c r="BI190" t="s">
        <v>74</v>
      </c>
      <c r="BJ190" t="s">
        <v>74</v>
      </c>
      <c r="BK190" t="s">
        <v>74</v>
      </c>
      <c r="BL190" t="s">
        <v>74</v>
      </c>
      <c r="BM190" t="s">
        <v>74</v>
      </c>
      <c r="BN190">
        <v>36153857</v>
      </c>
      <c r="BO190" t="s">
        <v>74</v>
      </c>
      <c r="BP190" t="s">
        <v>74</v>
      </c>
      <c r="BQ190" t="s">
        <v>74</v>
      </c>
      <c r="BR190" t="s">
        <v>74</v>
      </c>
      <c r="BS190" t="s">
        <v>1886</v>
      </c>
      <c r="BT190" t="str">
        <f>HYPERLINK("https%3A%2F%2Fwww.webofscience.com%2Fwos%2Fwoscc%2Ffull-record%2FWOS:000861740500001","View Full Record in Web of Science")</f>
        <v>View Full Record in Web of Science</v>
      </c>
    </row>
    <row r="191" spans="1:72" x14ac:dyDescent="0.25">
      <c r="A191" t="s">
        <v>72</v>
      </c>
      <c r="B191" t="s">
        <v>1887</v>
      </c>
      <c r="C191" t="s">
        <v>74</v>
      </c>
      <c r="D191" t="s">
        <v>74</v>
      </c>
      <c r="E191" t="s">
        <v>74</v>
      </c>
      <c r="F191" t="s">
        <v>1888</v>
      </c>
      <c r="G191" t="s">
        <v>74</v>
      </c>
      <c r="H191" t="s">
        <v>74</v>
      </c>
      <c r="I191" t="s">
        <v>1889</v>
      </c>
      <c r="J191" t="s">
        <v>616</v>
      </c>
      <c r="K191" t="s">
        <v>74</v>
      </c>
      <c r="L191" t="s">
        <v>74</v>
      </c>
      <c r="M191" t="s">
        <v>74</v>
      </c>
      <c r="N191" t="s">
        <v>74</v>
      </c>
      <c r="O191" t="s">
        <v>74</v>
      </c>
      <c r="P191" t="s">
        <v>74</v>
      </c>
      <c r="Q191" t="s">
        <v>74</v>
      </c>
      <c r="R191" t="s">
        <v>74</v>
      </c>
      <c r="S191" t="s">
        <v>74</v>
      </c>
      <c r="T191" t="s">
        <v>74</v>
      </c>
      <c r="U191" t="s">
        <v>74</v>
      </c>
      <c r="V191" t="s">
        <v>1890</v>
      </c>
      <c r="W191" t="s">
        <v>74</v>
      </c>
      <c r="X191" t="s">
        <v>74</v>
      </c>
      <c r="Y191" t="s">
        <v>74</v>
      </c>
      <c r="Z191" t="s">
        <v>74</v>
      </c>
      <c r="AA191" t="s">
        <v>74</v>
      </c>
      <c r="AB191" t="s">
        <v>74</v>
      </c>
      <c r="AC191" t="s">
        <v>74</v>
      </c>
      <c r="AD191" t="s">
        <v>74</v>
      </c>
      <c r="AE191" t="s">
        <v>74</v>
      </c>
      <c r="AF191" t="s">
        <v>74</v>
      </c>
      <c r="AG191" t="s">
        <v>74</v>
      </c>
      <c r="AH191" t="s">
        <v>74</v>
      </c>
      <c r="AI191" t="s">
        <v>74</v>
      </c>
      <c r="AJ191" t="s">
        <v>74</v>
      </c>
      <c r="AK191" t="s">
        <v>74</v>
      </c>
      <c r="AL191" t="s">
        <v>74</v>
      </c>
      <c r="AM191" t="s">
        <v>74</v>
      </c>
      <c r="AN191" t="s">
        <v>74</v>
      </c>
      <c r="AO191" t="s">
        <v>619</v>
      </c>
      <c r="AP191" t="s">
        <v>620</v>
      </c>
      <c r="AQ191" t="s">
        <v>74</v>
      </c>
      <c r="AR191" t="s">
        <v>74</v>
      </c>
      <c r="AS191" t="s">
        <v>74</v>
      </c>
      <c r="AT191" t="s">
        <v>1409</v>
      </c>
      <c r="AU191">
        <v>2023</v>
      </c>
      <c r="AV191">
        <v>143</v>
      </c>
      <c r="AW191" t="s">
        <v>74</v>
      </c>
      <c r="AX191" t="s">
        <v>74</v>
      </c>
      <c r="AY191" t="s">
        <v>74</v>
      </c>
      <c r="AZ191" t="s">
        <v>74</v>
      </c>
      <c r="BA191" t="s">
        <v>74</v>
      </c>
      <c r="BB191">
        <v>179</v>
      </c>
      <c r="BC191">
        <v>190</v>
      </c>
      <c r="BD191" t="s">
        <v>74</v>
      </c>
      <c r="BE191" t="s">
        <v>1891</v>
      </c>
      <c r="BF191" t="str">
        <f>HYPERLINK("http://dx.doi.org/10.1016/j.future.2023.01.017","http://dx.doi.org/10.1016/j.future.2023.01.017")</f>
        <v>http://dx.doi.org/10.1016/j.future.2023.01.017</v>
      </c>
      <c r="BG191" t="s">
        <v>74</v>
      </c>
      <c r="BH191" t="s">
        <v>218</v>
      </c>
      <c r="BI191" t="s">
        <v>74</v>
      </c>
      <c r="BJ191" t="s">
        <v>74</v>
      </c>
      <c r="BK191" t="s">
        <v>74</v>
      </c>
      <c r="BL191" t="s">
        <v>74</v>
      </c>
      <c r="BM191" t="s">
        <v>74</v>
      </c>
      <c r="BN191" t="s">
        <v>74</v>
      </c>
      <c r="BO191" t="s">
        <v>74</v>
      </c>
      <c r="BP191" t="s">
        <v>74</v>
      </c>
      <c r="BQ191" t="s">
        <v>74</v>
      </c>
      <c r="BR191" t="s">
        <v>74</v>
      </c>
      <c r="BS191" t="s">
        <v>1892</v>
      </c>
      <c r="BT191" t="str">
        <f>HYPERLINK("https%3A%2F%2Fwww.webofscience.com%2Fwos%2Fwoscc%2Ffull-record%2FWOS:000930687600001","View Full Record in Web of Science")</f>
        <v>View Full Record in Web of Science</v>
      </c>
    </row>
    <row r="192" spans="1:72" x14ac:dyDescent="0.25">
      <c r="A192" t="s">
        <v>72</v>
      </c>
      <c r="B192" t="s">
        <v>1893</v>
      </c>
      <c r="C192" t="s">
        <v>74</v>
      </c>
      <c r="D192" t="s">
        <v>74</v>
      </c>
      <c r="E192" t="s">
        <v>74</v>
      </c>
      <c r="F192" t="s">
        <v>1894</v>
      </c>
      <c r="G192" t="s">
        <v>74</v>
      </c>
      <c r="H192" t="s">
        <v>74</v>
      </c>
      <c r="I192" t="s">
        <v>1895</v>
      </c>
      <c r="J192" t="s">
        <v>817</v>
      </c>
      <c r="K192" t="s">
        <v>74</v>
      </c>
      <c r="L192" t="s">
        <v>74</v>
      </c>
      <c r="M192" t="s">
        <v>74</v>
      </c>
      <c r="N192" t="s">
        <v>74</v>
      </c>
      <c r="O192" t="s">
        <v>74</v>
      </c>
      <c r="P192" t="s">
        <v>74</v>
      </c>
      <c r="Q192" t="s">
        <v>74</v>
      </c>
      <c r="R192" t="s">
        <v>74</v>
      </c>
      <c r="S192" t="s">
        <v>74</v>
      </c>
      <c r="T192" t="s">
        <v>74</v>
      </c>
      <c r="U192" t="s">
        <v>74</v>
      </c>
      <c r="V192" t="s">
        <v>1896</v>
      </c>
      <c r="W192" t="s">
        <v>74</v>
      </c>
      <c r="X192" t="s">
        <v>74</v>
      </c>
      <c r="Y192" t="s">
        <v>74</v>
      </c>
      <c r="Z192" t="s">
        <v>74</v>
      </c>
      <c r="AA192" t="s">
        <v>1897</v>
      </c>
      <c r="AB192" t="s">
        <v>1898</v>
      </c>
      <c r="AC192" t="s">
        <v>74</v>
      </c>
      <c r="AD192" t="s">
        <v>74</v>
      </c>
      <c r="AE192" t="s">
        <v>74</v>
      </c>
      <c r="AF192" t="s">
        <v>74</v>
      </c>
      <c r="AG192" t="s">
        <v>74</v>
      </c>
      <c r="AH192" t="s">
        <v>74</v>
      </c>
      <c r="AI192" t="s">
        <v>74</v>
      </c>
      <c r="AJ192" t="s">
        <v>74</v>
      </c>
      <c r="AK192" t="s">
        <v>74</v>
      </c>
      <c r="AL192" t="s">
        <v>74</v>
      </c>
      <c r="AM192" t="s">
        <v>74</v>
      </c>
      <c r="AN192" t="s">
        <v>74</v>
      </c>
      <c r="AO192" t="s">
        <v>820</v>
      </c>
      <c r="AP192" t="s">
        <v>74</v>
      </c>
      <c r="AQ192" t="s">
        <v>74</v>
      </c>
      <c r="AR192" t="s">
        <v>74</v>
      </c>
      <c r="AS192" t="s">
        <v>74</v>
      </c>
      <c r="AT192" t="s">
        <v>74</v>
      </c>
      <c r="AU192" t="s">
        <v>74</v>
      </c>
      <c r="AV192" t="s">
        <v>74</v>
      </c>
      <c r="AW192" t="s">
        <v>74</v>
      </c>
      <c r="AX192" t="s">
        <v>74</v>
      </c>
      <c r="AY192" t="s">
        <v>74</v>
      </c>
      <c r="AZ192" t="s">
        <v>74</v>
      </c>
      <c r="BA192" t="s">
        <v>74</v>
      </c>
      <c r="BB192" t="s">
        <v>74</v>
      </c>
      <c r="BC192" t="s">
        <v>74</v>
      </c>
      <c r="BD192" t="s">
        <v>74</v>
      </c>
      <c r="BE192" t="s">
        <v>1899</v>
      </c>
      <c r="BF192" t="str">
        <f>HYPERLINK("http://dx.doi.org/10.1109/TCSS.2022.3220420","http://dx.doi.org/10.1109/TCSS.2022.3220420")</f>
        <v>http://dx.doi.org/10.1109/TCSS.2022.3220420</v>
      </c>
      <c r="BG192" t="s">
        <v>74</v>
      </c>
      <c r="BH192" t="s">
        <v>218</v>
      </c>
      <c r="BI192" t="s">
        <v>74</v>
      </c>
      <c r="BJ192" t="s">
        <v>74</v>
      </c>
      <c r="BK192" t="s">
        <v>74</v>
      </c>
      <c r="BL192" t="s">
        <v>74</v>
      </c>
      <c r="BM192" t="s">
        <v>74</v>
      </c>
      <c r="BN192" t="s">
        <v>74</v>
      </c>
      <c r="BO192" t="s">
        <v>74</v>
      </c>
      <c r="BP192" t="s">
        <v>74</v>
      </c>
      <c r="BQ192" t="s">
        <v>74</v>
      </c>
      <c r="BR192" t="s">
        <v>74</v>
      </c>
      <c r="BS192" t="s">
        <v>1900</v>
      </c>
      <c r="BT192" t="str">
        <f>HYPERLINK("https%3A%2F%2Fwww.webofscience.com%2Fwos%2Fwoscc%2Ffull-record%2FWOS:000932840000001","View Full Record in Web of Science")</f>
        <v>View Full Record in Web of Science</v>
      </c>
    </row>
    <row r="193" spans="1:72" x14ac:dyDescent="0.25">
      <c r="A193" t="s">
        <v>72</v>
      </c>
      <c r="B193" t="s">
        <v>1901</v>
      </c>
      <c r="C193" t="s">
        <v>74</v>
      </c>
      <c r="D193" t="s">
        <v>74</v>
      </c>
      <c r="E193" t="s">
        <v>74</v>
      </c>
      <c r="F193" t="s">
        <v>1902</v>
      </c>
      <c r="G193" t="s">
        <v>74</v>
      </c>
      <c r="H193" t="s">
        <v>74</v>
      </c>
      <c r="I193" t="s">
        <v>1903</v>
      </c>
      <c r="J193" t="s">
        <v>1672</v>
      </c>
      <c r="K193" t="s">
        <v>74</v>
      </c>
      <c r="L193" t="s">
        <v>74</v>
      </c>
      <c r="M193" t="s">
        <v>74</v>
      </c>
      <c r="N193" t="s">
        <v>74</v>
      </c>
      <c r="O193" t="s">
        <v>74</v>
      </c>
      <c r="P193" t="s">
        <v>74</v>
      </c>
      <c r="Q193" t="s">
        <v>74</v>
      </c>
      <c r="R193" t="s">
        <v>74</v>
      </c>
      <c r="S193" t="s">
        <v>74</v>
      </c>
      <c r="T193" t="s">
        <v>74</v>
      </c>
      <c r="U193" t="s">
        <v>74</v>
      </c>
      <c r="V193" t="s">
        <v>74</v>
      </c>
      <c r="W193" t="s">
        <v>74</v>
      </c>
      <c r="X193" t="s">
        <v>74</v>
      </c>
      <c r="Y193" t="s">
        <v>74</v>
      </c>
      <c r="Z193" t="s">
        <v>74</v>
      </c>
      <c r="AA193" t="s">
        <v>74</v>
      </c>
      <c r="AB193" t="s">
        <v>74</v>
      </c>
      <c r="AC193" t="s">
        <v>74</v>
      </c>
      <c r="AD193" t="s">
        <v>74</v>
      </c>
      <c r="AE193" t="s">
        <v>74</v>
      </c>
      <c r="AF193" t="s">
        <v>74</v>
      </c>
      <c r="AG193" t="s">
        <v>74</v>
      </c>
      <c r="AH193" t="s">
        <v>74</v>
      </c>
      <c r="AI193" t="s">
        <v>74</v>
      </c>
      <c r="AJ193" t="s">
        <v>74</v>
      </c>
      <c r="AK193" t="s">
        <v>74</v>
      </c>
      <c r="AL193" t="s">
        <v>74</v>
      </c>
      <c r="AM193" t="s">
        <v>74</v>
      </c>
      <c r="AN193" t="s">
        <v>74</v>
      </c>
      <c r="AO193" t="s">
        <v>1673</v>
      </c>
      <c r="AP193" t="s">
        <v>1674</v>
      </c>
      <c r="AQ193" t="s">
        <v>74</v>
      </c>
      <c r="AR193" t="s">
        <v>74</v>
      </c>
      <c r="AS193" t="s">
        <v>74</v>
      </c>
      <c r="AT193" t="s">
        <v>366</v>
      </c>
      <c r="AU193">
        <v>2023</v>
      </c>
      <c r="AV193">
        <v>10</v>
      </c>
      <c r="AW193">
        <v>3</v>
      </c>
      <c r="AX193" t="s">
        <v>74</v>
      </c>
      <c r="AY193" t="s">
        <v>74</v>
      </c>
      <c r="AZ193" t="s">
        <v>74</v>
      </c>
      <c r="BA193" t="s">
        <v>74</v>
      </c>
      <c r="BB193">
        <v>580</v>
      </c>
      <c r="BC193">
        <v>583</v>
      </c>
      <c r="BD193" t="s">
        <v>74</v>
      </c>
      <c r="BE193" t="s">
        <v>1904</v>
      </c>
      <c r="BF193" t="str">
        <f>HYPERLINK("http://dx.doi.org/10.1109/JAS.2023.123492","http://dx.doi.org/10.1109/JAS.2023.123492")</f>
        <v>http://dx.doi.org/10.1109/JAS.2023.123492</v>
      </c>
      <c r="BG193" t="s">
        <v>74</v>
      </c>
      <c r="BH193" t="s">
        <v>74</v>
      </c>
      <c r="BI193" t="s">
        <v>74</v>
      </c>
      <c r="BJ193" t="s">
        <v>74</v>
      </c>
      <c r="BK193" t="s">
        <v>74</v>
      </c>
      <c r="BL193" t="s">
        <v>74</v>
      </c>
      <c r="BM193" t="s">
        <v>74</v>
      </c>
      <c r="BN193" t="s">
        <v>74</v>
      </c>
      <c r="BO193" t="s">
        <v>74</v>
      </c>
      <c r="BP193" t="s">
        <v>74</v>
      </c>
      <c r="BQ193" t="s">
        <v>74</v>
      </c>
      <c r="BR193" t="s">
        <v>74</v>
      </c>
      <c r="BS193" t="s">
        <v>1905</v>
      </c>
      <c r="BT193" t="str">
        <f>HYPERLINK("https%3A%2F%2Fwww.webofscience.com%2Fwos%2Fwoscc%2Ffull-record%2FWOS:000971627600002","View Full Record in Web of Science")</f>
        <v>View Full Record in Web of Science</v>
      </c>
    </row>
    <row r="194" spans="1:72" x14ac:dyDescent="0.25">
      <c r="A194" t="s">
        <v>72</v>
      </c>
      <c r="B194" t="s">
        <v>1906</v>
      </c>
      <c r="C194" t="s">
        <v>74</v>
      </c>
      <c r="D194" t="s">
        <v>74</v>
      </c>
      <c r="E194" t="s">
        <v>74</v>
      </c>
      <c r="F194" t="s">
        <v>1907</v>
      </c>
      <c r="G194" t="s">
        <v>74</v>
      </c>
      <c r="H194" t="s">
        <v>74</v>
      </c>
      <c r="I194" t="s">
        <v>1908</v>
      </c>
      <c r="J194" t="s">
        <v>1909</v>
      </c>
      <c r="K194" t="s">
        <v>74</v>
      </c>
      <c r="L194" t="s">
        <v>74</v>
      </c>
      <c r="M194" t="s">
        <v>74</v>
      </c>
      <c r="N194" t="s">
        <v>74</v>
      </c>
      <c r="O194" t="s">
        <v>74</v>
      </c>
      <c r="P194" t="s">
        <v>74</v>
      </c>
      <c r="Q194" t="s">
        <v>74</v>
      </c>
      <c r="R194" t="s">
        <v>74</v>
      </c>
      <c r="S194" t="s">
        <v>74</v>
      </c>
      <c r="T194" t="s">
        <v>74</v>
      </c>
      <c r="U194" t="s">
        <v>74</v>
      </c>
      <c r="V194" t="s">
        <v>1910</v>
      </c>
      <c r="W194" t="s">
        <v>74</v>
      </c>
      <c r="X194" t="s">
        <v>74</v>
      </c>
      <c r="Y194" t="s">
        <v>74</v>
      </c>
      <c r="Z194" t="s">
        <v>74</v>
      </c>
      <c r="AA194" t="s">
        <v>74</v>
      </c>
      <c r="AB194" t="s">
        <v>74</v>
      </c>
      <c r="AC194" t="s">
        <v>74</v>
      </c>
      <c r="AD194" t="s">
        <v>74</v>
      </c>
      <c r="AE194" t="s">
        <v>74</v>
      </c>
      <c r="AF194" t="s">
        <v>74</v>
      </c>
      <c r="AG194" t="s">
        <v>74</v>
      </c>
      <c r="AH194" t="s">
        <v>74</v>
      </c>
      <c r="AI194" t="s">
        <v>74</v>
      </c>
      <c r="AJ194" t="s">
        <v>74</v>
      </c>
      <c r="AK194" t="s">
        <v>74</v>
      </c>
      <c r="AL194" t="s">
        <v>74</v>
      </c>
      <c r="AM194" t="s">
        <v>74</v>
      </c>
      <c r="AN194" t="s">
        <v>74</v>
      </c>
      <c r="AO194" t="s">
        <v>1911</v>
      </c>
      <c r="AP194" t="s">
        <v>1912</v>
      </c>
      <c r="AQ194" t="s">
        <v>74</v>
      </c>
      <c r="AR194" t="s">
        <v>74</v>
      </c>
      <c r="AS194" t="s">
        <v>74</v>
      </c>
      <c r="AT194" t="s">
        <v>74</v>
      </c>
      <c r="AU194" t="s">
        <v>74</v>
      </c>
      <c r="AV194" t="s">
        <v>74</v>
      </c>
      <c r="AW194" t="s">
        <v>74</v>
      </c>
      <c r="AX194" t="s">
        <v>74</v>
      </c>
      <c r="AY194" t="s">
        <v>74</v>
      </c>
      <c r="AZ194" t="s">
        <v>74</v>
      </c>
      <c r="BA194" t="s">
        <v>74</v>
      </c>
      <c r="BB194" t="s">
        <v>74</v>
      </c>
      <c r="BC194" t="s">
        <v>74</v>
      </c>
      <c r="BD194" t="s">
        <v>74</v>
      </c>
      <c r="BE194" t="s">
        <v>1913</v>
      </c>
      <c r="BF194" t="str">
        <f>HYPERLINK("http://dx.doi.org/10.1007/s11276-022-03000-1","http://dx.doi.org/10.1007/s11276-022-03000-1")</f>
        <v>http://dx.doi.org/10.1007/s11276-022-03000-1</v>
      </c>
      <c r="BG194" t="s">
        <v>74</v>
      </c>
      <c r="BH194" t="s">
        <v>1914</v>
      </c>
      <c r="BI194" t="s">
        <v>74</v>
      </c>
      <c r="BJ194" t="s">
        <v>74</v>
      </c>
      <c r="BK194" t="s">
        <v>74</v>
      </c>
      <c r="BL194" t="s">
        <v>74</v>
      </c>
      <c r="BM194" t="s">
        <v>74</v>
      </c>
      <c r="BN194" t="s">
        <v>74</v>
      </c>
      <c r="BO194" t="s">
        <v>74</v>
      </c>
      <c r="BP194" t="s">
        <v>74</v>
      </c>
      <c r="BQ194" t="s">
        <v>74</v>
      </c>
      <c r="BR194" t="s">
        <v>74</v>
      </c>
      <c r="BS194" t="s">
        <v>1915</v>
      </c>
      <c r="BT194" t="str">
        <f>HYPERLINK("https%3A%2F%2Fwww.webofscience.com%2Fwos%2Fwoscc%2Ffull-record%2FWOS:000809524100001","View Full Record in Web of Science")</f>
        <v>View Full Record in Web of Science</v>
      </c>
    </row>
    <row r="195" spans="1:72" x14ac:dyDescent="0.25">
      <c r="A195" t="s">
        <v>72</v>
      </c>
      <c r="B195" t="s">
        <v>1916</v>
      </c>
      <c r="C195" t="s">
        <v>74</v>
      </c>
      <c r="D195" t="s">
        <v>74</v>
      </c>
      <c r="E195" t="s">
        <v>74</v>
      </c>
      <c r="F195" t="s">
        <v>1917</v>
      </c>
      <c r="G195" t="s">
        <v>74</v>
      </c>
      <c r="H195" t="s">
        <v>74</v>
      </c>
      <c r="I195" t="s">
        <v>1918</v>
      </c>
      <c r="J195" t="s">
        <v>1919</v>
      </c>
      <c r="K195" t="s">
        <v>74</v>
      </c>
      <c r="L195" t="s">
        <v>74</v>
      </c>
      <c r="M195" t="s">
        <v>74</v>
      </c>
      <c r="N195" t="s">
        <v>74</v>
      </c>
      <c r="O195" t="s">
        <v>74</v>
      </c>
      <c r="P195" t="s">
        <v>74</v>
      </c>
      <c r="Q195" t="s">
        <v>74</v>
      </c>
      <c r="R195" t="s">
        <v>74</v>
      </c>
      <c r="S195" t="s">
        <v>74</v>
      </c>
      <c r="T195" t="s">
        <v>74</v>
      </c>
      <c r="U195" t="s">
        <v>74</v>
      </c>
      <c r="V195" t="s">
        <v>74</v>
      </c>
      <c r="W195" t="s">
        <v>74</v>
      </c>
      <c r="X195" t="s">
        <v>74</v>
      </c>
      <c r="Y195" t="s">
        <v>74</v>
      </c>
      <c r="Z195" t="s">
        <v>74</v>
      </c>
      <c r="AA195" t="s">
        <v>1920</v>
      </c>
      <c r="AB195" t="s">
        <v>1921</v>
      </c>
      <c r="AC195" t="s">
        <v>74</v>
      </c>
      <c r="AD195" t="s">
        <v>74</v>
      </c>
      <c r="AE195" t="s">
        <v>74</v>
      </c>
      <c r="AF195" t="s">
        <v>74</v>
      </c>
      <c r="AG195" t="s">
        <v>74</v>
      </c>
      <c r="AH195" t="s">
        <v>74</v>
      </c>
      <c r="AI195" t="s">
        <v>74</v>
      </c>
      <c r="AJ195" t="s">
        <v>74</v>
      </c>
      <c r="AK195" t="s">
        <v>74</v>
      </c>
      <c r="AL195" t="s">
        <v>74</v>
      </c>
      <c r="AM195" t="s">
        <v>74</v>
      </c>
      <c r="AN195" t="s">
        <v>74</v>
      </c>
      <c r="AO195" t="s">
        <v>74</v>
      </c>
      <c r="AP195" t="s">
        <v>1922</v>
      </c>
      <c r="AQ195" t="s">
        <v>74</v>
      </c>
      <c r="AR195" t="s">
        <v>74</v>
      </c>
      <c r="AS195" t="s">
        <v>74</v>
      </c>
      <c r="AT195" t="s">
        <v>465</v>
      </c>
      <c r="AU195">
        <v>2022</v>
      </c>
      <c r="AV195">
        <v>14</v>
      </c>
      <c r="AW195">
        <v>24</v>
      </c>
      <c r="AX195" t="s">
        <v>74</v>
      </c>
      <c r="AY195" t="s">
        <v>74</v>
      </c>
      <c r="AZ195" t="s">
        <v>74</v>
      </c>
      <c r="BA195" t="s">
        <v>74</v>
      </c>
      <c r="BB195" t="s">
        <v>74</v>
      </c>
      <c r="BC195" t="s">
        <v>74</v>
      </c>
      <c r="BD195">
        <v>6161</v>
      </c>
      <c r="BE195" t="s">
        <v>1923</v>
      </c>
      <c r="BF195" t="str">
        <f>HYPERLINK("http://dx.doi.org/10.3390/cancers14246161","http://dx.doi.org/10.3390/cancers14246161")</f>
        <v>http://dx.doi.org/10.3390/cancers14246161</v>
      </c>
      <c r="BG195" t="s">
        <v>74</v>
      </c>
      <c r="BH195" t="s">
        <v>74</v>
      </c>
      <c r="BI195" t="s">
        <v>74</v>
      </c>
      <c r="BJ195" t="s">
        <v>74</v>
      </c>
      <c r="BK195" t="s">
        <v>74</v>
      </c>
      <c r="BL195" t="s">
        <v>74</v>
      </c>
      <c r="BM195" t="s">
        <v>74</v>
      </c>
      <c r="BN195">
        <v>36551645</v>
      </c>
      <c r="BO195" t="s">
        <v>74</v>
      </c>
      <c r="BP195" t="s">
        <v>74</v>
      </c>
      <c r="BQ195" t="s">
        <v>74</v>
      </c>
      <c r="BR195" t="s">
        <v>74</v>
      </c>
      <c r="BS195" t="s">
        <v>1924</v>
      </c>
      <c r="BT195" t="str">
        <f>HYPERLINK("https%3A%2F%2Fwww.webofscience.com%2Fwos%2Fwoscc%2Ffull-record%2FWOS:000902380300001","View Full Record in Web of Science")</f>
        <v>View Full Record in Web of Science</v>
      </c>
    </row>
    <row r="196" spans="1:72" x14ac:dyDescent="0.25">
      <c r="A196" t="s">
        <v>84</v>
      </c>
      <c r="B196" t="s">
        <v>1925</v>
      </c>
      <c r="C196" t="s">
        <v>74</v>
      </c>
      <c r="D196" t="s">
        <v>74</v>
      </c>
      <c r="E196" t="s">
        <v>86</v>
      </c>
      <c r="F196" t="s">
        <v>1926</v>
      </c>
      <c r="G196" t="s">
        <v>74</v>
      </c>
      <c r="H196" t="s">
        <v>74</v>
      </c>
      <c r="I196" t="s">
        <v>1927</v>
      </c>
      <c r="J196" t="s">
        <v>1928</v>
      </c>
      <c r="K196" t="s">
        <v>1929</v>
      </c>
      <c r="L196" t="s">
        <v>74</v>
      </c>
      <c r="M196" t="s">
        <v>74</v>
      </c>
      <c r="N196" t="s">
        <v>74</v>
      </c>
      <c r="O196" t="s">
        <v>1930</v>
      </c>
      <c r="P196" t="s">
        <v>1931</v>
      </c>
      <c r="Q196" t="s">
        <v>108</v>
      </c>
      <c r="R196" t="s">
        <v>1932</v>
      </c>
      <c r="S196" t="s">
        <v>74</v>
      </c>
      <c r="T196" t="s">
        <v>74</v>
      </c>
      <c r="U196" t="s">
        <v>74</v>
      </c>
      <c r="V196" t="s">
        <v>1933</v>
      </c>
      <c r="W196" t="s">
        <v>74</v>
      </c>
      <c r="X196" t="s">
        <v>74</v>
      </c>
      <c r="Y196" t="s">
        <v>74</v>
      </c>
      <c r="Z196" t="s">
        <v>74</v>
      </c>
      <c r="AA196" t="s">
        <v>1934</v>
      </c>
      <c r="AB196" t="s">
        <v>1935</v>
      </c>
      <c r="AC196" t="s">
        <v>74</v>
      </c>
      <c r="AD196" t="s">
        <v>74</v>
      </c>
      <c r="AE196" t="s">
        <v>74</v>
      </c>
      <c r="AF196" t="s">
        <v>74</v>
      </c>
      <c r="AG196" t="s">
        <v>74</v>
      </c>
      <c r="AH196" t="s">
        <v>74</v>
      </c>
      <c r="AI196" t="s">
        <v>74</v>
      </c>
      <c r="AJ196" t="s">
        <v>74</v>
      </c>
      <c r="AK196" t="s">
        <v>74</v>
      </c>
      <c r="AL196" t="s">
        <v>74</v>
      </c>
      <c r="AM196" t="s">
        <v>74</v>
      </c>
      <c r="AN196" t="s">
        <v>74</v>
      </c>
      <c r="AO196" t="s">
        <v>1936</v>
      </c>
      <c r="AP196" t="s">
        <v>1937</v>
      </c>
      <c r="AQ196" t="s">
        <v>1938</v>
      </c>
      <c r="AR196" t="s">
        <v>74</v>
      </c>
      <c r="AS196" t="s">
        <v>74</v>
      </c>
      <c r="AT196" t="s">
        <v>74</v>
      </c>
      <c r="AU196">
        <v>2022</v>
      </c>
      <c r="AV196" t="s">
        <v>74</v>
      </c>
      <c r="AW196" t="s">
        <v>74</v>
      </c>
      <c r="AX196" t="s">
        <v>74</v>
      </c>
      <c r="AY196" t="s">
        <v>74</v>
      </c>
      <c r="AZ196" t="s">
        <v>74</v>
      </c>
      <c r="BA196" t="s">
        <v>74</v>
      </c>
      <c r="BB196">
        <v>357</v>
      </c>
      <c r="BC196">
        <v>362</v>
      </c>
      <c r="BD196" t="s">
        <v>74</v>
      </c>
      <c r="BE196" t="s">
        <v>1939</v>
      </c>
      <c r="BF196" t="str">
        <f>HYPERLINK("http://dx.doi.org/10.1109/ICUFN55119.2022.9829645","http://dx.doi.org/10.1109/ICUFN55119.2022.9829645")</f>
        <v>http://dx.doi.org/10.1109/ICUFN55119.2022.9829645</v>
      </c>
      <c r="BG196" t="s">
        <v>74</v>
      </c>
      <c r="BH196" t="s">
        <v>74</v>
      </c>
      <c r="BI196" t="s">
        <v>74</v>
      </c>
      <c r="BJ196" t="s">
        <v>74</v>
      </c>
      <c r="BK196" t="s">
        <v>74</v>
      </c>
      <c r="BL196" t="s">
        <v>74</v>
      </c>
      <c r="BM196" t="s">
        <v>74</v>
      </c>
      <c r="BN196" t="s">
        <v>74</v>
      </c>
      <c r="BO196" t="s">
        <v>74</v>
      </c>
      <c r="BP196" t="s">
        <v>74</v>
      </c>
      <c r="BQ196" t="s">
        <v>74</v>
      </c>
      <c r="BR196" t="s">
        <v>74</v>
      </c>
      <c r="BS196" t="s">
        <v>1940</v>
      </c>
      <c r="BT196" t="str">
        <f>HYPERLINK("https%3A%2F%2Fwww.webofscience.com%2Fwos%2Fwoscc%2Ffull-record%2FWOS:000855059600072","View Full Record in Web of Science")</f>
        <v>View Full Record in Web of Science</v>
      </c>
    </row>
    <row r="197" spans="1:72" x14ac:dyDescent="0.25">
      <c r="A197" t="s">
        <v>72</v>
      </c>
      <c r="B197" t="s">
        <v>1941</v>
      </c>
      <c r="C197" t="s">
        <v>74</v>
      </c>
      <c r="D197" t="s">
        <v>74</v>
      </c>
      <c r="E197" t="s">
        <v>74</v>
      </c>
      <c r="F197" t="s">
        <v>1942</v>
      </c>
      <c r="G197" t="s">
        <v>74</v>
      </c>
      <c r="H197" t="s">
        <v>74</v>
      </c>
      <c r="I197" t="s">
        <v>1943</v>
      </c>
      <c r="J197" t="s">
        <v>421</v>
      </c>
      <c r="K197" t="s">
        <v>74</v>
      </c>
      <c r="L197" t="s">
        <v>74</v>
      </c>
      <c r="M197" t="s">
        <v>74</v>
      </c>
      <c r="N197" t="s">
        <v>74</v>
      </c>
      <c r="O197" t="s">
        <v>74</v>
      </c>
      <c r="P197" t="s">
        <v>74</v>
      </c>
      <c r="Q197" t="s">
        <v>74</v>
      </c>
      <c r="R197" t="s">
        <v>74</v>
      </c>
      <c r="S197" t="s">
        <v>74</v>
      </c>
      <c r="T197" t="s">
        <v>74</v>
      </c>
      <c r="U197" t="s">
        <v>74</v>
      </c>
      <c r="V197" t="s">
        <v>1944</v>
      </c>
      <c r="W197" t="s">
        <v>74</v>
      </c>
      <c r="X197" t="s">
        <v>74</v>
      </c>
      <c r="Y197" t="s">
        <v>74</v>
      </c>
      <c r="Z197" t="s">
        <v>74</v>
      </c>
      <c r="AA197" t="s">
        <v>1945</v>
      </c>
      <c r="AB197" t="s">
        <v>1946</v>
      </c>
      <c r="AC197" t="s">
        <v>74</v>
      </c>
      <c r="AD197" t="s">
        <v>74</v>
      </c>
      <c r="AE197" t="s">
        <v>74</v>
      </c>
      <c r="AF197" t="s">
        <v>74</v>
      </c>
      <c r="AG197" t="s">
        <v>74</v>
      </c>
      <c r="AH197" t="s">
        <v>74</v>
      </c>
      <c r="AI197" t="s">
        <v>74</v>
      </c>
      <c r="AJ197" t="s">
        <v>74</v>
      </c>
      <c r="AK197" t="s">
        <v>74</v>
      </c>
      <c r="AL197" t="s">
        <v>74</v>
      </c>
      <c r="AM197" t="s">
        <v>74</v>
      </c>
      <c r="AN197" t="s">
        <v>74</v>
      </c>
      <c r="AO197" t="s">
        <v>423</v>
      </c>
      <c r="AP197" t="s">
        <v>424</v>
      </c>
      <c r="AQ197" t="s">
        <v>74</v>
      </c>
      <c r="AR197" t="s">
        <v>74</v>
      </c>
      <c r="AS197" t="s">
        <v>74</v>
      </c>
      <c r="AT197" t="s">
        <v>74</v>
      </c>
      <c r="AU197" t="s">
        <v>74</v>
      </c>
      <c r="AV197" t="s">
        <v>74</v>
      </c>
      <c r="AW197" t="s">
        <v>74</v>
      </c>
      <c r="AX197" t="s">
        <v>74</v>
      </c>
      <c r="AY197" t="s">
        <v>74</v>
      </c>
      <c r="AZ197" t="s">
        <v>74</v>
      </c>
      <c r="BA197" t="s">
        <v>74</v>
      </c>
      <c r="BB197" t="s">
        <v>74</v>
      </c>
      <c r="BC197" t="s">
        <v>74</v>
      </c>
      <c r="BD197" t="s">
        <v>74</v>
      </c>
      <c r="BE197" t="s">
        <v>1947</v>
      </c>
      <c r="BF197" t="str">
        <f>HYPERLINK("http://dx.doi.org/10.1109/TSMC.2022.3231299","http://dx.doi.org/10.1109/TSMC.2022.3231299")</f>
        <v>http://dx.doi.org/10.1109/TSMC.2022.3231299</v>
      </c>
      <c r="BG197" t="s">
        <v>74</v>
      </c>
      <c r="BH197" t="s">
        <v>151</v>
      </c>
      <c r="BI197" t="s">
        <v>74</v>
      </c>
      <c r="BJ197" t="s">
        <v>74</v>
      </c>
      <c r="BK197" t="s">
        <v>74</v>
      </c>
      <c r="BL197" t="s">
        <v>74</v>
      </c>
      <c r="BM197" t="s">
        <v>74</v>
      </c>
      <c r="BN197" t="s">
        <v>74</v>
      </c>
      <c r="BO197" t="s">
        <v>74</v>
      </c>
      <c r="BP197" t="s">
        <v>74</v>
      </c>
      <c r="BQ197" t="s">
        <v>74</v>
      </c>
      <c r="BR197" t="s">
        <v>74</v>
      </c>
      <c r="BS197" t="s">
        <v>1948</v>
      </c>
      <c r="BT197" t="str">
        <f>HYPERLINK("https%3A%2F%2Fwww.webofscience.com%2Fwos%2Fwoscc%2Ffull-record%2FWOS:000910650400001","View Full Record in Web of Science")</f>
        <v>View Full Record in Web of Science</v>
      </c>
    </row>
    <row r="198" spans="1:72" x14ac:dyDescent="0.25">
      <c r="A198" t="s">
        <v>84</v>
      </c>
      <c r="B198" t="s">
        <v>1949</v>
      </c>
      <c r="C198" t="s">
        <v>74</v>
      </c>
      <c r="D198" t="s">
        <v>74</v>
      </c>
      <c r="E198" t="s">
        <v>86</v>
      </c>
      <c r="F198" t="s">
        <v>1950</v>
      </c>
      <c r="G198" t="s">
        <v>74</v>
      </c>
      <c r="H198" t="s">
        <v>74</v>
      </c>
      <c r="I198" t="s">
        <v>1951</v>
      </c>
      <c r="J198" t="s">
        <v>258</v>
      </c>
      <c r="K198" t="s">
        <v>259</v>
      </c>
      <c r="L198" t="s">
        <v>74</v>
      </c>
      <c r="M198" t="s">
        <v>74</v>
      </c>
      <c r="N198" t="s">
        <v>74</v>
      </c>
      <c r="O198" t="s">
        <v>260</v>
      </c>
      <c r="P198" t="s">
        <v>261</v>
      </c>
      <c r="Q198" t="s">
        <v>108</v>
      </c>
      <c r="R198" t="s">
        <v>86</v>
      </c>
      <c r="S198" t="s">
        <v>74</v>
      </c>
      <c r="T198" t="s">
        <v>74</v>
      </c>
      <c r="U198" t="s">
        <v>74</v>
      </c>
      <c r="V198" t="s">
        <v>1952</v>
      </c>
      <c r="W198" t="s">
        <v>74</v>
      </c>
      <c r="X198" t="s">
        <v>74</v>
      </c>
      <c r="Y198" t="s">
        <v>74</v>
      </c>
      <c r="Z198" t="s">
        <v>74</v>
      </c>
      <c r="AA198" t="s">
        <v>1953</v>
      </c>
      <c r="AB198" t="s">
        <v>1954</v>
      </c>
      <c r="AC198" t="s">
        <v>74</v>
      </c>
      <c r="AD198" t="s">
        <v>74</v>
      </c>
      <c r="AE198" t="s">
        <v>74</v>
      </c>
      <c r="AF198" t="s">
        <v>74</v>
      </c>
      <c r="AG198" t="s">
        <v>74</v>
      </c>
      <c r="AH198" t="s">
        <v>74</v>
      </c>
      <c r="AI198" t="s">
        <v>74</v>
      </c>
      <c r="AJ198" t="s">
        <v>74</v>
      </c>
      <c r="AK198" t="s">
        <v>74</v>
      </c>
      <c r="AL198" t="s">
        <v>74</v>
      </c>
      <c r="AM198" t="s">
        <v>74</v>
      </c>
      <c r="AN198" t="s">
        <v>74</v>
      </c>
      <c r="AO198" t="s">
        <v>263</v>
      </c>
      <c r="AP198" t="s">
        <v>74</v>
      </c>
      <c r="AQ198" t="s">
        <v>264</v>
      </c>
      <c r="AR198" t="s">
        <v>74</v>
      </c>
      <c r="AS198" t="s">
        <v>74</v>
      </c>
      <c r="AT198" t="s">
        <v>74</v>
      </c>
      <c r="AU198">
        <v>2022</v>
      </c>
      <c r="AV198" t="s">
        <v>74</v>
      </c>
      <c r="AW198" t="s">
        <v>74</v>
      </c>
      <c r="AX198" t="s">
        <v>74</v>
      </c>
      <c r="AY198" t="s">
        <v>74</v>
      </c>
      <c r="AZ198" t="s">
        <v>74</v>
      </c>
      <c r="BA198" t="s">
        <v>74</v>
      </c>
      <c r="BB198" t="s">
        <v>74</v>
      </c>
      <c r="BC198" t="s">
        <v>74</v>
      </c>
      <c r="BD198" t="s">
        <v>74</v>
      </c>
      <c r="BE198" t="s">
        <v>1955</v>
      </c>
      <c r="BF198" t="str">
        <f>HYPERLINK("http://dx.doi.org/10.1109/MMSP55362.2022.9949334","http://dx.doi.org/10.1109/MMSP55362.2022.9949334")</f>
        <v>http://dx.doi.org/10.1109/MMSP55362.2022.9949334</v>
      </c>
      <c r="BG198" t="s">
        <v>74</v>
      </c>
      <c r="BH198" t="s">
        <v>74</v>
      </c>
      <c r="BI198" t="s">
        <v>74</v>
      </c>
      <c r="BJ198" t="s">
        <v>74</v>
      </c>
      <c r="BK198" t="s">
        <v>74</v>
      </c>
      <c r="BL198" t="s">
        <v>74</v>
      </c>
      <c r="BM198" t="s">
        <v>74</v>
      </c>
      <c r="BN198" t="s">
        <v>74</v>
      </c>
      <c r="BO198" t="s">
        <v>74</v>
      </c>
      <c r="BP198" t="s">
        <v>74</v>
      </c>
      <c r="BQ198" t="s">
        <v>74</v>
      </c>
      <c r="BR198" t="s">
        <v>74</v>
      </c>
      <c r="BS198" t="s">
        <v>1956</v>
      </c>
      <c r="BT198" t="str">
        <f>HYPERLINK("https%3A%2F%2Fwww.webofscience.com%2Fwos%2Fwoscc%2Ffull-record%2FWOS:000893205800109","View Full Record in Web of Science")</f>
        <v>View Full Record in Web of Science</v>
      </c>
    </row>
    <row r="199" spans="1:72" x14ac:dyDescent="0.25">
      <c r="A199" t="s">
        <v>84</v>
      </c>
      <c r="B199" t="s">
        <v>1957</v>
      </c>
      <c r="C199" t="s">
        <v>74</v>
      </c>
      <c r="D199" t="s">
        <v>74</v>
      </c>
      <c r="E199" t="s">
        <v>86</v>
      </c>
      <c r="F199" t="s">
        <v>1958</v>
      </c>
      <c r="G199" t="s">
        <v>74</v>
      </c>
      <c r="H199" t="s">
        <v>74</v>
      </c>
      <c r="I199" t="s">
        <v>1959</v>
      </c>
      <c r="J199" t="s">
        <v>258</v>
      </c>
      <c r="K199" t="s">
        <v>259</v>
      </c>
      <c r="L199" t="s">
        <v>74</v>
      </c>
      <c r="M199" t="s">
        <v>74</v>
      </c>
      <c r="N199" t="s">
        <v>74</v>
      </c>
      <c r="O199" t="s">
        <v>260</v>
      </c>
      <c r="P199" t="s">
        <v>261</v>
      </c>
      <c r="Q199" t="s">
        <v>108</v>
      </c>
      <c r="R199" t="s">
        <v>86</v>
      </c>
      <c r="S199" t="s">
        <v>74</v>
      </c>
      <c r="T199" t="s">
        <v>74</v>
      </c>
      <c r="U199" t="s">
        <v>74</v>
      </c>
      <c r="V199" t="s">
        <v>1960</v>
      </c>
      <c r="W199" t="s">
        <v>74</v>
      </c>
      <c r="X199" t="s">
        <v>74</v>
      </c>
      <c r="Y199" t="s">
        <v>74</v>
      </c>
      <c r="Z199" t="s">
        <v>74</v>
      </c>
      <c r="AA199" t="s">
        <v>74</v>
      </c>
      <c r="AB199" t="s">
        <v>74</v>
      </c>
      <c r="AC199" t="s">
        <v>74</v>
      </c>
      <c r="AD199" t="s">
        <v>74</v>
      </c>
      <c r="AE199" t="s">
        <v>74</v>
      </c>
      <c r="AF199" t="s">
        <v>74</v>
      </c>
      <c r="AG199" t="s">
        <v>74</v>
      </c>
      <c r="AH199" t="s">
        <v>74</v>
      </c>
      <c r="AI199" t="s">
        <v>74</v>
      </c>
      <c r="AJ199" t="s">
        <v>74</v>
      </c>
      <c r="AK199" t="s">
        <v>74</v>
      </c>
      <c r="AL199" t="s">
        <v>74</v>
      </c>
      <c r="AM199" t="s">
        <v>74</v>
      </c>
      <c r="AN199" t="s">
        <v>74</v>
      </c>
      <c r="AO199" t="s">
        <v>263</v>
      </c>
      <c r="AP199" t="s">
        <v>74</v>
      </c>
      <c r="AQ199" t="s">
        <v>264</v>
      </c>
      <c r="AR199" t="s">
        <v>74</v>
      </c>
      <c r="AS199" t="s">
        <v>74</v>
      </c>
      <c r="AT199" t="s">
        <v>74</v>
      </c>
      <c r="AU199">
        <v>2022</v>
      </c>
      <c r="AV199" t="s">
        <v>74</v>
      </c>
      <c r="AW199" t="s">
        <v>74</v>
      </c>
      <c r="AX199" t="s">
        <v>74</v>
      </c>
      <c r="AY199" t="s">
        <v>74</v>
      </c>
      <c r="AZ199" t="s">
        <v>74</v>
      </c>
      <c r="BA199" t="s">
        <v>74</v>
      </c>
      <c r="BB199" t="s">
        <v>74</v>
      </c>
      <c r="BC199" t="s">
        <v>74</v>
      </c>
      <c r="BD199" t="s">
        <v>74</v>
      </c>
      <c r="BE199" t="s">
        <v>1961</v>
      </c>
      <c r="BF199" t="str">
        <f>HYPERLINK("http://dx.doi.org/10.1109/MMSP55362.2022.9950031","http://dx.doi.org/10.1109/MMSP55362.2022.9950031")</f>
        <v>http://dx.doi.org/10.1109/MMSP55362.2022.9950031</v>
      </c>
      <c r="BG199" t="s">
        <v>74</v>
      </c>
      <c r="BH199" t="s">
        <v>74</v>
      </c>
      <c r="BI199" t="s">
        <v>74</v>
      </c>
      <c r="BJ199" t="s">
        <v>74</v>
      </c>
      <c r="BK199" t="s">
        <v>74</v>
      </c>
      <c r="BL199" t="s">
        <v>74</v>
      </c>
      <c r="BM199" t="s">
        <v>74</v>
      </c>
      <c r="BN199" t="s">
        <v>74</v>
      </c>
      <c r="BO199" t="s">
        <v>74</v>
      </c>
      <c r="BP199" t="s">
        <v>74</v>
      </c>
      <c r="BQ199" t="s">
        <v>74</v>
      </c>
      <c r="BR199" t="s">
        <v>74</v>
      </c>
      <c r="BS199" t="s">
        <v>1962</v>
      </c>
      <c r="BT199" t="str">
        <f>HYPERLINK("https%3A%2F%2Fwww.webofscience.com%2Fwos%2Fwoscc%2Ffull-record%2FWOS:000893205800173","View Full Record in Web of Science")</f>
        <v>View Full Record in Web of Science</v>
      </c>
    </row>
    <row r="200" spans="1:72" x14ac:dyDescent="0.25">
      <c r="A200" t="s">
        <v>84</v>
      </c>
      <c r="B200" t="s">
        <v>1963</v>
      </c>
      <c r="C200" t="s">
        <v>74</v>
      </c>
      <c r="D200" t="s">
        <v>74</v>
      </c>
      <c r="E200" t="s">
        <v>86</v>
      </c>
      <c r="F200" t="s">
        <v>1964</v>
      </c>
      <c r="G200" t="s">
        <v>74</v>
      </c>
      <c r="H200" t="s">
        <v>74</v>
      </c>
      <c r="I200" t="s">
        <v>1965</v>
      </c>
      <c r="J200" t="s">
        <v>181</v>
      </c>
      <c r="K200" t="s">
        <v>74</v>
      </c>
      <c r="L200" t="s">
        <v>74</v>
      </c>
      <c r="M200" t="s">
        <v>74</v>
      </c>
      <c r="N200" t="s">
        <v>74</v>
      </c>
      <c r="O200" t="s">
        <v>182</v>
      </c>
      <c r="P200" t="s">
        <v>183</v>
      </c>
      <c r="Q200" t="s">
        <v>184</v>
      </c>
      <c r="R200" t="s">
        <v>185</v>
      </c>
      <c r="S200" t="s">
        <v>74</v>
      </c>
      <c r="T200" t="s">
        <v>74</v>
      </c>
      <c r="U200" t="s">
        <v>74</v>
      </c>
      <c r="V200" t="s">
        <v>1966</v>
      </c>
      <c r="W200" t="s">
        <v>74</v>
      </c>
      <c r="X200" t="s">
        <v>74</v>
      </c>
      <c r="Y200" t="s">
        <v>74</v>
      </c>
      <c r="Z200" t="s">
        <v>74</v>
      </c>
      <c r="AA200" t="s">
        <v>74</v>
      </c>
      <c r="AB200" t="s">
        <v>74</v>
      </c>
      <c r="AC200" t="s">
        <v>74</v>
      </c>
      <c r="AD200" t="s">
        <v>74</v>
      </c>
      <c r="AE200" t="s">
        <v>74</v>
      </c>
      <c r="AF200" t="s">
        <v>74</v>
      </c>
      <c r="AG200" t="s">
        <v>74</v>
      </c>
      <c r="AH200" t="s">
        <v>74</v>
      </c>
      <c r="AI200" t="s">
        <v>74</v>
      </c>
      <c r="AJ200" t="s">
        <v>74</v>
      </c>
      <c r="AK200" t="s">
        <v>74</v>
      </c>
      <c r="AL200" t="s">
        <v>74</v>
      </c>
      <c r="AM200" t="s">
        <v>74</v>
      </c>
      <c r="AN200" t="s">
        <v>74</v>
      </c>
      <c r="AO200" t="s">
        <v>74</v>
      </c>
      <c r="AP200" t="s">
        <v>74</v>
      </c>
      <c r="AQ200" t="s">
        <v>187</v>
      </c>
      <c r="AR200" t="s">
        <v>74</v>
      </c>
      <c r="AS200" t="s">
        <v>74</v>
      </c>
      <c r="AT200" t="s">
        <v>74</v>
      </c>
      <c r="AU200">
        <v>2022</v>
      </c>
      <c r="AV200" t="s">
        <v>74</v>
      </c>
      <c r="AW200" t="s">
        <v>74</v>
      </c>
      <c r="AX200" t="s">
        <v>74</v>
      </c>
      <c r="AY200" t="s">
        <v>74</v>
      </c>
      <c r="AZ200" t="s">
        <v>74</v>
      </c>
      <c r="BA200" t="s">
        <v>74</v>
      </c>
      <c r="BB200">
        <v>139</v>
      </c>
      <c r="BC200">
        <v>144</v>
      </c>
      <c r="BD200" t="s">
        <v>74</v>
      </c>
      <c r="BE200" t="s">
        <v>1967</v>
      </c>
      <c r="BF200" t="str">
        <f>HYPERLINK("http://dx.doi.org/10.1109/MetroXRAINE54828.2022.9967586","http://dx.doi.org/10.1109/MetroXRAINE54828.2022.9967586")</f>
        <v>http://dx.doi.org/10.1109/MetroXRAINE54828.2022.9967586</v>
      </c>
      <c r="BG200" t="s">
        <v>74</v>
      </c>
      <c r="BH200" t="s">
        <v>74</v>
      </c>
      <c r="BI200" t="s">
        <v>74</v>
      </c>
      <c r="BJ200" t="s">
        <v>74</v>
      </c>
      <c r="BK200" t="s">
        <v>74</v>
      </c>
      <c r="BL200" t="s">
        <v>74</v>
      </c>
      <c r="BM200" t="s">
        <v>74</v>
      </c>
      <c r="BN200" t="s">
        <v>74</v>
      </c>
      <c r="BO200" t="s">
        <v>74</v>
      </c>
      <c r="BP200" t="s">
        <v>74</v>
      </c>
      <c r="BQ200" t="s">
        <v>74</v>
      </c>
      <c r="BR200" t="s">
        <v>74</v>
      </c>
      <c r="BS200" t="s">
        <v>1968</v>
      </c>
      <c r="BT200" t="str">
        <f>HYPERLINK("https%3A%2F%2Fwww.webofscience.com%2Fwos%2Fwoscc%2Ffull-record%2FWOS:000947347200025","View Full Record in Web of Science")</f>
        <v>View Full Record in Web of Science</v>
      </c>
    </row>
    <row r="201" spans="1:72" x14ac:dyDescent="0.25">
      <c r="A201" t="s">
        <v>72</v>
      </c>
      <c r="B201" t="s">
        <v>1969</v>
      </c>
      <c r="C201" t="s">
        <v>74</v>
      </c>
      <c r="D201" t="s">
        <v>74</v>
      </c>
      <c r="E201" t="s">
        <v>74</v>
      </c>
      <c r="F201" t="s">
        <v>1970</v>
      </c>
      <c r="G201" t="s">
        <v>74</v>
      </c>
      <c r="H201" t="s">
        <v>74</v>
      </c>
      <c r="I201" t="s">
        <v>1971</v>
      </c>
      <c r="J201" t="s">
        <v>1972</v>
      </c>
      <c r="K201" t="s">
        <v>74</v>
      </c>
      <c r="L201" t="s">
        <v>74</v>
      </c>
      <c r="M201" t="s">
        <v>74</v>
      </c>
      <c r="N201" t="s">
        <v>74</v>
      </c>
      <c r="O201" t="s">
        <v>74</v>
      </c>
      <c r="P201" t="s">
        <v>74</v>
      </c>
      <c r="Q201" t="s">
        <v>74</v>
      </c>
      <c r="R201" t="s">
        <v>74</v>
      </c>
      <c r="S201" t="s">
        <v>74</v>
      </c>
      <c r="T201" t="s">
        <v>74</v>
      </c>
      <c r="U201" t="s">
        <v>74</v>
      </c>
      <c r="V201" t="s">
        <v>1973</v>
      </c>
      <c r="W201" t="s">
        <v>74</v>
      </c>
      <c r="X201" t="s">
        <v>74</v>
      </c>
      <c r="Y201" t="s">
        <v>74</v>
      </c>
      <c r="Z201" t="s">
        <v>74</v>
      </c>
      <c r="AA201" t="s">
        <v>74</v>
      </c>
      <c r="AB201" t="s">
        <v>1974</v>
      </c>
      <c r="AC201" t="s">
        <v>74</v>
      </c>
      <c r="AD201" t="s">
        <v>74</v>
      </c>
      <c r="AE201" t="s">
        <v>74</v>
      </c>
      <c r="AF201" t="s">
        <v>74</v>
      </c>
      <c r="AG201" t="s">
        <v>74</v>
      </c>
      <c r="AH201" t="s">
        <v>74</v>
      </c>
      <c r="AI201" t="s">
        <v>74</v>
      </c>
      <c r="AJ201" t="s">
        <v>74</v>
      </c>
      <c r="AK201" t="s">
        <v>74</v>
      </c>
      <c r="AL201" t="s">
        <v>74</v>
      </c>
      <c r="AM201" t="s">
        <v>74</v>
      </c>
      <c r="AN201" t="s">
        <v>74</v>
      </c>
      <c r="AO201" t="s">
        <v>1975</v>
      </c>
      <c r="AP201" t="s">
        <v>1976</v>
      </c>
      <c r="AQ201" t="s">
        <v>74</v>
      </c>
      <c r="AR201" t="s">
        <v>74</v>
      </c>
      <c r="AS201" t="s">
        <v>74</v>
      </c>
      <c r="AT201" t="s">
        <v>74</v>
      </c>
      <c r="AU201" t="s">
        <v>74</v>
      </c>
      <c r="AV201" t="s">
        <v>74</v>
      </c>
      <c r="AW201" t="s">
        <v>74</v>
      </c>
      <c r="AX201" t="s">
        <v>74</v>
      </c>
      <c r="AY201" t="s">
        <v>74</v>
      </c>
      <c r="AZ201" t="s">
        <v>74</v>
      </c>
      <c r="BA201" t="s">
        <v>74</v>
      </c>
      <c r="BB201" t="s">
        <v>74</v>
      </c>
      <c r="BC201" t="s">
        <v>74</v>
      </c>
      <c r="BD201" t="s">
        <v>74</v>
      </c>
      <c r="BE201" t="s">
        <v>1977</v>
      </c>
      <c r="BF201" t="str">
        <f>HYPERLINK("http://dx.doi.org/10.1080/17517575.2023.2193557","http://dx.doi.org/10.1080/17517575.2023.2193557")</f>
        <v>http://dx.doi.org/10.1080/17517575.2023.2193557</v>
      </c>
      <c r="BG201" t="s">
        <v>74</v>
      </c>
      <c r="BH201" t="s">
        <v>401</v>
      </c>
      <c r="BI201" t="s">
        <v>74</v>
      </c>
      <c r="BJ201" t="s">
        <v>74</v>
      </c>
      <c r="BK201" t="s">
        <v>74</v>
      </c>
      <c r="BL201" t="s">
        <v>74</v>
      </c>
      <c r="BM201" t="s">
        <v>74</v>
      </c>
      <c r="BN201" t="s">
        <v>74</v>
      </c>
      <c r="BO201" t="s">
        <v>74</v>
      </c>
      <c r="BP201" t="s">
        <v>74</v>
      </c>
      <c r="BQ201" t="s">
        <v>74</v>
      </c>
      <c r="BR201" t="s">
        <v>74</v>
      </c>
      <c r="BS201" t="s">
        <v>1978</v>
      </c>
      <c r="BT201" t="str">
        <f>HYPERLINK("https%3A%2F%2Fwww.webofscience.com%2Fwos%2Fwoscc%2Ffull-record%2FWOS:000956762900001","View Full Record in Web of Science")</f>
        <v>View Full Record in Web of Science</v>
      </c>
    </row>
    <row r="202" spans="1:72" x14ac:dyDescent="0.25">
      <c r="A202" t="s">
        <v>72</v>
      </c>
      <c r="B202" t="s">
        <v>1979</v>
      </c>
      <c r="C202" t="s">
        <v>74</v>
      </c>
      <c r="D202" t="s">
        <v>74</v>
      </c>
      <c r="E202" t="s">
        <v>74</v>
      </c>
      <c r="F202" t="s">
        <v>1980</v>
      </c>
      <c r="G202" t="s">
        <v>74</v>
      </c>
      <c r="H202" t="s">
        <v>74</v>
      </c>
      <c r="I202" t="s">
        <v>1981</v>
      </c>
      <c r="J202" t="s">
        <v>1873</v>
      </c>
      <c r="K202" t="s">
        <v>74</v>
      </c>
      <c r="L202" t="s">
        <v>74</v>
      </c>
      <c r="M202" t="s">
        <v>74</v>
      </c>
      <c r="N202" t="s">
        <v>74</v>
      </c>
      <c r="O202" t="s">
        <v>74</v>
      </c>
      <c r="P202" t="s">
        <v>74</v>
      </c>
      <c r="Q202" t="s">
        <v>74</v>
      </c>
      <c r="R202" t="s">
        <v>74</v>
      </c>
      <c r="S202" t="s">
        <v>74</v>
      </c>
      <c r="T202" t="s">
        <v>74</v>
      </c>
      <c r="U202" t="s">
        <v>74</v>
      </c>
      <c r="V202" t="s">
        <v>1982</v>
      </c>
      <c r="W202" t="s">
        <v>74</v>
      </c>
      <c r="X202" t="s">
        <v>74</v>
      </c>
      <c r="Y202" t="s">
        <v>74</v>
      </c>
      <c r="Z202" t="s">
        <v>74</v>
      </c>
      <c r="AA202" t="s">
        <v>74</v>
      </c>
      <c r="AB202" t="s">
        <v>74</v>
      </c>
      <c r="AC202" t="s">
        <v>74</v>
      </c>
      <c r="AD202" t="s">
        <v>74</v>
      </c>
      <c r="AE202" t="s">
        <v>74</v>
      </c>
      <c r="AF202" t="s">
        <v>74</v>
      </c>
      <c r="AG202" t="s">
        <v>74</v>
      </c>
      <c r="AH202" t="s">
        <v>74</v>
      </c>
      <c r="AI202" t="s">
        <v>74</v>
      </c>
      <c r="AJ202" t="s">
        <v>74</v>
      </c>
      <c r="AK202" t="s">
        <v>74</v>
      </c>
      <c r="AL202" t="s">
        <v>74</v>
      </c>
      <c r="AM202" t="s">
        <v>74</v>
      </c>
      <c r="AN202" t="s">
        <v>74</v>
      </c>
      <c r="AO202" t="s">
        <v>1874</v>
      </c>
      <c r="AP202" t="s">
        <v>1875</v>
      </c>
      <c r="AQ202" t="s">
        <v>74</v>
      </c>
      <c r="AR202" t="s">
        <v>74</v>
      </c>
      <c r="AS202" t="s">
        <v>74</v>
      </c>
      <c r="AT202" t="s">
        <v>175</v>
      </c>
      <c r="AU202">
        <v>2022</v>
      </c>
      <c r="AV202">
        <v>59</v>
      </c>
      <c r="AW202">
        <v>1</v>
      </c>
      <c r="AX202" t="s">
        <v>74</v>
      </c>
      <c r="AY202" t="s">
        <v>74</v>
      </c>
      <c r="AZ202" t="s">
        <v>74</v>
      </c>
      <c r="BA202" t="s">
        <v>74</v>
      </c>
      <c r="BB202">
        <v>22</v>
      </c>
      <c r="BC202">
        <v>22</v>
      </c>
      <c r="BD202" t="s">
        <v>74</v>
      </c>
      <c r="BE202" t="s">
        <v>1983</v>
      </c>
      <c r="BF202" t="str">
        <f>HYPERLINK("http://dx.doi.org/10.1109/MSPEC.2022.9676358","http://dx.doi.org/10.1109/MSPEC.2022.9676358")</f>
        <v>http://dx.doi.org/10.1109/MSPEC.2022.9676358</v>
      </c>
      <c r="BG202" t="s">
        <v>74</v>
      </c>
      <c r="BH202" t="s">
        <v>74</v>
      </c>
      <c r="BI202" t="s">
        <v>74</v>
      </c>
      <c r="BJ202" t="s">
        <v>74</v>
      </c>
      <c r="BK202" t="s">
        <v>74</v>
      </c>
      <c r="BL202" t="s">
        <v>74</v>
      </c>
      <c r="BM202" t="s">
        <v>74</v>
      </c>
      <c r="BN202" t="s">
        <v>74</v>
      </c>
      <c r="BO202" t="s">
        <v>74</v>
      </c>
      <c r="BP202" t="s">
        <v>74</v>
      </c>
      <c r="BQ202" t="s">
        <v>74</v>
      </c>
      <c r="BR202" t="s">
        <v>74</v>
      </c>
      <c r="BS202" t="s">
        <v>1984</v>
      </c>
      <c r="BT202" t="str">
        <f>HYPERLINK("https%3A%2F%2Fwww.webofscience.com%2Fwos%2Fwoscc%2Ffull-record%2FWOS:000742180200016","View Full Record in Web of Science")</f>
        <v>View Full Record in Web of Science</v>
      </c>
    </row>
    <row r="203" spans="1:72" x14ac:dyDescent="0.25">
      <c r="A203" t="s">
        <v>72</v>
      </c>
      <c r="B203" t="s">
        <v>1985</v>
      </c>
      <c r="C203" t="s">
        <v>74</v>
      </c>
      <c r="D203" t="s">
        <v>74</v>
      </c>
      <c r="E203" t="s">
        <v>74</v>
      </c>
      <c r="F203" t="s">
        <v>1986</v>
      </c>
      <c r="G203" t="s">
        <v>74</v>
      </c>
      <c r="H203" t="s">
        <v>74</v>
      </c>
      <c r="I203" t="s">
        <v>1987</v>
      </c>
      <c r="J203" t="s">
        <v>305</v>
      </c>
      <c r="K203" t="s">
        <v>74</v>
      </c>
      <c r="L203" t="s">
        <v>74</v>
      </c>
      <c r="M203" t="s">
        <v>74</v>
      </c>
      <c r="N203" t="s">
        <v>74</v>
      </c>
      <c r="O203" t="s">
        <v>74</v>
      </c>
      <c r="P203" t="s">
        <v>74</v>
      </c>
      <c r="Q203" t="s">
        <v>74</v>
      </c>
      <c r="R203" t="s">
        <v>74</v>
      </c>
      <c r="S203" t="s">
        <v>74</v>
      </c>
      <c r="T203" t="s">
        <v>74</v>
      </c>
      <c r="U203" t="s">
        <v>74</v>
      </c>
      <c r="V203" t="s">
        <v>1988</v>
      </c>
      <c r="W203" t="s">
        <v>74</v>
      </c>
      <c r="X203" t="s">
        <v>74</v>
      </c>
      <c r="Y203" t="s">
        <v>74</v>
      </c>
      <c r="Z203" t="s">
        <v>74</v>
      </c>
      <c r="AA203" t="s">
        <v>74</v>
      </c>
      <c r="AB203" t="s">
        <v>74</v>
      </c>
      <c r="AC203" t="s">
        <v>74</v>
      </c>
      <c r="AD203" t="s">
        <v>74</v>
      </c>
      <c r="AE203" t="s">
        <v>74</v>
      </c>
      <c r="AF203" t="s">
        <v>74</v>
      </c>
      <c r="AG203" t="s">
        <v>74</v>
      </c>
      <c r="AH203" t="s">
        <v>74</v>
      </c>
      <c r="AI203" t="s">
        <v>74</v>
      </c>
      <c r="AJ203" t="s">
        <v>74</v>
      </c>
      <c r="AK203" t="s">
        <v>74</v>
      </c>
      <c r="AL203" t="s">
        <v>74</v>
      </c>
      <c r="AM203" t="s">
        <v>74</v>
      </c>
      <c r="AN203" t="s">
        <v>74</v>
      </c>
      <c r="AO203" t="s">
        <v>307</v>
      </c>
      <c r="AP203" t="s">
        <v>308</v>
      </c>
      <c r="AQ203" t="s">
        <v>74</v>
      </c>
      <c r="AR203" t="s">
        <v>74</v>
      </c>
      <c r="AS203" t="s">
        <v>74</v>
      </c>
      <c r="AT203" t="s">
        <v>309</v>
      </c>
      <c r="AU203">
        <v>2022</v>
      </c>
      <c r="AV203">
        <v>24</v>
      </c>
      <c r="AW203">
        <v>6</v>
      </c>
      <c r="AX203" t="s">
        <v>74</v>
      </c>
      <c r="AY203" t="s">
        <v>74</v>
      </c>
      <c r="AZ203" t="s">
        <v>74</v>
      </c>
      <c r="BA203" t="s">
        <v>74</v>
      </c>
      <c r="BB203">
        <v>11</v>
      </c>
      <c r="BC203">
        <v>13</v>
      </c>
      <c r="BD203" t="s">
        <v>74</v>
      </c>
      <c r="BE203" t="s">
        <v>1989</v>
      </c>
      <c r="BF203" t="str">
        <f>HYPERLINK("http://dx.doi.org/10.1109/MITP.2022.3228054","http://dx.doi.org/10.1109/MITP.2022.3228054")</f>
        <v>http://dx.doi.org/10.1109/MITP.2022.3228054</v>
      </c>
      <c r="BG203" t="s">
        <v>74</v>
      </c>
      <c r="BH203" t="s">
        <v>74</v>
      </c>
      <c r="BI203" t="s">
        <v>74</v>
      </c>
      <c r="BJ203" t="s">
        <v>74</v>
      </c>
      <c r="BK203" t="s">
        <v>74</v>
      </c>
      <c r="BL203" t="s">
        <v>74</v>
      </c>
      <c r="BM203" t="s">
        <v>74</v>
      </c>
      <c r="BN203" t="s">
        <v>74</v>
      </c>
      <c r="BO203" t="s">
        <v>74</v>
      </c>
      <c r="BP203" t="s">
        <v>74</v>
      </c>
      <c r="BQ203" t="s">
        <v>74</v>
      </c>
      <c r="BR203" t="s">
        <v>74</v>
      </c>
      <c r="BS203" t="s">
        <v>1990</v>
      </c>
      <c r="BT203" t="str">
        <f>HYPERLINK("https%3A%2F%2Fwww.webofscience.com%2Fwos%2Fwoscc%2Ffull-record%2FWOS:000917257500003","View Full Record in Web of Science")</f>
        <v>View Full Record in Web of Science</v>
      </c>
    </row>
    <row r="204" spans="1:72" x14ac:dyDescent="0.25">
      <c r="A204" t="s">
        <v>84</v>
      </c>
      <c r="B204" t="s">
        <v>1991</v>
      </c>
      <c r="C204" t="s">
        <v>74</v>
      </c>
      <c r="D204" t="s">
        <v>74</v>
      </c>
      <c r="E204" t="s">
        <v>86</v>
      </c>
      <c r="F204" t="s">
        <v>1992</v>
      </c>
      <c r="G204" t="s">
        <v>74</v>
      </c>
      <c r="H204" t="s">
        <v>74</v>
      </c>
      <c r="I204" t="s">
        <v>1993</v>
      </c>
      <c r="J204" t="s">
        <v>258</v>
      </c>
      <c r="K204" t="s">
        <v>259</v>
      </c>
      <c r="L204" t="s">
        <v>74</v>
      </c>
      <c r="M204" t="s">
        <v>74</v>
      </c>
      <c r="N204" t="s">
        <v>74</v>
      </c>
      <c r="O204" t="s">
        <v>260</v>
      </c>
      <c r="P204" t="s">
        <v>261</v>
      </c>
      <c r="Q204" t="s">
        <v>108</v>
      </c>
      <c r="R204" t="s">
        <v>86</v>
      </c>
      <c r="S204" t="s">
        <v>74</v>
      </c>
      <c r="T204" t="s">
        <v>74</v>
      </c>
      <c r="U204" t="s">
        <v>74</v>
      </c>
      <c r="V204" t="s">
        <v>1994</v>
      </c>
      <c r="W204" t="s">
        <v>74</v>
      </c>
      <c r="X204" t="s">
        <v>74</v>
      </c>
      <c r="Y204" t="s">
        <v>74</v>
      </c>
      <c r="Z204" t="s">
        <v>74</v>
      </c>
      <c r="AA204" t="s">
        <v>74</v>
      </c>
      <c r="AB204" t="s">
        <v>74</v>
      </c>
      <c r="AC204" t="s">
        <v>74</v>
      </c>
      <c r="AD204" t="s">
        <v>74</v>
      </c>
      <c r="AE204" t="s">
        <v>74</v>
      </c>
      <c r="AF204" t="s">
        <v>74</v>
      </c>
      <c r="AG204" t="s">
        <v>74</v>
      </c>
      <c r="AH204" t="s">
        <v>74</v>
      </c>
      <c r="AI204" t="s">
        <v>74</v>
      </c>
      <c r="AJ204" t="s">
        <v>74</v>
      </c>
      <c r="AK204" t="s">
        <v>74</v>
      </c>
      <c r="AL204" t="s">
        <v>74</v>
      </c>
      <c r="AM204" t="s">
        <v>74</v>
      </c>
      <c r="AN204" t="s">
        <v>74</v>
      </c>
      <c r="AO204" t="s">
        <v>263</v>
      </c>
      <c r="AP204" t="s">
        <v>74</v>
      </c>
      <c r="AQ204" t="s">
        <v>264</v>
      </c>
      <c r="AR204" t="s">
        <v>74</v>
      </c>
      <c r="AS204" t="s">
        <v>74</v>
      </c>
      <c r="AT204" t="s">
        <v>74</v>
      </c>
      <c r="AU204">
        <v>2022</v>
      </c>
      <c r="AV204" t="s">
        <v>74</v>
      </c>
      <c r="AW204" t="s">
        <v>74</v>
      </c>
      <c r="AX204" t="s">
        <v>74</v>
      </c>
      <c r="AY204" t="s">
        <v>74</v>
      </c>
      <c r="AZ204" t="s">
        <v>74</v>
      </c>
      <c r="BA204" t="s">
        <v>74</v>
      </c>
      <c r="BB204" t="s">
        <v>74</v>
      </c>
      <c r="BC204" t="s">
        <v>74</v>
      </c>
      <c r="BD204" t="s">
        <v>74</v>
      </c>
      <c r="BE204" t="s">
        <v>1995</v>
      </c>
      <c r="BF204" t="str">
        <f>HYPERLINK("http://dx.doi.org/10.1109/MMSP55362.2022.9949108","http://dx.doi.org/10.1109/MMSP55362.2022.9949108")</f>
        <v>http://dx.doi.org/10.1109/MMSP55362.2022.9949108</v>
      </c>
      <c r="BG204" t="s">
        <v>74</v>
      </c>
      <c r="BH204" t="s">
        <v>74</v>
      </c>
      <c r="BI204" t="s">
        <v>74</v>
      </c>
      <c r="BJ204" t="s">
        <v>74</v>
      </c>
      <c r="BK204" t="s">
        <v>74</v>
      </c>
      <c r="BL204" t="s">
        <v>74</v>
      </c>
      <c r="BM204" t="s">
        <v>74</v>
      </c>
      <c r="BN204" t="s">
        <v>74</v>
      </c>
      <c r="BO204" t="s">
        <v>74</v>
      </c>
      <c r="BP204" t="s">
        <v>74</v>
      </c>
      <c r="BQ204" t="s">
        <v>74</v>
      </c>
      <c r="BR204" t="s">
        <v>74</v>
      </c>
      <c r="BS204" t="s">
        <v>1996</v>
      </c>
      <c r="BT204" t="str">
        <f>HYPERLINK("https%3A%2F%2Fwww.webofscience.com%2Fwos%2Fwoscc%2Ffull-record%2FWOS:000893205800060","View Full Record in Web of Science")</f>
        <v>View Full Record in Web of Science</v>
      </c>
    </row>
    <row r="205" spans="1:72" x14ac:dyDescent="0.25">
      <c r="A205" t="s">
        <v>72</v>
      </c>
      <c r="B205" t="s">
        <v>1997</v>
      </c>
      <c r="C205" t="s">
        <v>74</v>
      </c>
      <c r="D205" t="s">
        <v>74</v>
      </c>
      <c r="E205" t="s">
        <v>74</v>
      </c>
      <c r="F205" t="s">
        <v>1998</v>
      </c>
      <c r="G205" t="s">
        <v>74</v>
      </c>
      <c r="H205" t="s">
        <v>74</v>
      </c>
      <c r="I205" t="s">
        <v>1999</v>
      </c>
      <c r="J205" t="s">
        <v>2000</v>
      </c>
      <c r="K205" t="s">
        <v>74</v>
      </c>
      <c r="L205" t="s">
        <v>74</v>
      </c>
      <c r="M205" t="s">
        <v>74</v>
      </c>
      <c r="N205" t="s">
        <v>74</v>
      </c>
      <c r="O205" t="s">
        <v>74</v>
      </c>
      <c r="P205" t="s">
        <v>74</v>
      </c>
      <c r="Q205" t="s">
        <v>74</v>
      </c>
      <c r="R205" t="s">
        <v>74</v>
      </c>
      <c r="S205" t="s">
        <v>74</v>
      </c>
      <c r="T205" t="s">
        <v>74</v>
      </c>
      <c r="U205" t="s">
        <v>74</v>
      </c>
      <c r="V205" t="s">
        <v>2001</v>
      </c>
      <c r="W205" t="s">
        <v>74</v>
      </c>
      <c r="X205" t="s">
        <v>74</v>
      </c>
      <c r="Y205" t="s">
        <v>74</v>
      </c>
      <c r="Z205" t="s">
        <v>74</v>
      </c>
      <c r="AA205" t="s">
        <v>74</v>
      </c>
      <c r="AB205" t="s">
        <v>2002</v>
      </c>
      <c r="AC205" t="s">
        <v>74</v>
      </c>
      <c r="AD205" t="s">
        <v>74</v>
      </c>
      <c r="AE205" t="s">
        <v>74</v>
      </c>
      <c r="AF205" t="s">
        <v>74</v>
      </c>
      <c r="AG205" t="s">
        <v>74</v>
      </c>
      <c r="AH205" t="s">
        <v>74</v>
      </c>
      <c r="AI205" t="s">
        <v>74</v>
      </c>
      <c r="AJ205" t="s">
        <v>74</v>
      </c>
      <c r="AK205" t="s">
        <v>74</v>
      </c>
      <c r="AL205" t="s">
        <v>74</v>
      </c>
      <c r="AM205" t="s">
        <v>74</v>
      </c>
      <c r="AN205" t="s">
        <v>74</v>
      </c>
      <c r="AO205" t="s">
        <v>2003</v>
      </c>
      <c r="AP205" t="s">
        <v>74</v>
      </c>
      <c r="AQ205" t="s">
        <v>74</v>
      </c>
      <c r="AR205" t="s">
        <v>74</v>
      </c>
      <c r="AS205" t="s">
        <v>74</v>
      </c>
      <c r="AT205" t="s">
        <v>2004</v>
      </c>
      <c r="AU205">
        <v>2022</v>
      </c>
      <c r="AV205">
        <v>2022</v>
      </c>
      <c r="AW205">
        <v>1</v>
      </c>
      <c r="AX205" t="s">
        <v>74</v>
      </c>
      <c r="AY205" t="s">
        <v>74</v>
      </c>
      <c r="AZ205" t="s">
        <v>74</v>
      </c>
      <c r="BA205" t="s">
        <v>74</v>
      </c>
      <c r="BB205" t="s">
        <v>74</v>
      </c>
      <c r="BC205" t="s">
        <v>74</v>
      </c>
      <c r="BD205">
        <v>31</v>
      </c>
      <c r="BE205" t="s">
        <v>2005</v>
      </c>
      <c r="BF205" t="str">
        <f>HYPERLINK("http://dx.doi.org/10.1186/s13636-022-00261-8","http://dx.doi.org/10.1186/s13636-022-00261-8")</f>
        <v>http://dx.doi.org/10.1186/s13636-022-00261-8</v>
      </c>
      <c r="BG205" t="s">
        <v>74</v>
      </c>
      <c r="BH205" t="s">
        <v>74</v>
      </c>
      <c r="BI205" t="s">
        <v>74</v>
      </c>
      <c r="BJ205" t="s">
        <v>74</v>
      </c>
      <c r="BK205" t="s">
        <v>74</v>
      </c>
      <c r="BL205" t="s">
        <v>74</v>
      </c>
      <c r="BM205" t="s">
        <v>74</v>
      </c>
      <c r="BN205" t="s">
        <v>74</v>
      </c>
      <c r="BO205" t="s">
        <v>74</v>
      </c>
      <c r="BP205" t="s">
        <v>74</v>
      </c>
      <c r="BQ205" t="s">
        <v>74</v>
      </c>
      <c r="BR205" t="s">
        <v>74</v>
      </c>
      <c r="BS205" t="s">
        <v>2006</v>
      </c>
      <c r="BT205" t="str">
        <f>HYPERLINK("https%3A%2F%2Fwww.webofscience.com%2Fwos%2Fwoscc%2Ffull-record%2FWOS:000898867700001","View Full Record in Web of Science")</f>
        <v>View Full Record in Web of Science</v>
      </c>
    </row>
    <row r="206" spans="1:72" x14ac:dyDescent="0.25">
      <c r="A206" t="s">
        <v>72</v>
      </c>
      <c r="B206" t="s">
        <v>2007</v>
      </c>
      <c r="C206" t="s">
        <v>74</v>
      </c>
      <c r="D206" t="s">
        <v>74</v>
      </c>
      <c r="E206" t="s">
        <v>74</v>
      </c>
      <c r="F206" t="s">
        <v>2008</v>
      </c>
      <c r="G206" t="s">
        <v>74</v>
      </c>
      <c r="H206" t="s">
        <v>74</v>
      </c>
      <c r="I206" t="s">
        <v>2009</v>
      </c>
      <c r="J206" t="s">
        <v>146</v>
      </c>
      <c r="K206" t="s">
        <v>74</v>
      </c>
      <c r="L206" t="s">
        <v>74</v>
      </c>
      <c r="M206" t="s">
        <v>74</v>
      </c>
      <c r="N206" t="s">
        <v>74</v>
      </c>
      <c r="O206" t="s">
        <v>74</v>
      </c>
      <c r="P206" t="s">
        <v>74</v>
      </c>
      <c r="Q206" t="s">
        <v>74</v>
      </c>
      <c r="R206" t="s">
        <v>74</v>
      </c>
      <c r="S206" t="s">
        <v>74</v>
      </c>
      <c r="T206" t="s">
        <v>74</v>
      </c>
      <c r="U206" t="s">
        <v>74</v>
      </c>
      <c r="V206" t="s">
        <v>2010</v>
      </c>
      <c r="W206" t="s">
        <v>74</v>
      </c>
      <c r="X206" t="s">
        <v>74</v>
      </c>
      <c r="Y206" t="s">
        <v>74</v>
      </c>
      <c r="Z206" t="s">
        <v>74</v>
      </c>
      <c r="AA206" t="s">
        <v>2011</v>
      </c>
      <c r="AB206" t="s">
        <v>74</v>
      </c>
      <c r="AC206" t="s">
        <v>74</v>
      </c>
      <c r="AD206" t="s">
        <v>74</v>
      </c>
      <c r="AE206" t="s">
        <v>74</v>
      </c>
      <c r="AF206" t="s">
        <v>74</v>
      </c>
      <c r="AG206" t="s">
        <v>74</v>
      </c>
      <c r="AH206" t="s">
        <v>74</v>
      </c>
      <c r="AI206" t="s">
        <v>74</v>
      </c>
      <c r="AJ206" t="s">
        <v>74</v>
      </c>
      <c r="AK206" t="s">
        <v>74</v>
      </c>
      <c r="AL206" t="s">
        <v>74</v>
      </c>
      <c r="AM206" t="s">
        <v>74</v>
      </c>
      <c r="AN206" t="s">
        <v>74</v>
      </c>
      <c r="AO206" t="s">
        <v>148</v>
      </c>
      <c r="AP206" t="s">
        <v>149</v>
      </c>
      <c r="AQ206" t="s">
        <v>74</v>
      </c>
      <c r="AR206" t="s">
        <v>74</v>
      </c>
      <c r="AS206" t="s">
        <v>74</v>
      </c>
      <c r="AT206" t="s">
        <v>435</v>
      </c>
      <c r="AU206">
        <v>2023</v>
      </c>
      <c r="AV206">
        <v>79</v>
      </c>
      <c r="AW206">
        <v>3</v>
      </c>
      <c r="AX206" t="s">
        <v>74</v>
      </c>
      <c r="AY206" t="s">
        <v>74</v>
      </c>
      <c r="AZ206" t="s">
        <v>74</v>
      </c>
      <c r="BA206" t="s">
        <v>74</v>
      </c>
      <c r="BB206">
        <v>2767</v>
      </c>
      <c r="BC206">
        <v>2782</v>
      </c>
      <c r="BD206" t="s">
        <v>74</v>
      </c>
      <c r="BE206" t="s">
        <v>2012</v>
      </c>
      <c r="BF206" t="str">
        <f>HYPERLINK("http://dx.doi.org/10.1007/s11227-022-04680-4","http://dx.doi.org/10.1007/s11227-022-04680-4")</f>
        <v>http://dx.doi.org/10.1007/s11227-022-04680-4</v>
      </c>
      <c r="BG206" t="s">
        <v>74</v>
      </c>
      <c r="BH206" t="s">
        <v>2013</v>
      </c>
      <c r="BI206" t="s">
        <v>74</v>
      </c>
      <c r="BJ206" t="s">
        <v>74</v>
      </c>
      <c r="BK206" t="s">
        <v>74</v>
      </c>
      <c r="BL206" t="s">
        <v>74</v>
      </c>
      <c r="BM206" t="s">
        <v>74</v>
      </c>
      <c r="BN206">
        <v>36035635</v>
      </c>
      <c r="BO206" t="s">
        <v>74</v>
      </c>
      <c r="BP206" t="s">
        <v>74</v>
      </c>
      <c r="BQ206" t="s">
        <v>74</v>
      </c>
      <c r="BR206" t="s">
        <v>74</v>
      </c>
      <c r="BS206" t="s">
        <v>2014</v>
      </c>
      <c r="BT206" t="str">
        <f>HYPERLINK("https%3A%2F%2Fwww.webofscience.com%2Fwos%2Fwoscc%2Ffull-record%2FWOS:000842875300006","View Full Record in Web of Science")</f>
        <v>View Full Record in Web of Science</v>
      </c>
    </row>
    <row r="207" spans="1:72" x14ac:dyDescent="0.25">
      <c r="A207" t="s">
        <v>72</v>
      </c>
      <c r="B207" t="s">
        <v>2015</v>
      </c>
      <c r="C207" t="s">
        <v>74</v>
      </c>
      <c r="D207" t="s">
        <v>74</v>
      </c>
      <c r="E207" t="s">
        <v>74</v>
      </c>
      <c r="F207" t="s">
        <v>2016</v>
      </c>
      <c r="G207" t="s">
        <v>74</v>
      </c>
      <c r="H207" t="s">
        <v>74</v>
      </c>
      <c r="I207" t="s">
        <v>2017</v>
      </c>
      <c r="J207" t="s">
        <v>2018</v>
      </c>
      <c r="K207" t="s">
        <v>74</v>
      </c>
      <c r="L207" t="s">
        <v>74</v>
      </c>
      <c r="M207" t="s">
        <v>74</v>
      </c>
      <c r="N207" t="s">
        <v>74</v>
      </c>
      <c r="O207" t="s">
        <v>74</v>
      </c>
      <c r="P207" t="s">
        <v>74</v>
      </c>
      <c r="Q207" t="s">
        <v>74</v>
      </c>
      <c r="R207" t="s">
        <v>74</v>
      </c>
      <c r="S207" t="s">
        <v>74</v>
      </c>
      <c r="T207" t="s">
        <v>74</v>
      </c>
      <c r="U207" t="s">
        <v>74</v>
      </c>
      <c r="V207" t="s">
        <v>2019</v>
      </c>
      <c r="W207" t="s">
        <v>74</v>
      </c>
      <c r="X207" t="s">
        <v>74</v>
      </c>
      <c r="Y207" t="s">
        <v>74</v>
      </c>
      <c r="Z207" t="s">
        <v>74</v>
      </c>
      <c r="AA207" t="s">
        <v>74</v>
      </c>
      <c r="AB207" t="s">
        <v>2020</v>
      </c>
      <c r="AC207" t="s">
        <v>74</v>
      </c>
      <c r="AD207" t="s">
        <v>74</v>
      </c>
      <c r="AE207" t="s">
        <v>74</v>
      </c>
      <c r="AF207" t="s">
        <v>74</v>
      </c>
      <c r="AG207" t="s">
        <v>74</v>
      </c>
      <c r="AH207" t="s">
        <v>74</v>
      </c>
      <c r="AI207" t="s">
        <v>74</v>
      </c>
      <c r="AJ207" t="s">
        <v>74</v>
      </c>
      <c r="AK207" t="s">
        <v>74</v>
      </c>
      <c r="AL207" t="s">
        <v>74</v>
      </c>
      <c r="AM207" t="s">
        <v>74</v>
      </c>
      <c r="AN207" t="s">
        <v>74</v>
      </c>
      <c r="AO207" t="s">
        <v>2021</v>
      </c>
      <c r="AP207" t="s">
        <v>2022</v>
      </c>
      <c r="AQ207" t="s">
        <v>74</v>
      </c>
      <c r="AR207" t="s">
        <v>74</v>
      </c>
      <c r="AS207" t="s">
        <v>74</v>
      </c>
      <c r="AT207" t="s">
        <v>124</v>
      </c>
      <c r="AU207">
        <v>2023</v>
      </c>
      <c r="AV207">
        <v>128</v>
      </c>
      <c r="AW207" t="s">
        <v>74</v>
      </c>
      <c r="AX207" t="s">
        <v>74</v>
      </c>
      <c r="AY207" t="s">
        <v>74</v>
      </c>
      <c r="AZ207" t="s">
        <v>74</v>
      </c>
      <c r="BA207" t="s">
        <v>74</v>
      </c>
      <c r="BB207" t="s">
        <v>74</v>
      </c>
      <c r="BC207" t="s">
        <v>74</v>
      </c>
      <c r="BD207">
        <v>103127</v>
      </c>
      <c r="BE207" t="s">
        <v>2023</v>
      </c>
      <c r="BF207" t="str">
        <f>HYPERLINK("http://dx.doi.org/10.1016/j.cose.2023.103127","http://dx.doi.org/10.1016/j.cose.2023.103127")</f>
        <v>http://dx.doi.org/10.1016/j.cose.2023.103127</v>
      </c>
      <c r="BG207" t="s">
        <v>74</v>
      </c>
      <c r="BH207" t="s">
        <v>218</v>
      </c>
      <c r="BI207" t="s">
        <v>74</v>
      </c>
      <c r="BJ207" t="s">
        <v>74</v>
      </c>
      <c r="BK207" t="s">
        <v>74</v>
      </c>
      <c r="BL207" t="s">
        <v>74</v>
      </c>
      <c r="BM207" t="s">
        <v>74</v>
      </c>
      <c r="BN207" t="s">
        <v>74</v>
      </c>
      <c r="BO207" t="s">
        <v>74</v>
      </c>
      <c r="BP207" t="s">
        <v>74</v>
      </c>
      <c r="BQ207" t="s">
        <v>74</v>
      </c>
      <c r="BR207" t="s">
        <v>74</v>
      </c>
      <c r="BS207" t="s">
        <v>2024</v>
      </c>
      <c r="BT207" t="str">
        <f>HYPERLINK("https%3A%2F%2Fwww.webofscience.com%2Fwos%2Fwoscc%2Ffull-record%2FWOS:000936572100001","View Full Record in Web of Science")</f>
        <v>View Full Record in Web of Science</v>
      </c>
    </row>
    <row r="208" spans="1:72" x14ac:dyDescent="0.25">
      <c r="A208" t="s">
        <v>84</v>
      </c>
      <c r="B208" t="s">
        <v>2025</v>
      </c>
      <c r="C208" t="s">
        <v>74</v>
      </c>
      <c r="D208" t="s">
        <v>74</v>
      </c>
      <c r="E208" t="s">
        <v>86</v>
      </c>
      <c r="F208" t="s">
        <v>2026</v>
      </c>
      <c r="G208" t="s">
        <v>74</v>
      </c>
      <c r="H208" t="s">
        <v>74</v>
      </c>
      <c r="I208" t="s">
        <v>2027</v>
      </c>
      <c r="J208" t="s">
        <v>1772</v>
      </c>
      <c r="K208" t="s">
        <v>74</v>
      </c>
      <c r="L208" t="s">
        <v>74</v>
      </c>
      <c r="M208" t="s">
        <v>74</v>
      </c>
      <c r="N208" t="s">
        <v>74</v>
      </c>
      <c r="O208" t="s">
        <v>1773</v>
      </c>
      <c r="P208" t="s">
        <v>1774</v>
      </c>
      <c r="Q208" t="s">
        <v>1775</v>
      </c>
      <c r="R208" t="s">
        <v>1776</v>
      </c>
      <c r="S208" t="s">
        <v>74</v>
      </c>
      <c r="T208" t="s">
        <v>74</v>
      </c>
      <c r="U208" t="s">
        <v>74</v>
      </c>
      <c r="V208" t="s">
        <v>2028</v>
      </c>
      <c r="W208" t="s">
        <v>74</v>
      </c>
      <c r="X208" t="s">
        <v>74</v>
      </c>
      <c r="Y208" t="s">
        <v>74</v>
      </c>
      <c r="Z208" t="s">
        <v>74</v>
      </c>
      <c r="AA208" t="s">
        <v>1778</v>
      </c>
      <c r="AB208" t="s">
        <v>2029</v>
      </c>
      <c r="AC208" t="s">
        <v>74</v>
      </c>
      <c r="AD208" t="s">
        <v>74</v>
      </c>
      <c r="AE208" t="s">
        <v>74</v>
      </c>
      <c r="AF208" t="s">
        <v>74</v>
      </c>
      <c r="AG208" t="s">
        <v>74</v>
      </c>
      <c r="AH208" t="s">
        <v>74</v>
      </c>
      <c r="AI208" t="s">
        <v>74</v>
      </c>
      <c r="AJ208" t="s">
        <v>74</v>
      </c>
      <c r="AK208" t="s">
        <v>74</v>
      </c>
      <c r="AL208" t="s">
        <v>74</v>
      </c>
      <c r="AM208" t="s">
        <v>74</v>
      </c>
      <c r="AN208" t="s">
        <v>74</v>
      </c>
      <c r="AO208" t="s">
        <v>74</v>
      </c>
      <c r="AP208" t="s">
        <v>74</v>
      </c>
      <c r="AQ208" t="s">
        <v>1780</v>
      </c>
      <c r="AR208" t="s">
        <v>74</v>
      </c>
      <c r="AS208" t="s">
        <v>74</v>
      </c>
      <c r="AT208" t="s">
        <v>74</v>
      </c>
      <c r="AU208">
        <v>2022</v>
      </c>
      <c r="AV208" t="s">
        <v>74</v>
      </c>
      <c r="AW208" t="s">
        <v>74</v>
      </c>
      <c r="AX208" t="s">
        <v>74</v>
      </c>
      <c r="AY208" t="s">
        <v>74</v>
      </c>
      <c r="AZ208" t="s">
        <v>74</v>
      </c>
      <c r="BA208" t="s">
        <v>74</v>
      </c>
      <c r="BB208">
        <v>620</v>
      </c>
      <c r="BC208">
        <v>626</v>
      </c>
      <c r="BD208" t="s">
        <v>74</v>
      </c>
      <c r="BE208" t="s">
        <v>2030</v>
      </c>
      <c r="BF208" t="str">
        <f>HYPERLINK("http://dx.doi.org/10.1109/MASS56207.2022.00092","http://dx.doi.org/10.1109/MASS56207.2022.00092")</f>
        <v>http://dx.doi.org/10.1109/MASS56207.2022.00092</v>
      </c>
      <c r="BG208" t="s">
        <v>74</v>
      </c>
      <c r="BH208" t="s">
        <v>74</v>
      </c>
      <c r="BI208" t="s">
        <v>74</v>
      </c>
      <c r="BJ208" t="s">
        <v>74</v>
      </c>
      <c r="BK208" t="s">
        <v>74</v>
      </c>
      <c r="BL208" t="s">
        <v>74</v>
      </c>
      <c r="BM208" t="s">
        <v>74</v>
      </c>
      <c r="BN208" t="s">
        <v>74</v>
      </c>
      <c r="BO208" t="s">
        <v>74</v>
      </c>
      <c r="BP208" t="s">
        <v>74</v>
      </c>
      <c r="BQ208" t="s">
        <v>74</v>
      </c>
      <c r="BR208" t="s">
        <v>74</v>
      </c>
      <c r="BS208" t="s">
        <v>2031</v>
      </c>
      <c r="BT208" t="str">
        <f>HYPERLINK("https%3A%2F%2Fwww.webofscience.com%2Fwos%2Fwoscc%2Ffull-record%2FWOS:000925366900083","View Full Record in Web of Science")</f>
        <v>View Full Record in Web of Science</v>
      </c>
    </row>
    <row r="209" spans="1:72" x14ac:dyDescent="0.25">
      <c r="A209" t="s">
        <v>72</v>
      </c>
      <c r="B209" t="s">
        <v>2032</v>
      </c>
      <c r="C209" t="s">
        <v>74</v>
      </c>
      <c r="D209" t="s">
        <v>74</v>
      </c>
      <c r="E209" t="s">
        <v>74</v>
      </c>
      <c r="F209" t="s">
        <v>2033</v>
      </c>
      <c r="G209" t="s">
        <v>74</v>
      </c>
      <c r="H209" t="s">
        <v>74</v>
      </c>
      <c r="I209" t="s">
        <v>2034</v>
      </c>
      <c r="J209" t="s">
        <v>1672</v>
      </c>
      <c r="K209" t="s">
        <v>74</v>
      </c>
      <c r="L209" t="s">
        <v>74</v>
      </c>
      <c r="M209" t="s">
        <v>74</v>
      </c>
      <c r="N209" t="s">
        <v>74</v>
      </c>
      <c r="O209" t="s">
        <v>74</v>
      </c>
      <c r="P209" t="s">
        <v>74</v>
      </c>
      <c r="Q209" t="s">
        <v>74</v>
      </c>
      <c r="R209" t="s">
        <v>74</v>
      </c>
      <c r="S209" t="s">
        <v>74</v>
      </c>
      <c r="T209" t="s">
        <v>74</v>
      </c>
      <c r="U209" t="s">
        <v>74</v>
      </c>
      <c r="V209" t="s">
        <v>74</v>
      </c>
      <c r="W209" t="s">
        <v>74</v>
      </c>
      <c r="X209" t="s">
        <v>74</v>
      </c>
      <c r="Y209" t="s">
        <v>74</v>
      </c>
      <c r="Z209" t="s">
        <v>74</v>
      </c>
      <c r="AA209" t="s">
        <v>74</v>
      </c>
      <c r="AB209" t="s">
        <v>74</v>
      </c>
      <c r="AC209" t="s">
        <v>74</v>
      </c>
      <c r="AD209" t="s">
        <v>74</v>
      </c>
      <c r="AE209" t="s">
        <v>74</v>
      </c>
      <c r="AF209" t="s">
        <v>74</v>
      </c>
      <c r="AG209" t="s">
        <v>74</v>
      </c>
      <c r="AH209" t="s">
        <v>74</v>
      </c>
      <c r="AI209" t="s">
        <v>74</v>
      </c>
      <c r="AJ209" t="s">
        <v>74</v>
      </c>
      <c r="AK209" t="s">
        <v>74</v>
      </c>
      <c r="AL209" t="s">
        <v>74</v>
      </c>
      <c r="AM209" t="s">
        <v>74</v>
      </c>
      <c r="AN209" t="s">
        <v>74</v>
      </c>
      <c r="AO209" t="s">
        <v>1673</v>
      </c>
      <c r="AP209" t="s">
        <v>1674</v>
      </c>
      <c r="AQ209" t="s">
        <v>74</v>
      </c>
      <c r="AR209" t="s">
        <v>74</v>
      </c>
      <c r="AS209" t="s">
        <v>74</v>
      </c>
      <c r="AT209" t="s">
        <v>465</v>
      </c>
      <c r="AU209">
        <v>2022</v>
      </c>
      <c r="AV209">
        <v>9</v>
      </c>
      <c r="AW209">
        <v>12</v>
      </c>
      <c r="AX209" t="s">
        <v>74</v>
      </c>
      <c r="AY209" t="s">
        <v>74</v>
      </c>
      <c r="AZ209" t="s">
        <v>74</v>
      </c>
      <c r="BA209" t="s">
        <v>74</v>
      </c>
      <c r="BB209">
        <v>2041</v>
      </c>
      <c r="BC209">
        <v>2042</v>
      </c>
      <c r="BD209" t="s">
        <v>74</v>
      </c>
      <c r="BE209" t="s">
        <v>2035</v>
      </c>
      <c r="BF209" t="str">
        <f>HYPERLINK("http://dx.doi.org/10.1109/JAS.2022.106100","http://dx.doi.org/10.1109/JAS.2022.106100")</f>
        <v>http://dx.doi.org/10.1109/JAS.2022.106100</v>
      </c>
      <c r="BG209" t="s">
        <v>74</v>
      </c>
      <c r="BH209" t="s">
        <v>74</v>
      </c>
      <c r="BI209" t="s">
        <v>74</v>
      </c>
      <c r="BJ209" t="s">
        <v>74</v>
      </c>
      <c r="BK209" t="s">
        <v>74</v>
      </c>
      <c r="BL209" t="s">
        <v>74</v>
      </c>
      <c r="BM209" t="s">
        <v>74</v>
      </c>
      <c r="BN209" t="s">
        <v>74</v>
      </c>
      <c r="BO209" t="s">
        <v>74</v>
      </c>
      <c r="BP209" t="s">
        <v>74</v>
      </c>
      <c r="BQ209" t="s">
        <v>74</v>
      </c>
      <c r="BR209" t="s">
        <v>74</v>
      </c>
      <c r="BS209" t="s">
        <v>2036</v>
      </c>
      <c r="BT209" t="str">
        <f>HYPERLINK("https%3A%2F%2Fwww.webofscience.com%2Fwos%2Fwoscc%2Ffull-record%2FWOS:000894969600001","View Full Record in Web of Science")</f>
        <v>View Full Record in Web of Science</v>
      </c>
    </row>
    <row r="210" spans="1:72" x14ac:dyDescent="0.25">
      <c r="A210" t="s">
        <v>84</v>
      </c>
      <c r="B210" t="s">
        <v>2037</v>
      </c>
      <c r="C210" t="s">
        <v>74</v>
      </c>
      <c r="D210" t="s">
        <v>74</v>
      </c>
      <c r="E210" t="s">
        <v>86</v>
      </c>
      <c r="F210" t="s">
        <v>2038</v>
      </c>
      <c r="G210" t="s">
        <v>74</v>
      </c>
      <c r="H210" t="s">
        <v>74</v>
      </c>
      <c r="I210" t="s">
        <v>2039</v>
      </c>
      <c r="J210" t="s">
        <v>2040</v>
      </c>
      <c r="K210" t="s">
        <v>74</v>
      </c>
      <c r="L210" t="s">
        <v>74</v>
      </c>
      <c r="M210" t="s">
        <v>74</v>
      </c>
      <c r="N210" t="s">
        <v>74</v>
      </c>
      <c r="O210" t="s">
        <v>2041</v>
      </c>
      <c r="P210" t="s">
        <v>2042</v>
      </c>
      <c r="Q210" t="s">
        <v>108</v>
      </c>
      <c r="R210" t="s">
        <v>2043</v>
      </c>
      <c r="S210" t="s">
        <v>74</v>
      </c>
      <c r="T210" t="s">
        <v>74</v>
      </c>
      <c r="U210" t="s">
        <v>74</v>
      </c>
      <c r="V210" t="s">
        <v>2044</v>
      </c>
      <c r="W210" t="s">
        <v>74</v>
      </c>
      <c r="X210" t="s">
        <v>74</v>
      </c>
      <c r="Y210" t="s">
        <v>74</v>
      </c>
      <c r="Z210" t="s">
        <v>74</v>
      </c>
      <c r="AA210" t="s">
        <v>74</v>
      </c>
      <c r="AB210" t="s">
        <v>74</v>
      </c>
      <c r="AC210" t="s">
        <v>74</v>
      </c>
      <c r="AD210" t="s">
        <v>74</v>
      </c>
      <c r="AE210" t="s">
        <v>74</v>
      </c>
      <c r="AF210" t="s">
        <v>74</v>
      </c>
      <c r="AG210" t="s">
        <v>74</v>
      </c>
      <c r="AH210" t="s">
        <v>74</v>
      </c>
      <c r="AI210" t="s">
        <v>74</v>
      </c>
      <c r="AJ210" t="s">
        <v>74</v>
      </c>
      <c r="AK210" t="s">
        <v>74</v>
      </c>
      <c r="AL210" t="s">
        <v>74</v>
      </c>
      <c r="AM210" t="s">
        <v>74</v>
      </c>
      <c r="AN210" t="s">
        <v>74</v>
      </c>
      <c r="AO210" t="s">
        <v>74</v>
      </c>
      <c r="AP210" t="s">
        <v>74</v>
      </c>
      <c r="AQ210" t="s">
        <v>2045</v>
      </c>
      <c r="AR210" t="s">
        <v>74</v>
      </c>
      <c r="AS210" t="s">
        <v>74</v>
      </c>
      <c r="AT210" t="s">
        <v>74</v>
      </c>
      <c r="AU210">
        <v>2021</v>
      </c>
      <c r="AV210" t="s">
        <v>74</v>
      </c>
      <c r="AW210" t="s">
        <v>74</v>
      </c>
      <c r="AX210" t="s">
        <v>74</v>
      </c>
      <c r="AY210" t="s">
        <v>74</v>
      </c>
      <c r="AZ210" t="s">
        <v>74</v>
      </c>
      <c r="BA210" t="s">
        <v>74</v>
      </c>
      <c r="BB210">
        <v>49</v>
      </c>
      <c r="BC210">
        <v>50</v>
      </c>
      <c r="BD210" t="s">
        <v>74</v>
      </c>
      <c r="BE210" t="s">
        <v>2046</v>
      </c>
      <c r="BF210" t="str">
        <f>HYPERLINK("http://dx.doi.org/10.1109/ICIR51845.2021.00016","http://dx.doi.org/10.1109/ICIR51845.2021.00016")</f>
        <v>http://dx.doi.org/10.1109/ICIR51845.2021.00016</v>
      </c>
      <c r="BG210" t="s">
        <v>74</v>
      </c>
      <c r="BH210" t="s">
        <v>74</v>
      </c>
      <c r="BI210" t="s">
        <v>74</v>
      </c>
      <c r="BJ210" t="s">
        <v>74</v>
      </c>
      <c r="BK210" t="s">
        <v>74</v>
      </c>
      <c r="BL210" t="s">
        <v>74</v>
      </c>
      <c r="BM210" t="s">
        <v>74</v>
      </c>
      <c r="BN210" t="s">
        <v>74</v>
      </c>
      <c r="BO210" t="s">
        <v>74</v>
      </c>
      <c r="BP210" t="s">
        <v>74</v>
      </c>
      <c r="BQ210" t="s">
        <v>74</v>
      </c>
      <c r="BR210" t="s">
        <v>74</v>
      </c>
      <c r="BS210" t="s">
        <v>2047</v>
      </c>
      <c r="BT210" t="str">
        <f>HYPERLINK("https%3A%2F%2Fwww.webofscience.com%2Fwos%2Fwoscc%2Ffull-record%2FWOS:000814865900007","View Full Record in Web of Science")</f>
        <v>View Full Record in Web of Science</v>
      </c>
    </row>
    <row r="211" spans="1:72" x14ac:dyDescent="0.25">
      <c r="A211" t="s">
        <v>72</v>
      </c>
      <c r="B211" t="s">
        <v>2048</v>
      </c>
      <c r="C211" t="s">
        <v>74</v>
      </c>
      <c r="D211" t="s">
        <v>74</v>
      </c>
      <c r="E211" t="s">
        <v>74</v>
      </c>
      <c r="F211" t="s">
        <v>2049</v>
      </c>
      <c r="G211" t="s">
        <v>74</v>
      </c>
      <c r="H211" t="s">
        <v>74</v>
      </c>
      <c r="I211" t="s">
        <v>2050</v>
      </c>
      <c r="J211" t="s">
        <v>2051</v>
      </c>
      <c r="K211" t="s">
        <v>74</v>
      </c>
      <c r="L211" t="s">
        <v>74</v>
      </c>
      <c r="M211" t="s">
        <v>74</v>
      </c>
      <c r="N211" t="s">
        <v>74</v>
      </c>
      <c r="O211" t="s">
        <v>74</v>
      </c>
      <c r="P211" t="s">
        <v>74</v>
      </c>
      <c r="Q211" t="s">
        <v>74</v>
      </c>
      <c r="R211" t="s">
        <v>74</v>
      </c>
      <c r="S211" t="s">
        <v>74</v>
      </c>
      <c r="T211" t="s">
        <v>74</v>
      </c>
      <c r="U211" t="s">
        <v>74</v>
      </c>
      <c r="V211" t="s">
        <v>74</v>
      </c>
      <c r="W211" t="s">
        <v>74</v>
      </c>
      <c r="X211" t="s">
        <v>74</v>
      </c>
      <c r="Y211" t="s">
        <v>74</v>
      </c>
      <c r="Z211" t="s">
        <v>74</v>
      </c>
      <c r="AA211" t="s">
        <v>74</v>
      </c>
      <c r="AB211" t="s">
        <v>74</v>
      </c>
      <c r="AC211" t="s">
        <v>74</v>
      </c>
      <c r="AD211" t="s">
        <v>74</v>
      </c>
      <c r="AE211" t="s">
        <v>74</v>
      </c>
      <c r="AF211" t="s">
        <v>74</v>
      </c>
      <c r="AG211" t="s">
        <v>74</v>
      </c>
      <c r="AH211" t="s">
        <v>74</v>
      </c>
      <c r="AI211" t="s">
        <v>74</v>
      </c>
      <c r="AJ211" t="s">
        <v>74</v>
      </c>
      <c r="AK211" t="s">
        <v>74</v>
      </c>
      <c r="AL211" t="s">
        <v>74</v>
      </c>
      <c r="AM211" t="s">
        <v>74</v>
      </c>
      <c r="AN211" t="s">
        <v>74</v>
      </c>
      <c r="AO211" t="s">
        <v>2052</v>
      </c>
      <c r="AP211" t="s">
        <v>2053</v>
      </c>
      <c r="AQ211" t="s">
        <v>74</v>
      </c>
      <c r="AR211" t="s">
        <v>74</v>
      </c>
      <c r="AS211" t="s">
        <v>74</v>
      </c>
      <c r="AT211" t="s">
        <v>712</v>
      </c>
      <c r="AU211">
        <v>2022</v>
      </c>
      <c r="AV211">
        <v>64</v>
      </c>
      <c r="AW211">
        <v>4</v>
      </c>
      <c r="AX211" t="s">
        <v>74</v>
      </c>
      <c r="AY211" t="s">
        <v>74</v>
      </c>
      <c r="AZ211" t="s">
        <v>74</v>
      </c>
      <c r="BA211" t="s">
        <v>74</v>
      </c>
      <c r="BB211">
        <v>401</v>
      </c>
      <c r="BC211">
        <v>406</v>
      </c>
      <c r="BD211" t="s">
        <v>74</v>
      </c>
      <c r="BE211" t="s">
        <v>2054</v>
      </c>
      <c r="BF211" t="str">
        <f>HYPERLINK("http://dx.doi.org/10.1007/s12599-022-00765-9","http://dx.doi.org/10.1007/s12599-022-00765-9")</f>
        <v>http://dx.doi.org/10.1007/s12599-022-00765-9</v>
      </c>
      <c r="BG211" t="s">
        <v>74</v>
      </c>
      <c r="BH211" t="s">
        <v>2013</v>
      </c>
      <c r="BI211" t="s">
        <v>74</v>
      </c>
      <c r="BJ211" t="s">
        <v>74</v>
      </c>
      <c r="BK211" t="s">
        <v>74</v>
      </c>
      <c r="BL211" t="s">
        <v>74</v>
      </c>
      <c r="BM211" t="s">
        <v>74</v>
      </c>
      <c r="BN211" t="s">
        <v>74</v>
      </c>
      <c r="BO211" t="s">
        <v>74</v>
      </c>
      <c r="BP211" t="s">
        <v>74</v>
      </c>
      <c r="BQ211" t="s">
        <v>74</v>
      </c>
      <c r="BR211" t="s">
        <v>74</v>
      </c>
      <c r="BS211" t="s">
        <v>2055</v>
      </c>
      <c r="BT211" t="str">
        <f>HYPERLINK("https%3A%2F%2Fwww.webofscience.com%2Fwos%2Fwoscc%2Ffull-record%2FWOS:000837543900002","View Full Record in Web of Science")</f>
        <v>View Full Record in Web of Science</v>
      </c>
    </row>
    <row r="212" spans="1:72" x14ac:dyDescent="0.25">
      <c r="A212" t="s">
        <v>72</v>
      </c>
      <c r="B212" t="s">
        <v>2056</v>
      </c>
      <c r="C212" t="s">
        <v>74</v>
      </c>
      <c r="D212" t="s">
        <v>74</v>
      </c>
      <c r="E212" t="s">
        <v>74</v>
      </c>
      <c r="F212" t="s">
        <v>2057</v>
      </c>
      <c r="G212" t="s">
        <v>74</v>
      </c>
      <c r="H212" t="s">
        <v>74</v>
      </c>
      <c r="I212" t="s">
        <v>2058</v>
      </c>
      <c r="J212" t="s">
        <v>2059</v>
      </c>
      <c r="K212" t="s">
        <v>74</v>
      </c>
      <c r="L212" t="s">
        <v>74</v>
      </c>
      <c r="M212" t="s">
        <v>74</v>
      </c>
      <c r="N212" t="s">
        <v>74</v>
      </c>
      <c r="O212" t="s">
        <v>74</v>
      </c>
      <c r="P212" t="s">
        <v>74</v>
      </c>
      <c r="Q212" t="s">
        <v>74</v>
      </c>
      <c r="R212" t="s">
        <v>74</v>
      </c>
      <c r="S212" t="s">
        <v>74</v>
      </c>
      <c r="T212" t="s">
        <v>74</v>
      </c>
      <c r="U212" t="s">
        <v>74</v>
      </c>
      <c r="V212" t="s">
        <v>74</v>
      </c>
      <c r="W212" t="s">
        <v>74</v>
      </c>
      <c r="X212" t="s">
        <v>74</v>
      </c>
      <c r="Y212" t="s">
        <v>74</v>
      </c>
      <c r="Z212" t="s">
        <v>74</v>
      </c>
      <c r="AA212" t="s">
        <v>74</v>
      </c>
      <c r="AB212" t="s">
        <v>74</v>
      </c>
      <c r="AC212" t="s">
        <v>74</v>
      </c>
      <c r="AD212" t="s">
        <v>74</v>
      </c>
      <c r="AE212" t="s">
        <v>74</v>
      </c>
      <c r="AF212" t="s">
        <v>74</v>
      </c>
      <c r="AG212" t="s">
        <v>74</v>
      </c>
      <c r="AH212" t="s">
        <v>74</v>
      </c>
      <c r="AI212" t="s">
        <v>74</v>
      </c>
      <c r="AJ212" t="s">
        <v>74</v>
      </c>
      <c r="AK212" t="s">
        <v>74</v>
      </c>
      <c r="AL212" t="s">
        <v>74</v>
      </c>
      <c r="AM212" t="s">
        <v>74</v>
      </c>
      <c r="AN212" t="s">
        <v>74</v>
      </c>
      <c r="AO212" t="s">
        <v>2060</v>
      </c>
      <c r="AP212" t="s">
        <v>2061</v>
      </c>
      <c r="AQ212" t="s">
        <v>74</v>
      </c>
      <c r="AR212" t="s">
        <v>74</v>
      </c>
      <c r="AS212" t="s">
        <v>74</v>
      </c>
      <c r="AT212" t="s">
        <v>124</v>
      </c>
      <c r="AU212">
        <v>2022</v>
      </c>
      <c r="AV212">
        <v>12</v>
      </c>
      <c r="AW212">
        <v>4</v>
      </c>
      <c r="AX212" t="s">
        <v>74</v>
      </c>
      <c r="AY212" t="s">
        <v>74</v>
      </c>
      <c r="AZ212" t="s">
        <v>74</v>
      </c>
      <c r="BA212" t="s">
        <v>74</v>
      </c>
      <c r="BB212">
        <v>545</v>
      </c>
      <c r="BC212">
        <v>547</v>
      </c>
      <c r="BD212" t="s">
        <v>74</v>
      </c>
      <c r="BE212" t="s">
        <v>2062</v>
      </c>
      <c r="BF212" t="str">
        <f>HYPERLINK("http://dx.doi.org/10.1177/21925682221085643","http://dx.doi.org/10.1177/21925682221085643")</f>
        <v>http://dx.doi.org/10.1177/21925682221085643</v>
      </c>
      <c r="BG212" t="s">
        <v>74</v>
      </c>
      <c r="BH212" t="s">
        <v>74</v>
      </c>
      <c r="BI212" t="s">
        <v>74</v>
      </c>
      <c r="BJ212" t="s">
        <v>74</v>
      </c>
      <c r="BK212" t="s">
        <v>74</v>
      </c>
      <c r="BL212" t="s">
        <v>74</v>
      </c>
      <c r="BM212" t="s">
        <v>74</v>
      </c>
      <c r="BN212">
        <v>35506945</v>
      </c>
      <c r="BO212" t="s">
        <v>74</v>
      </c>
      <c r="BP212" t="s">
        <v>74</v>
      </c>
      <c r="BQ212" t="s">
        <v>74</v>
      </c>
      <c r="BR212" t="s">
        <v>74</v>
      </c>
      <c r="BS212" t="s">
        <v>2063</v>
      </c>
      <c r="BT212" t="str">
        <f>HYPERLINK("https%3A%2F%2Fwww.webofscience.com%2Fwos%2Fwoscc%2Ffull-record%2FWOS:000790825800001","View Full Record in Web of Science")</f>
        <v>View Full Record in Web of Science</v>
      </c>
    </row>
    <row r="213" spans="1:72" x14ac:dyDescent="0.25">
      <c r="A213" t="s">
        <v>72</v>
      </c>
      <c r="B213" t="s">
        <v>2064</v>
      </c>
      <c r="C213" t="s">
        <v>74</v>
      </c>
      <c r="D213" t="s">
        <v>74</v>
      </c>
      <c r="E213" t="s">
        <v>74</v>
      </c>
      <c r="F213" t="s">
        <v>2065</v>
      </c>
      <c r="G213" t="s">
        <v>74</v>
      </c>
      <c r="H213" t="s">
        <v>74</v>
      </c>
      <c r="I213" t="s">
        <v>2066</v>
      </c>
      <c r="J213" t="s">
        <v>2067</v>
      </c>
      <c r="K213" t="s">
        <v>74</v>
      </c>
      <c r="L213" t="s">
        <v>74</v>
      </c>
      <c r="M213" t="s">
        <v>74</v>
      </c>
      <c r="N213" t="s">
        <v>74</v>
      </c>
      <c r="O213" t="s">
        <v>74</v>
      </c>
      <c r="P213" t="s">
        <v>74</v>
      </c>
      <c r="Q213" t="s">
        <v>74</v>
      </c>
      <c r="R213" t="s">
        <v>74</v>
      </c>
      <c r="S213" t="s">
        <v>74</v>
      </c>
      <c r="T213" t="s">
        <v>74</v>
      </c>
      <c r="U213" t="s">
        <v>74</v>
      </c>
      <c r="V213" t="s">
        <v>74</v>
      </c>
      <c r="W213" t="s">
        <v>74</v>
      </c>
      <c r="X213" t="s">
        <v>74</v>
      </c>
      <c r="Y213" t="s">
        <v>74</v>
      </c>
      <c r="Z213" t="s">
        <v>74</v>
      </c>
      <c r="AA213" t="s">
        <v>74</v>
      </c>
      <c r="AB213" t="s">
        <v>74</v>
      </c>
      <c r="AC213" t="s">
        <v>74</v>
      </c>
      <c r="AD213" t="s">
        <v>74</v>
      </c>
      <c r="AE213" t="s">
        <v>74</v>
      </c>
      <c r="AF213" t="s">
        <v>74</v>
      </c>
      <c r="AG213" t="s">
        <v>74</v>
      </c>
      <c r="AH213" t="s">
        <v>74</v>
      </c>
      <c r="AI213" t="s">
        <v>74</v>
      </c>
      <c r="AJ213" t="s">
        <v>74</v>
      </c>
      <c r="AK213" t="s">
        <v>74</v>
      </c>
      <c r="AL213" t="s">
        <v>74</v>
      </c>
      <c r="AM213" t="s">
        <v>74</v>
      </c>
      <c r="AN213" t="s">
        <v>74</v>
      </c>
      <c r="AO213" t="s">
        <v>2068</v>
      </c>
      <c r="AP213" t="s">
        <v>2069</v>
      </c>
      <c r="AQ213" t="s">
        <v>74</v>
      </c>
      <c r="AR213" t="s">
        <v>74</v>
      </c>
      <c r="AS213" t="s">
        <v>74</v>
      </c>
      <c r="AT213" t="s">
        <v>2070</v>
      </c>
      <c r="AU213">
        <v>2023</v>
      </c>
      <c r="AV213">
        <v>68</v>
      </c>
      <c r="AW213">
        <v>2</v>
      </c>
      <c r="AX213" t="s">
        <v>74</v>
      </c>
      <c r="AY213" t="s">
        <v>74</v>
      </c>
      <c r="AZ213" t="s">
        <v>74</v>
      </c>
      <c r="BA213" t="s">
        <v>74</v>
      </c>
      <c r="BB213">
        <v>133</v>
      </c>
      <c r="BC213">
        <v>135</v>
      </c>
      <c r="BD213" t="s">
        <v>74</v>
      </c>
      <c r="BE213" t="s">
        <v>2071</v>
      </c>
      <c r="BF213" t="str">
        <f>HYPERLINK("http://dx.doi.org/10.1016/j.scib.2023.01.009","http://dx.doi.org/10.1016/j.scib.2023.01.009")</f>
        <v>http://dx.doi.org/10.1016/j.scib.2023.01.009</v>
      </c>
      <c r="BG213" t="s">
        <v>74</v>
      </c>
      <c r="BH213" t="s">
        <v>218</v>
      </c>
      <c r="BI213" t="s">
        <v>74</v>
      </c>
      <c r="BJ213" t="s">
        <v>74</v>
      </c>
      <c r="BK213" t="s">
        <v>74</v>
      </c>
      <c r="BL213" t="s">
        <v>74</v>
      </c>
      <c r="BM213" t="s">
        <v>74</v>
      </c>
      <c r="BN213">
        <v>36653215</v>
      </c>
      <c r="BO213" t="s">
        <v>74</v>
      </c>
      <c r="BP213" t="s">
        <v>74</v>
      </c>
      <c r="BQ213" t="s">
        <v>74</v>
      </c>
      <c r="BR213" t="s">
        <v>74</v>
      </c>
      <c r="BS213" t="s">
        <v>2072</v>
      </c>
      <c r="BT213" t="str">
        <f>HYPERLINK("https%3A%2F%2Fwww.webofscience.com%2Fwos%2Fwoscc%2Ffull-record%2FWOS:000945395400001","View Full Record in Web of Science")</f>
        <v>View Full Record in Web of Science</v>
      </c>
    </row>
    <row r="214" spans="1:72" x14ac:dyDescent="0.25">
      <c r="A214" t="s">
        <v>72</v>
      </c>
      <c r="B214" t="s">
        <v>2073</v>
      </c>
      <c r="C214" t="s">
        <v>74</v>
      </c>
      <c r="D214" t="s">
        <v>74</v>
      </c>
      <c r="E214" t="s">
        <v>74</v>
      </c>
      <c r="F214" t="s">
        <v>2074</v>
      </c>
      <c r="G214" t="s">
        <v>74</v>
      </c>
      <c r="H214" t="s">
        <v>74</v>
      </c>
      <c r="I214" t="s">
        <v>2075</v>
      </c>
      <c r="J214" t="s">
        <v>201</v>
      </c>
      <c r="K214" t="s">
        <v>74</v>
      </c>
      <c r="L214" t="s">
        <v>74</v>
      </c>
      <c r="M214" t="s">
        <v>74</v>
      </c>
      <c r="N214" t="s">
        <v>74</v>
      </c>
      <c r="O214" t="s">
        <v>74</v>
      </c>
      <c r="P214" t="s">
        <v>74</v>
      </c>
      <c r="Q214" t="s">
        <v>74</v>
      </c>
      <c r="R214" t="s">
        <v>74</v>
      </c>
      <c r="S214" t="s">
        <v>74</v>
      </c>
      <c r="T214" t="s">
        <v>74</v>
      </c>
      <c r="U214" t="s">
        <v>74</v>
      </c>
      <c r="V214" t="s">
        <v>2076</v>
      </c>
      <c r="W214" t="s">
        <v>74</v>
      </c>
      <c r="X214" t="s">
        <v>74</v>
      </c>
      <c r="Y214" t="s">
        <v>74</v>
      </c>
      <c r="Z214" t="s">
        <v>74</v>
      </c>
      <c r="AA214" t="s">
        <v>2077</v>
      </c>
      <c r="AB214" t="s">
        <v>2078</v>
      </c>
      <c r="AC214" t="s">
        <v>74</v>
      </c>
      <c r="AD214" t="s">
        <v>74</v>
      </c>
      <c r="AE214" t="s">
        <v>74</v>
      </c>
      <c r="AF214" t="s">
        <v>74</v>
      </c>
      <c r="AG214" t="s">
        <v>74</v>
      </c>
      <c r="AH214" t="s">
        <v>74</v>
      </c>
      <c r="AI214" t="s">
        <v>74</v>
      </c>
      <c r="AJ214" t="s">
        <v>74</v>
      </c>
      <c r="AK214" t="s">
        <v>74</v>
      </c>
      <c r="AL214" t="s">
        <v>74</v>
      </c>
      <c r="AM214" t="s">
        <v>74</v>
      </c>
      <c r="AN214" t="s">
        <v>74</v>
      </c>
      <c r="AO214" t="s">
        <v>205</v>
      </c>
      <c r="AP214" t="s">
        <v>74</v>
      </c>
      <c r="AQ214" t="s">
        <v>74</v>
      </c>
      <c r="AR214" t="s">
        <v>74</v>
      </c>
      <c r="AS214" t="s">
        <v>74</v>
      </c>
      <c r="AT214" t="s">
        <v>74</v>
      </c>
      <c r="AU214">
        <v>2022</v>
      </c>
      <c r="AV214">
        <v>10</v>
      </c>
      <c r="AW214" t="s">
        <v>74</v>
      </c>
      <c r="AX214" t="s">
        <v>74</v>
      </c>
      <c r="AY214" t="s">
        <v>74</v>
      </c>
      <c r="AZ214" t="s">
        <v>74</v>
      </c>
      <c r="BA214" t="s">
        <v>74</v>
      </c>
      <c r="BB214">
        <v>43421</v>
      </c>
      <c r="BC214">
        <v>43434</v>
      </c>
      <c r="BD214" t="s">
        <v>74</v>
      </c>
      <c r="BE214" t="s">
        <v>2079</v>
      </c>
      <c r="BF214" t="str">
        <f>HYPERLINK("http://dx.doi.org/10.1109/ACCESS.2022.3169285","http://dx.doi.org/10.1109/ACCESS.2022.3169285")</f>
        <v>http://dx.doi.org/10.1109/ACCESS.2022.3169285</v>
      </c>
      <c r="BG214" t="s">
        <v>74</v>
      </c>
      <c r="BH214" t="s">
        <v>74</v>
      </c>
      <c r="BI214" t="s">
        <v>74</v>
      </c>
      <c r="BJ214" t="s">
        <v>74</v>
      </c>
      <c r="BK214" t="s">
        <v>74</v>
      </c>
      <c r="BL214" t="s">
        <v>74</v>
      </c>
      <c r="BM214" t="s">
        <v>74</v>
      </c>
      <c r="BN214" t="s">
        <v>74</v>
      </c>
      <c r="BO214" t="s">
        <v>74</v>
      </c>
      <c r="BP214" t="s">
        <v>74</v>
      </c>
      <c r="BQ214" t="s">
        <v>74</v>
      </c>
      <c r="BR214" t="s">
        <v>74</v>
      </c>
      <c r="BS214" t="s">
        <v>2080</v>
      </c>
      <c r="BT214" t="str">
        <f>HYPERLINK("https%3A%2F%2Fwww.webofscience.com%2Fwos%2Fwoscc%2Ffull-record%2FWOS:000788901700001","View Full Record in Web of Science")</f>
        <v>View Full Record in Web of Science</v>
      </c>
    </row>
    <row r="215" spans="1:72" x14ac:dyDescent="0.25">
      <c r="A215" t="s">
        <v>72</v>
      </c>
      <c r="B215" t="s">
        <v>2081</v>
      </c>
      <c r="C215" t="s">
        <v>74</v>
      </c>
      <c r="D215" t="s">
        <v>74</v>
      </c>
      <c r="E215" t="s">
        <v>74</v>
      </c>
      <c r="F215" t="s">
        <v>2082</v>
      </c>
      <c r="G215" t="s">
        <v>74</v>
      </c>
      <c r="H215" t="s">
        <v>74</v>
      </c>
      <c r="I215" t="s">
        <v>2083</v>
      </c>
      <c r="J215" t="s">
        <v>305</v>
      </c>
      <c r="K215" t="s">
        <v>74</v>
      </c>
      <c r="L215" t="s">
        <v>74</v>
      </c>
      <c r="M215" t="s">
        <v>74</v>
      </c>
      <c r="N215" t="s">
        <v>74</v>
      </c>
      <c r="O215" t="s">
        <v>74</v>
      </c>
      <c r="P215" t="s">
        <v>74</v>
      </c>
      <c r="Q215" t="s">
        <v>74</v>
      </c>
      <c r="R215" t="s">
        <v>74</v>
      </c>
      <c r="S215" t="s">
        <v>74</v>
      </c>
      <c r="T215" t="s">
        <v>74</v>
      </c>
      <c r="U215" t="s">
        <v>74</v>
      </c>
      <c r="V215" t="s">
        <v>2084</v>
      </c>
      <c r="W215" t="s">
        <v>74</v>
      </c>
      <c r="X215" t="s">
        <v>74</v>
      </c>
      <c r="Y215" t="s">
        <v>74</v>
      </c>
      <c r="Z215" t="s">
        <v>74</v>
      </c>
      <c r="AA215" t="s">
        <v>2085</v>
      </c>
      <c r="AB215" t="s">
        <v>2086</v>
      </c>
      <c r="AC215" t="s">
        <v>74</v>
      </c>
      <c r="AD215" t="s">
        <v>74</v>
      </c>
      <c r="AE215" t="s">
        <v>74</v>
      </c>
      <c r="AF215" t="s">
        <v>74</v>
      </c>
      <c r="AG215" t="s">
        <v>74</v>
      </c>
      <c r="AH215" t="s">
        <v>74</v>
      </c>
      <c r="AI215" t="s">
        <v>74</v>
      </c>
      <c r="AJ215" t="s">
        <v>74</v>
      </c>
      <c r="AK215" t="s">
        <v>74</v>
      </c>
      <c r="AL215" t="s">
        <v>74</v>
      </c>
      <c r="AM215" t="s">
        <v>74</v>
      </c>
      <c r="AN215" t="s">
        <v>74</v>
      </c>
      <c r="AO215" t="s">
        <v>307</v>
      </c>
      <c r="AP215" t="s">
        <v>308</v>
      </c>
      <c r="AQ215" t="s">
        <v>74</v>
      </c>
      <c r="AR215" t="s">
        <v>74</v>
      </c>
      <c r="AS215" t="s">
        <v>74</v>
      </c>
      <c r="AT215" t="s">
        <v>1046</v>
      </c>
      <c r="AU215">
        <v>2022</v>
      </c>
      <c r="AV215">
        <v>24</v>
      </c>
      <c r="AW215">
        <v>3</v>
      </c>
      <c r="AX215" t="s">
        <v>74</v>
      </c>
      <c r="AY215" t="s">
        <v>74</v>
      </c>
      <c r="AZ215" t="s">
        <v>74</v>
      </c>
      <c r="BA215" t="s">
        <v>74</v>
      </c>
      <c r="BB215">
        <v>52</v>
      </c>
      <c r="BC215">
        <v>59</v>
      </c>
      <c r="BD215" t="s">
        <v>74</v>
      </c>
      <c r="BE215" t="s">
        <v>2087</v>
      </c>
      <c r="BF215" t="str">
        <f>HYPERLINK("http://dx.doi.org/10.1109/MITP.2022.3177292","http://dx.doi.org/10.1109/MITP.2022.3177292")</f>
        <v>http://dx.doi.org/10.1109/MITP.2022.3177292</v>
      </c>
      <c r="BG215" t="s">
        <v>74</v>
      </c>
      <c r="BH215" t="s">
        <v>74</v>
      </c>
      <c r="BI215" t="s">
        <v>74</v>
      </c>
      <c r="BJ215" t="s">
        <v>74</v>
      </c>
      <c r="BK215" t="s">
        <v>74</v>
      </c>
      <c r="BL215" t="s">
        <v>74</v>
      </c>
      <c r="BM215" t="s">
        <v>74</v>
      </c>
      <c r="BN215" t="s">
        <v>74</v>
      </c>
      <c r="BO215" t="s">
        <v>74</v>
      </c>
      <c r="BP215" t="s">
        <v>74</v>
      </c>
      <c r="BQ215" t="s">
        <v>74</v>
      </c>
      <c r="BR215" t="s">
        <v>74</v>
      </c>
      <c r="BS215" t="s">
        <v>2088</v>
      </c>
      <c r="BT215" t="str">
        <f>HYPERLINK("https%3A%2F%2Fwww.webofscience.com%2Fwos%2Fwoscc%2Ffull-record%2FWOS:000819825800020","View Full Record in Web of Science")</f>
        <v>View Full Record in Web of Science</v>
      </c>
    </row>
    <row r="216" spans="1:72" x14ac:dyDescent="0.25">
      <c r="A216" t="s">
        <v>72</v>
      </c>
      <c r="B216" t="s">
        <v>2089</v>
      </c>
      <c r="C216" t="s">
        <v>74</v>
      </c>
      <c r="D216" t="s">
        <v>74</v>
      </c>
      <c r="E216" t="s">
        <v>74</v>
      </c>
      <c r="F216" t="s">
        <v>2090</v>
      </c>
      <c r="G216" t="s">
        <v>74</v>
      </c>
      <c r="H216" t="s">
        <v>74</v>
      </c>
      <c r="I216" t="s">
        <v>2091</v>
      </c>
      <c r="J216" t="s">
        <v>513</v>
      </c>
      <c r="K216" t="s">
        <v>74</v>
      </c>
      <c r="L216" t="s">
        <v>74</v>
      </c>
      <c r="M216" t="s">
        <v>74</v>
      </c>
      <c r="N216" t="s">
        <v>74</v>
      </c>
      <c r="O216" t="s">
        <v>74</v>
      </c>
      <c r="P216" t="s">
        <v>74</v>
      </c>
      <c r="Q216" t="s">
        <v>74</v>
      </c>
      <c r="R216" t="s">
        <v>74</v>
      </c>
      <c r="S216" t="s">
        <v>74</v>
      </c>
      <c r="T216" t="s">
        <v>74</v>
      </c>
      <c r="U216" t="s">
        <v>74</v>
      </c>
      <c r="V216" t="s">
        <v>2092</v>
      </c>
      <c r="W216" t="s">
        <v>74</v>
      </c>
      <c r="X216" t="s">
        <v>74</v>
      </c>
      <c r="Y216" t="s">
        <v>74</v>
      </c>
      <c r="Z216" t="s">
        <v>74</v>
      </c>
      <c r="AA216" t="s">
        <v>2093</v>
      </c>
      <c r="AB216" t="s">
        <v>2094</v>
      </c>
      <c r="AC216" t="s">
        <v>74</v>
      </c>
      <c r="AD216" t="s">
        <v>74</v>
      </c>
      <c r="AE216" t="s">
        <v>74</v>
      </c>
      <c r="AF216" t="s">
        <v>74</v>
      </c>
      <c r="AG216" t="s">
        <v>74</v>
      </c>
      <c r="AH216" t="s">
        <v>74</v>
      </c>
      <c r="AI216" t="s">
        <v>74</v>
      </c>
      <c r="AJ216" t="s">
        <v>74</v>
      </c>
      <c r="AK216" t="s">
        <v>74</v>
      </c>
      <c r="AL216" t="s">
        <v>74</v>
      </c>
      <c r="AM216" t="s">
        <v>74</v>
      </c>
      <c r="AN216" t="s">
        <v>74</v>
      </c>
      <c r="AO216" t="s">
        <v>74</v>
      </c>
      <c r="AP216" t="s">
        <v>517</v>
      </c>
      <c r="AQ216" t="s">
        <v>74</v>
      </c>
      <c r="AR216" t="s">
        <v>74</v>
      </c>
      <c r="AS216" t="s">
        <v>74</v>
      </c>
      <c r="AT216" t="s">
        <v>175</v>
      </c>
      <c r="AU216">
        <v>2023</v>
      </c>
      <c r="AV216">
        <v>11</v>
      </c>
      <c r="AW216">
        <v>2</v>
      </c>
      <c r="AX216" t="s">
        <v>74</v>
      </c>
      <c r="AY216" t="s">
        <v>74</v>
      </c>
      <c r="AZ216" t="s">
        <v>74</v>
      </c>
      <c r="BA216" t="s">
        <v>74</v>
      </c>
      <c r="BB216" t="s">
        <v>74</v>
      </c>
      <c r="BC216" t="s">
        <v>74</v>
      </c>
      <c r="BD216">
        <v>429</v>
      </c>
      <c r="BE216" t="s">
        <v>2095</v>
      </c>
      <c r="BF216" t="str">
        <f>HYPERLINK("http://dx.doi.org/10.3390/math11020429","http://dx.doi.org/10.3390/math11020429")</f>
        <v>http://dx.doi.org/10.3390/math11020429</v>
      </c>
      <c r="BG216" t="s">
        <v>74</v>
      </c>
      <c r="BH216" t="s">
        <v>74</v>
      </c>
      <c r="BI216" t="s">
        <v>74</v>
      </c>
      <c r="BJ216" t="s">
        <v>74</v>
      </c>
      <c r="BK216" t="s">
        <v>74</v>
      </c>
      <c r="BL216" t="s">
        <v>74</v>
      </c>
      <c r="BM216" t="s">
        <v>74</v>
      </c>
      <c r="BN216" t="s">
        <v>74</v>
      </c>
      <c r="BO216" t="s">
        <v>74</v>
      </c>
      <c r="BP216" t="s">
        <v>74</v>
      </c>
      <c r="BQ216" t="s">
        <v>74</v>
      </c>
      <c r="BR216" t="s">
        <v>74</v>
      </c>
      <c r="BS216" t="s">
        <v>2096</v>
      </c>
      <c r="BT216" t="str">
        <f>HYPERLINK("https%3A%2F%2Fwww.webofscience.com%2Fwos%2Fwoscc%2Ffull-record%2FWOS:000927732600001","View Full Record in Web of Science")</f>
        <v>View Full Record in Web of Science</v>
      </c>
    </row>
    <row r="217" spans="1:72" x14ac:dyDescent="0.25">
      <c r="A217" t="s">
        <v>84</v>
      </c>
      <c r="B217" t="s">
        <v>2097</v>
      </c>
      <c r="C217" t="s">
        <v>74</v>
      </c>
      <c r="D217" t="s">
        <v>74</v>
      </c>
      <c r="E217" t="s">
        <v>86</v>
      </c>
      <c r="F217" t="s">
        <v>2098</v>
      </c>
      <c r="G217" t="s">
        <v>74</v>
      </c>
      <c r="H217" t="s">
        <v>74</v>
      </c>
      <c r="I217" t="s">
        <v>2099</v>
      </c>
      <c r="J217" t="s">
        <v>2100</v>
      </c>
      <c r="K217" t="s">
        <v>74</v>
      </c>
      <c r="L217" t="s">
        <v>74</v>
      </c>
      <c r="M217" t="s">
        <v>74</v>
      </c>
      <c r="N217" t="s">
        <v>74</v>
      </c>
      <c r="O217" t="s">
        <v>2101</v>
      </c>
      <c r="P217" t="s">
        <v>2102</v>
      </c>
      <c r="Q217" t="s">
        <v>2103</v>
      </c>
      <c r="R217" t="s">
        <v>86</v>
      </c>
      <c r="S217" t="s">
        <v>74</v>
      </c>
      <c r="T217" t="s">
        <v>74</v>
      </c>
      <c r="U217" t="s">
        <v>74</v>
      </c>
      <c r="V217" t="s">
        <v>2104</v>
      </c>
      <c r="W217" t="s">
        <v>74</v>
      </c>
      <c r="X217" t="s">
        <v>74</v>
      </c>
      <c r="Y217" t="s">
        <v>74</v>
      </c>
      <c r="Z217" t="s">
        <v>74</v>
      </c>
      <c r="AA217" t="s">
        <v>74</v>
      </c>
      <c r="AB217" t="s">
        <v>74</v>
      </c>
      <c r="AC217" t="s">
        <v>74</v>
      </c>
      <c r="AD217" t="s">
        <v>74</v>
      </c>
      <c r="AE217" t="s">
        <v>74</v>
      </c>
      <c r="AF217" t="s">
        <v>74</v>
      </c>
      <c r="AG217" t="s">
        <v>74</v>
      </c>
      <c r="AH217" t="s">
        <v>74</v>
      </c>
      <c r="AI217" t="s">
        <v>74</v>
      </c>
      <c r="AJ217" t="s">
        <v>74</v>
      </c>
      <c r="AK217" t="s">
        <v>74</v>
      </c>
      <c r="AL217" t="s">
        <v>74</v>
      </c>
      <c r="AM217" t="s">
        <v>74</v>
      </c>
      <c r="AN217" t="s">
        <v>74</v>
      </c>
      <c r="AO217" t="s">
        <v>74</v>
      </c>
      <c r="AP217" t="s">
        <v>74</v>
      </c>
      <c r="AQ217" t="s">
        <v>2105</v>
      </c>
      <c r="AR217" t="s">
        <v>74</v>
      </c>
      <c r="AS217" t="s">
        <v>74</v>
      </c>
      <c r="AT217" t="s">
        <v>74</v>
      </c>
      <c r="AU217">
        <v>2022</v>
      </c>
      <c r="AV217" t="s">
        <v>74</v>
      </c>
      <c r="AW217" t="s">
        <v>74</v>
      </c>
      <c r="AX217" t="s">
        <v>74</v>
      </c>
      <c r="AY217" t="s">
        <v>74</v>
      </c>
      <c r="AZ217" t="s">
        <v>74</v>
      </c>
      <c r="BA217" t="s">
        <v>74</v>
      </c>
      <c r="BB217" t="s">
        <v>74</v>
      </c>
      <c r="BC217" t="s">
        <v>74</v>
      </c>
      <c r="BD217" t="s">
        <v>74</v>
      </c>
      <c r="BE217" t="s">
        <v>2106</v>
      </c>
      <c r="BF217" t="str">
        <f>HYPERLINK("http://dx.doi.org/10.1109/IETC54973.2022.9796765","http://dx.doi.org/10.1109/IETC54973.2022.9796765")</f>
        <v>http://dx.doi.org/10.1109/IETC54973.2022.9796765</v>
      </c>
      <c r="BG217" t="s">
        <v>74</v>
      </c>
      <c r="BH217" t="s">
        <v>74</v>
      </c>
      <c r="BI217" t="s">
        <v>74</v>
      </c>
      <c r="BJ217" t="s">
        <v>74</v>
      </c>
      <c r="BK217" t="s">
        <v>74</v>
      </c>
      <c r="BL217" t="s">
        <v>74</v>
      </c>
      <c r="BM217" t="s">
        <v>74</v>
      </c>
      <c r="BN217" t="s">
        <v>74</v>
      </c>
      <c r="BO217" t="s">
        <v>74</v>
      </c>
      <c r="BP217" t="s">
        <v>74</v>
      </c>
      <c r="BQ217" t="s">
        <v>74</v>
      </c>
      <c r="BR217" t="s">
        <v>74</v>
      </c>
      <c r="BS217" t="s">
        <v>2107</v>
      </c>
      <c r="BT217" t="str">
        <f>HYPERLINK("https%3A%2F%2Fwww.webofscience.com%2Fwos%2Fwoscc%2Ffull-record%2FWOS:000852615700036","View Full Record in Web of Science")</f>
        <v>View Full Record in Web of Science</v>
      </c>
    </row>
    <row r="218" spans="1:72" x14ac:dyDescent="0.25">
      <c r="A218" t="s">
        <v>72</v>
      </c>
      <c r="B218" t="s">
        <v>2108</v>
      </c>
      <c r="C218" t="s">
        <v>74</v>
      </c>
      <c r="D218" t="s">
        <v>74</v>
      </c>
      <c r="E218" t="s">
        <v>74</v>
      </c>
      <c r="F218" t="s">
        <v>2109</v>
      </c>
      <c r="G218" t="s">
        <v>74</v>
      </c>
      <c r="H218" t="s">
        <v>74</v>
      </c>
      <c r="I218" t="s">
        <v>2110</v>
      </c>
      <c r="J218" t="s">
        <v>1360</v>
      </c>
      <c r="K218" t="s">
        <v>74</v>
      </c>
      <c r="L218" t="s">
        <v>74</v>
      </c>
      <c r="M218" t="s">
        <v>74</v>
      </c>
      <c r="N218" t="s">
        <v>74</v>
      </c>
      <c r="O218" t="s">
        <v>74</v>
      </c>
      <c r="P218" t="s">
        <v>74</v>
      </c>
      <c r="Q218" t="s">
        <v>74</v>
      </c>
      <c r="R218" t="s">
        <v>74</v>
      </c>
      <c r="S218" t="s">
        <v>74</v>
      </c>
      <c r="T218" t="s">
        <v>74</v>
      </c>
      <c r="U218" t="s">
        <v>74</v>
      </c>
      <c r="V218" t="s">
        <v>74</v>
      </c>
      <c r="W218" t="s">
        <v>74</v>
      </c>
      <c r="X218" t="s">
        <v>74</v>
      </c>
      <c r="Y218" t="s">
        <v>74</v>
      </c>
      <c r="Z218" t="s">
        <v>74</v>
      </c>
      <c r="AA218" t="s">
        <v>74</v>
      </c>
      <c r="AB218" t="s">
        <v>74</v>
      </c>
      <c r="AC218" t="s">
        <v>74</v>
      </c>
      <c r="AD218" t="s">
        <v>74</v>
      </c>
      <c r="AE218" t="s">
        <v>74</v>
      </c>
      <c r="AF218" t="s">
        <v>74</v>
      </c>
      <c r="AG218" t="s">
        <v>74</v>
      </c>
      <c r="AH218" t="s">
        <v>74</v>
      </c>
      <c r="AI218" t="s">
        <v>74</v>
      </c>
      <c r="AJ218" t="s">
        <v>74</v>
      </c>
      <c r="AK218" t="s">
        <v>74</v>
      </c>
      <c r="AL218" t="s">
        <v>74</v>
      </c>
      <c r="AM218" t="s">
        <v>74</v>
      </c>
      <c r="AN218" t="s">
        <v>74</v>
      </c>
      <c r="AO218" t="s">
        <v>1363</v>
      </c>
      <c r="AP218" t="s">
        <v>1364</v>
      </c>
      <c r="AQ218" t="s">
        <v>74</v>
      </c>
      <c r="AR218" t="s">
        <v>74</v>
      </c>
      <c r="AS218" t="s">
        <v>74</v>
      </c>
      <c r="AT218" t="s">
        <v>74</v>
      </c>
      <c r="AU218" t="s">
        <v>74</v>
      </c>
      <c r="AV218" t="s">
        <v>74</v>
      </c>
      <c r="AW218" t="s">
        <v>74</v>
      </c>
      <c r="AX218" t="s">
        <v>74</v>
      </c>
      <c r="AY218" t="s">
        <v>74</v>
      </c>
      <c r="AZ218" t="s">
        <v>74</v>
      </c>
      <c r="BA218" t="s">
        <v>74</v>
      </c>
      <c r="BB218" t="s">
        <v>74</v>
      </c>
      <c r="BC218" t="s">
        <v>74</v>
      </c>
      <c r="BD218" t="s">
        <v>74</v>
      </c>
      <c r="BE218" t="s">
        <v>2111</v>
      </c>
      <c r="BF218" t="str">
        <f>HYPERLINK("http://dx.doi.org/10.1093/eurheartj/ehad156","http://dx.doi.org/10.1093/eurheartj/ehad156")</f>
        <v>http://dx.doi.org/10.1093/eurheartj/ehad156</v>
      </c>
      <c r="BG218" t="s">
        <v>74</v>
      </c>
      <c r="BH218" t="s">
        <v>611</v>
      </c>
      <c r="BI218" t="s">
        <v>74</v>
      </c>
      <c r="BJ218" t="s">
        <v>74</v>
      </c>
      <c r="BK218" t="s">
        <v>74</v>
      </c>
      <c r="BL218" t="s">
        <v>74</v>
      </c>
      <c r="BM218" t="s">
        <v>74</v>
      </c>
      <c r="BN218">
        <v>37061821</v>
      </c>
      <c r="BO218" t="s">
        <v>74</v>
      </c>
      <c r="BP218" t="s">
        <v>74</v>
      </c>
      <c r="BQ218" t="s">
        <v>74</v>
      </c>
      <c r="BR218" t="s">
        <v>74</v>
      </c>
      <c r="BS218" t="s">
        <v>2112</v>
      </c>
      <c r="BT218" t="str">
        <f>HYPERLINK("https%3A%2F%2Fwww.webofscience.com%2Fwos%2Fwoscc%2Ffull-record%2FWOS:000972727600001","View Full Record in Web of Science")</f>
        <v>View Full Record in Web of Science</v>
      </c>
    </row>
    <row r="219" spans="1:72" x14ac:dyDescent="0.25">
      <c r="A219" t="s">
        <v>72</v>
      </c>
      <c r="B219" t="s">
        <v>2113</v>
      </c>
      <c r="C219" t="s">
        <v>74</v>
      </c>
      <c r="D219" t="s">
        <v>74</v>
      </c>
      <c r="E219" t="s">
        <v>74</v>
      </c>
      <c r="F219" t="s">
        <v>2114</v>
      </c>
      <c r="G219" t="s">
        <v>74</v>
      </c>
      <c r="H219" t="s">
        <v>74</v>
      </c>
      <c r="I219" t="s">
        <v>2115</v>
      </c>
      <c r="J219" t="s">
        <v>421</v>
      </c>
      <c r="K219" t="s">
        <v>74</v>
      </c>
      <c r="L219" t="s">
        <v>74</v>
      </c>
      <c r="M219" t="s">
        <v>74</v>
      </c>
      <c r="N219" t="s">
        <v>74</v>
      </c>
      <c r="O219" t="s">
        <v>74</v>
      </c>
      <c r="P219" t="s">
        <v>74</v>
      </c>
      <c r="Q219" t="s">
        <v>74</v>
      </c>
      <c r="R219" t="s">
        <v>74</v>
      </c>
      <c r="S219" t="s">
        <v>74</v>
      </c>
      <c r="T219" t="s">
        <v>74</v>
      </c>
      <c r="U219" t="s">
        <v>74</v>
      </c>
      <c r="V219" t="s">
        <v>2116</v>
      </c>
      <c r="W219" t="s">
        <v>74</v>
      </c>
      <c r="X219" t="s">
        <v>74</v>
      </c>
      <c r="Y219" t="s">
        <v>74</v>
      </c>
      <c r="Z219" t="s">
        <v>74</v>
      </c>
      <c r="AA219" t="s">
        <v>74</v>
      </c>
      <c r="AB219" t="s">
        <v>2117</v>
      </c>
      <c r="AC219" t="s">
        <v>74</v>
      </c>
      <c r="AD219" t="s">
        <v>74</v>
      </c>
      <c r="AE219" t="s">
        <v>74</v>
      </c>
      <c r="AF219" t="s">
        <v>74</v>
      </c>
      <c r="AG219" t="s">
        <v>74</v>
      </c>
      <c r="AH219" t="s">
        <v>74</v>
      </c>
      <c r="AI219" t="s">
        <v>74</v>
      </c>
      <c r="AJ219" t="s">
        <v>74</v>
      </c>
      <c r="AK219" t="s">
        <v>74</v>
      </c>
      <c r="AL219" t="s">
        <v>74</v>
      </c>
      <c r="AM219" t="s">
        <v>74</v>
      </c>
      <c r="AN219" t="s">
        <v>74</v>
      </c>
      <c r="AO219" t="s">
        <v>423</v>
      </c>
      <c r="AP219" t="s">
        <v>424</v>
      </c>
      <c r="AQ219" t="s">
        <v>74</v>
      </c>
      <c r="AR219" t="s">
        <v>74</v>
      </c>
      <c r="AS219" t="s">
        <v>74</v>
      </c>
      <c r="AT219" t="s">
        <v>74</v>
      </c>
      <c r="AU219" t="s">
        <v>74</v>
      </c>
      <c r="AV219" t="s">
        <v>74</v>
      </c>
      <c r="AW219" t="s">
        <v>74</v>
      </c>
      <c r="AX219" t="s">
        <v>74</v>
      </c>
      <c r="AY219" t="s">
        <v>74</v>
      </c>
      <c r="AZ219" t="s">
        <v>74</v>
      </c>
      <c r="BA219" t="s">
        <v>74</v>
      </c>
      <c r="BB219" t="s">
        <v>74</v>
      </c>
      <c r="BC219" t="s">
        <v>74</v>
      </c>
      <c r="BD219" t="s">
        <v>74</v>
      </c>
      <c r="BE219" t="s">
        <v>2118</v>
      </c>
      <c r="BF219" t="str">
        <f>HYPERLINK("http://dx.doi.org/10.1109/TSMC.2022.3233588","http://dx.doi.org/10.1109/TSMC.2022.3233588")</f>
        <v>http://dx.doi.org/10.1109/TSMC.2022.3233588</v>
      </c>
      <c r="BG219" t="s">
        <v>74</v>
      </c>
      <c r="BH219" t="s">
        <v>151</v>
      </c>
      <c r="BI219" t="s">
        <v>74</v>
      </c>
      <c r="BJ219" t="s">
        <v>74</v>
      </c>
      <c r="BK219" t="s">
        <v>74</v>
      </c>
      <c r="BL219" t="s">
        <v>74</v>
      </c>
      <c r="BM219" t="s">
        <v>74</v>
      </c>
      <c r="BN219" t="s">
        <v>74</v>
      </c>
      <c r="BO219" t="s">
        <v>74</v>
      </c>
      <c r="BP219" t="s">
        <v>74</v>
      </c>
      <c r="BQ219" t="s">
        <v>74</v>
      </c>
      <c r="BR219" t="s">
        <v>74</v>
      </c>
      <c r="BS219" t="s">
        <v>2119</v>
      </c>
      <c r="BT219" t="str">
        <f>HYPERLINK("https%3A%2F%2Fwww.webofscience.com%2Fwos%2Fwoscc%2Ffull-record%2FWOS:000920490000001","View Full Record in Web of Science")</f>
        <v>View Full Record in Web of Science</v>
      </c>
    </row>
    <row r="220" spans="1:72" x14ac:dyDescent="0.25">
      <c r="A220" t="s">
        <v>72</v>
      </c>
      <c r="B220" t="s">
        <v>2120</v>
      </c>
      <c r="C220" t="s">
        <v>74</v>
      </c>
      <c r="D220" t="s">
        <v>74</v>
      </c>
      <c r="E220" t="s">
        <v>74</v>
      </c>
      <c r="F220" t="s">
        <v>2121</v>
      </c>
      <c r="G220" t="s">
        <v>74</v>
      </c>
      <c r="H220" t="s">
        <v>74</v>
      </c>
      <c r="I220" t="s">
        <v>2122</v>
      </c>
      <c r="J220" t="s">
        <v>421</v>
      </c>
      <c r="K220" t="s">
        <v>74</v>
      </c>
      <c r="L220" t="s">
        <v>74</v>
      </c>
      <c r="M220" t="s">
        <v>74</v>
      </c>
      <c r="N220" t="s">
        <v>74</v>
      </c>
      <c r="O220" t="s">
        <v>74</v>
      </c>
      <c r="P220" t="s">
        <v>74</v>
      </c>
      <c r="Q220" t="s">
        <v>74</v>
      </c>
      <c r="R220" t="s">
        <v>74</v>
      </c>
      <c r="S220" t="s">
        <v>74</v>
      </c>
      <c r="T220" t="s">
        <v>74</v>
      </c>
      <c r="U220" t="s">
        <v>74</v>
      </c>
      <c r="V220" t="s">
        <v>2123</v>
      </c>
      <c r="W220" t="s">
        <v>74</v>
      </c>
      <c r="X220" t="s">
        <v>74</v>
      </c>
      <c r="Y220" t="s">
        <v>74</v>
      </c>
      <c r="Z220" t="s">
        <v>74</v>
      </c>
      <c r="AA220" t="s">
        <v>74</v>
      </c>
      <c r="AB220" t="s">
        <v>74</v>
      </c>
      <c r="AC220" t="s">
        <v>74</v>
      </c>
      <c r="AD220" t="s">
        <v>74</v>
      </c>
      <c r="AE220" t="s">
        <v>74</v>
      </c>
      <c r="AF220" t="s">
        <v>74</v>
      </c>
      <c r="AG220" t="s">
        <v>74</v>
      </c>
      <c r="AH220" t="s">
        <v>74</v>
      </c>
      <c r="AI220" t="s">
        <v>74</v>
      </c>
      <c r="AJ220" t="s">
        <v>74</v>
      </c>
      <c r="AK220" t="s">
        <v>74</v>
      </c>
      <c r="AL220" t="s">
        <v>74</v>
      </c>
      <c r="AM220" t="s">
        <v>74</v>
      </c>
      <c r="AN220" t="s">
        <v>74</v>
      </c>
      <c r="AO220" t="s">
        <v>423</v>
      </c>
      <c r="AP220" t="s">
        <v>424</v>
      </c>
      <c r="AQ220" t="s">
        <v>74</v>
      </c>
      <c r="AR220" t="s">
        <v>74</v>
      </c>
      <c r="AS220" t="s">
        <v>74</v>
      </c>
      <c r="AT220" t="s">
        <v>74</v>
      </c>
      <c r="AU220" t="s">
        <v>74</v>
      </c>
      <c r="AV220" t="s">
        <v>74</v>
      </c>
      <c r="AW220" t="s">
        <v>74</v>
      </c>
      <c r="AX220" t="s">
        <v>74</v>
      </c>
      <c r="AY220" t="s">
        <v>74</v>
      </c>
      <c r="AZ220" t="s">
        <v>74</v>
      </c>
      <c r="BA220" t="s">
        <v>74</v>
      </c>
      <c r="BB220" t="s">
        <v>74</v>
      </c>
      <c r="BC220" t="s">
        <v>74</v>
      </c>
      <c r="BD220" t="s">
        <v>74</v>
      </c>
      <c r="BE220" t="s">
        <v>2124</v>
      </c>
      <c r="BF220" t="str">
        <f>HYPERLINK("http://dx.doi.org/10.1109/TSMC.2022.3230406","http://dx.doi.org/10.1109/TSMC.2022.3230406")</f>
        <v>http://dx.doi.org/10.1109/TSMC.2022.3230406</v>
      </c>
      <c r="BG220" t="s">
        <v>74</v>
      </c>
      <c r="BH220" t="s">
        <v>151</v>
      </c>
      <c r="BI220" t="s">
        <v>74</v>
      </c>
      <c r="BJ220" t="s">
        <v>74</v>
      </c>
      <c r="BK220" t="s">
        <v>74</v>
      </c>
      <c r="BL220" t="s">
        <v>74</v>
      </c>
      <c r="BM220" t="s">
        <v>74</v>
      </c>
      <c r="BN220" t="s">
        <v>74</v>
      </c>
      <c r="BO220" t="s">
        <v>74</v>
      </c>
      <c r="BP220" t="s">
        <v>74</v>
      </c>
      <c r="BQ220" t="s">
        <v>74</v>
      </c>
      <c r="BR220" t="s">
        <v>74</v>
      </c>
      <c r="BS220" t="s">
        <v>2125</v>
      </c>
      <c r="BT220" t="str">
        <f>HYPERLINK("https%3A%2F%2Fwww.webofscience.com%2Fwos%2Fwoscc%2Ffull-record%2FWOS:000909991700001","View Full Record in Web of Science")</f>
        <v>View Full Record in Web of Science</v>
      </c>
    </row>
    <row r="221" spans="1:72" x14ac:dyDescent="0.25">
      <c r="A221" t="s">
        <v>72</v>
      </c>
      <c r="B221" t="s">
        <v>2126</v>
      </c>
      <c r="C221" t="s">
        <v>74</v>
      </c>
      <c r="D221" t="s">
        <v>74</v>
      </c>
      <c r="E221" t="s">
        <v>74</v>
      </c>
      <c r="F221" t="s">
        <v>2127</v>
      </c>
      <c r="G221" t="s">
        <v>74</v>
      </c>
      <c r="H221" t="s">
        <v>74</v>
      </c>
      <c r="I221" t="s">
        <v>2128</v>
      </c>
      <c r="J221" t="s">
        <v>77</v>
      </c>
      <c r="K221" t="s">
        <v>74</v>
      </c>
      <c r="L221" t="s">
        <v>74</v>
      </c>
      <c r="M221" t="s">
        <v>74</v>
      </c>
      <c r="N221" t="s">
        <v>74</v>
      </c>
      <c r="O221" t="s">
        <v>74</v>
      </c>
      <c r="P221" t="s">
        <v>74</v>
      </c>
      <c r="Q221" t="s">
        <v>74</v>
      </c>
      <c r="R221" t="s">
        <v>74</v>
      </c>
      <c r="S221" t="s">
        <v>74</v>
      </c>
      <c r="T221" t="s">
        <v>74</v>
      </c>
      <c r="U221" t="s">
        <v>74</v>
      </c>
      <c r="V221" t="s">
        <v>2129</v>
      </c>
      <c r="W221" t="s">
        <v>74</v>
      </c>
      <c r="X221" t="s">
        <v>74</v>
      </c>
      <c r="Y221" t="s">
        <v>74</v>
      </c>
      <c r="Z221" t="s">
        <v>74</v>
      </c>
      <c r="AA221" t="s">
        <v>74</v>
      </c>
      <c r="AB221" t="s">
        <v>74</v>
      </c>
      <c r="AC221" t="s">
        <v>74</v>
      </c>
      <c r="AD221" t="s">
        <v>74</v>
      </c>
      <c r="AE221" t="s">
        <v>74</v>
      </c>
      <c r="AF221" t="s">
        <v>74</v>
      </c>
      <c r="AG221" t="s">
        <v>74</v>
      </c>
      <c r="AH221" t="s">
        <v>74</v>
      </c>
      <c r="AI221" t="s">
        <v>74</v>
      </c>
      <c r="AJ221" t="s">
        <v>74</v>
      </c>
      <c r="AK221" t="s">
        <v>74</v>
      </c>
      <c r="AL221" t="s">
        <v>74</v>
      </c>
      <c r="AM221" t="s">
        <v>74</v>
      </c>
      <c r="AN221" t="s">
        <v>74</v>
      </c>
      <c r="AO221" t="s">
        <v>74</v>
      </c>
      <c r="AP221" t="s">
        <v>80</v>
      </c>
      <c r="AQ221" t="s">
        <v>74</v>
      </c>
      <c r="AR221" t="s">
        <v>74</v>
      </c>
      <c r="AS221" t="s">
        <v>74</v>
      </c>
      <c r="AT221" t="s">
        <v>175</v>
      </c>
      <c r="AU221">
        <v>2023</v>
      </c>
      <c r="AV221">
        <v>20</v>
      </c>
      <c r="AW221">
        <v>1</v>
      </c>
      <c r="AX221" t="s">
        <v>74</v>
      </c>
      <c r="AY221" t="s">
        <v>74</v>
      </c>
      <c r="AZ221" t="s">
        <v>74</v>
      </c>
      <c r="BA221" t="s">
        <v>74</v>
      </c>
      <c r="BB221" t="s">
        <v>74</v>
      </c>
      <c r="BC221" t="s">
        <v>74</v>
      </c>
      <c r="BD221">
        <v>449</v>
      </c>
      <c r="BE221" t="s">
        <v>2130</v>
      </c>
      <c r="BF221" t="str">
        <f>HYPERLINK("http://dx.doi.org/10.3390/ijerph20010449","http://dx.doi.org/10.3390/ijerph20010449")</f>
        <v>http://dx.doi.org/10.3390/ijerph20010449</v>
      </c>
      <c r="BG221" t="s">
        <v>74</v>
      </c>
      <c r="BH221" t="s">
        <v>74</v>
      </c>
      <c r="BI221" t="s">
        <v>74</v>
      </c>
      <c r="BJ221" t="s">
        <v>74</v>
      </c>
      <c r="BK221" t="s">
        <v>74</v>
      </c>
      <c r="BL221" t="s">
        <v>74</v>
      </c>
      <c r="BM221" t="s">
        <v>74</v>
      </c>
      <c r="BN221">
        <v>36612770</v>
      </c>
      <c r="BO221" t="s">
        <v>74</v>
      </c>
      <c r="BP221" t="s">
        <v>74</v>
      </c>
      <c r="BQ221" t="s">
        <v>74</v>
      </c>
      <c r="BR221" t="s">
        <v>74</v>
      </c>
      <c r="BS221" t="s">
        <v>2131</v>
      </c>
      <c r="BT221" t="str">
        <f>HYPERLINK("https%3A%2F%2Fwww.webofscience.com%2Fwos%2Fwoscc%2Ffull-record%2FWOS:000909016800001","View Full Record in Web of Science")</f>
        <v>View Full Record in Web of Science</v>
      </c>
    </row>
    <row r="222" spans="1:72" x14ac:dyDescent="0.25">
      <c r="A222" t="s">
        <v>72</v>
      </c>
      <c r="B222" t="s">
        <v>2132</v>
      </c>
      <c r="C222" t="s">
        <v>74</v>
      </c>
      <c r="D222" t="s">
        <v>74</v>
      </c>
      <c r="E222" t="s">
        <v>74</v>
      </c>
      <c r="F222" t="s">
        <v>2133</v>
      </c>
      <c r="G222" t="s">
        <v>74</v>
      </c>
      <c r="H222" t="s">
        <v>74</v>
      </c>
      <c r="I222" t="s">
        <v>2134</v>
      </c>
      <c r="J222" t="s">
        <v>2135</v>
      </c>
      <c r="K222" t="s">
        <v>74</v>
      </c>
      <c r="L222" t="s">
        <v>74</v>
      </c>
      <c r="M222" t="s">
        <v>74</v>
      </c>
      <c r="N222" t="s">
        <v>74</v>
      </c>
      <c r="O222" t="s">
        <v>74</v>
      </c>
      <c r="P222" t="s">
        <v>74</v>
      </c>
      <c r="Q222" t="s">
        <v>74</v>
      </c>
      <c r="R222" t="s">
        <v>74</v>
      </c>
      <c r="S222" t="s">
        <v>74</v>
      </c>
      <c r="T222" t="s">
        <v>74</v>
      </c>
      <c r="U222" t="s">
        <v>74</v>
      </c>
      <c r="V222" t="s">
        <v>74</v>
      </c>
      <c r="W222" t="s">
        <v>74</v>
      </c>
      <c r="X222" t="s">
        <v>74</v>
      </c>
      <c r="Y222" t="s">
        <v>74</v>
      </c>
      <c r="Z222" t="s">
        <v>74</v>
      </c>
      <c r="AA222" t="s">
        <v>74</v>
      </c>
      <c r="AB222" t="s">
        <v>74</v>
      </c>
      <c r="AC222" t="s">
        <v>74</v>
      </c>
      <c r="AD222" t="s">
        <v>74</v>
      </c>
      <c r="AE222" t="s">
        <v>74</v>
      </c>
      <c r="AF222" t="s">
        <v>74</v>
      </c>
      <c r="AG222" t="s">
        <v>74</v>
      </c>
      <c r="AH222" t="s">
        <v>74</v>
      </c>
      <c r="AI222" t="s">
        <v>74</v>
      </c>
      <c r="AJ222" t="s">
        <v>74</v>
      </c>
      <c r="AK222" t="s">
        <v>74</v>
      </c>
      <c r="AL222" t="s">
        <v>74</v>
      </c>
      <c r="AM222" t="s">
        <v>74</v>
      </c>
      <c r="AN222" t="s">
        <v>74</v>
      </c>
      <c r="AO222" t="s">
        <v>2136</v>
      </c>
      <c r="AP222" t="s">
        <v>2137</v>
      </c>
      <c r="AQ222" t="s">
        <v>74</v>
      </c>
      <c r="AR222" t="s">
        <v>74</v>
      </c>
      <c r="AS222" t="s">
        <v>74</v>
      </c>
      <c r="AT222" t="s">
        <v>366</v>
      </c>
      <c r="AU222">
        <v>2022</v>
      </c>
      <c r="AV222">
        <v>7</v>
      </c>
      <c r="AW222">
        <v>1</v>
      </c>
      <c r="AX222" t="s">
        <v>74</v>
      </c>
      <c r="AY222" t="s">
        <v>74</v>
      </c>
      <c r="AZ222" t="s">
        <v>74</v>
      </c>
      <c r="BA222" t="s">
        <v>74</v>
      </c>
      <c r="BB222">
        <v>1</v>
      </c>
      <c r="BC222">
        <v>5</v>
      </c>
      <c r="BD222" t="s">
        <v>74</v>
      </c>
      <c r="BE222" t="s">
        <v>2138</v>
      </c>
      <c r="BF222" t="str">
        <f>HYPERLINK("http://dx.doi.org/10.1109/TIV.2022.3154489","http://dx.doi.org/10.1109/TIV.2022.3154489")</f>
        <v>http://dx.doi.org/10.1109/TIV.2022.3154489</v>
      </c>
      <c r="BG222" t="s">
        <v>74</v>
      </c>
      <c r="BH222" t="s">
        <v>74</v>
      </c>
      <c r="BI222" t="s">
        <v>74</v>
      </c>
      <c r="BJ222" t="s">
        <v>74</v>
      </c>
      <c r="BK222" t="s">
        <v>74</v>
      </c>
      <c r="BL222" t="s">
        <v>74</v>
      </c>
      <c r="BM222" t="s">
        <v>74</v>
      </c>
      <c r="BN222" t="s">
        <v>74</v>
      </c>
      <c r="BO222" t="s">
        <v>74</v>
      </c>
      <c r="BP222" t="s">
        <v>74</v>
      </c>
      <c r="BQ222" t="s">
        <v>74</v>
      </c>
      <c r="BR222" t="s">
        <v>74</v>
      </c>
      <c r="BS222" t="s">
        <v>2139</v>
      </c>
      <c r="BT222" t="str">
        <f>HYPERLINK("https%3A%2F%2Fwww.webofscience.com%2Fwos%2Fwoscc%2Ffull-record%2FWOS:000785743500001","View Full Record in Web of Science")</f>
        <v>View Full Record in Web of Science</v>
      </c>
    </row>
    <row r="223" spans="1:72" x14ac:dyDescent="0.25">
      <c r="A223" t="s">
        <v>72</v>
      </c>
      <c r="B223" t="s">
        <v>2132</v>
      </c>
      <c r="C223" t="s">
        <v>74</v>
      </c>
      <c r="D223" t="s">
        <v>74</v>
      </c>
      <c r="E223" t="s">
        <v>74</v>
      </c>
      <c r="F223" t="s">
        <v>2133</v>
      </c>
      <c r="G223" t="s">
        <v>74</v>
      </c>
      <c r="H223" t="s">
        <v>74</v>
      </c>
      <c r="I223" t="s">
        <v>2140</v>
      </c>
      <c r="J223" t="s">
        <v>1672</v>
      </c>
      <c r="K223" t="s">
        <v>74</v>
      </c>
      <c r="L223" t="s">
        <v>74</v>
      </c>
      <c r="M223" t="s">
        <v>74</v>
      </c>
      <c r="N223" t="s">
        <v>74</v>
      </c>
      <c r="O223" t="s">
        <v>74</v>
      </c>
      <c r="P223" t="s">
        <v>74</v>
      </c>
      <c r="Q223" t="s">
        <v>74</v>
      </c>
      <c r="R223" t="s">
        <v>74</v>
      </c>
      <c r="S223" t="s">
        <v>74</v>
      </c>
      <c r="T223" t="s">
        <v>74</v>
      </c>
      <c r="U223" t="s">
        <v>74</v>
      </c>
      <c r="V223" t="s">
        <v>74</v>
      </c>
      <c r="W223" t="s">
        <v>74</v>
      </c>
      <c r="X223" t="s">
        <v>74</v>
      </c>
      <c r="Y223" t="s">
        <v>74</v>
      </c>
      <c r="Z223" t="s">
        <v>74</v>
      </c>
      <c r="AA223" t="s">
        <v>74</v>
      </c>
      <c r="AB223" t="s">
        <v>74</v>
      </c>
      <c r="AC223" t="s">
        <v>74</v>
      </c>
      <c r="AD223" t="s">
        <v>74</v>
      </c>
      <c r="AE223" t="s">
        <v>74</v>
      </c>
      <c r="AF223" t="s">
        <v>74</v>
      </c>
      <c r="AG223" t="s">
        <v>74</v>
      </c>
      <c r="AH223" t="s">
        <v>74</v>
      </c>
      <c r="AI223" t="s">
        <v>74</v>
      </c>
      <c r="AJ223" t="s">
        <v>74</v>
      </c>
      <c r="AK223" t="s">
        <v>74</v>
      </c>
      <c r="AL223" t="s">
        <v>74</v>
      </c>
      <c r="AM223" t="s">
        <v>74</v>
      </c>
      <c r="AN223" t="s">
        <v>74</v>
      </c>
      <c r="AO223" t="s">
        <v>1673</v>
      </c>
      <c r="AP223" t="s">
        <v>1674</v>
      </c>
      <c r="AQ223" t="s">
        <v>74</v>
      </c>
      <c r="AR223" t="s">
        <v>74</v>
      </c>
      <c r="AS223" t="s">
        <v>74</v>
      </c>
      <c r="AT223" t="s">
        <v>465</v>
      </c>
      <c r="AU223">
        <v>2022</v>
      </c>
      <c r="AV223">
        <v>9</v>
      </c>
      <c r="AW223">
        <v>12</v>
      </c>
      <c r="AX223" t="s">
        <v>74</v>
      </c>
      <c r="AY223" t="s">
        <v>74</v>
      </c>
      <c r="AZ223" t="s">
        <v>74</v>
      </c>
      <c r="BA223" t="s">
        <v>74</v>
      </c>
      <c r="BB223">
        <v>2043</v>
      </c>
      <c r="BC223">
        <v>2046</v>
      </c>
      <c r="BD223" t="s">
        <v>74</v>
      </c>
      <c r="BE223" t="s">
        <v>2141</v>
      </c>
      <c r="BF223" t="str">
        <f>HYPERLINK("http://dx.doi.org/10.1109/JAS.2022.106106","http://dx.doi.org/10.1109/JAS.2022.106106")</f>
        <v>http://dx.doi.org/10.1109/JAS.2022.106106</v>
      </c>
      <c r="BG223" t="s">
        <v>74</v>
      </c>
      <c r="BH223" t="s">
        <v>74</v>
      </c>
      <c r="BI223" t="s">
        <v>74</v>
      </c>
      <c r="BJ223" t="s">
        <v>74</v>
      </c>
      <c r="BK223" t="s">
        <v>74</v>
      </c>
      <c r="BL223" t="s">
        <v>74</v>
      </c>
      <c r="BM223" t="s">
        <v>74</v>
      </c>
      <c r="BN223" t="s">
        <v>74</v>
      </c>
      <c r="BO223" t="s">
        <v>74</v>
      </c>
      <c r="BP223" t="s">
        <v>74</v>
      </c>
      <c r="BQ223" t="s">
        <v>74</v>
      </c>
      <c r="BR223" t="s">
        <v>74</v>
      </c>
      <c r="BS223" t="s">
        <v>2142</v>
      </c>
      <c r="BT223" t="str">
        <f>HYPERLINK("https%3A%2F%2Fwww.webofscience.com%2Fwos%2Fwoscc%2Ffull-record%2FWOS:000894969600002","View Full Record in Web of Science")</f>
        <v>View Full Record in Web of Science</v>
      </c>
    </row>
    <row r="224" spans="1:72" x14ac:dyDescent="0.25">
      <c r="A224" t="s">
        <v>72</v>
      </c>
      <c r="B224" t="s">
        <v>2143</v>
      </c>
      <c r="C224" t="s">
        <v>74</v>
      </c>
      <c r="D224" t="s">
        <v>74</v>
      </c>
      <c r="E224" t="s">
        <v>74</v>
      </c>
      <c r="F224" t="s">
        <v>2144</v>
      </c>
      <c r="G224" t="s">
        <v>74</v>
      </c>
      <c r="H224" t="s">
        <v>74</v>
      </c>
      <c r="I224" t="s">
        <v>2145</v>
      </c>
      <c r="J224" t="s">
        <v>119</v>
      </c>
      <c r="K224" t="s">
        <v>74</v>
      </c>
      <c r="L224" t="s">
        <v>74</v>
      </c>
      <c r="M224" t="s">
        <v>74</v>
      </c>
      <c r="N224" t="s">
        <v>74</v>
      </c>
      <c r="O224" t="s">
        <v>74</v>
      </c>
      <c r="P224" t="s">
        <v>74</v>
      </c>
      <c r="Q224" t="s">
        <v>74</v>
      </c>
      <c r="R224" t="s">
        <v>74</v>
      </c>
      <c r="S224" t="s">
        <v>74</v>
      </c>
      <c r="T224" t="s">
        <v>74</v>
      </c>
      <c r="U224" t="s">
        <v>74</v>
      </c>
      <c r="V224" t="s">
        <v>2146</v>
      </c>
      <c r="W224" t="s">
        <v>74</v>
      </c>
      <c r="X224" t="s">
        <v>74</v>
      </c>
      <c r="Y224" t="s">
        <v>74</v>
      </c>
      <c r="Z224" t="s">
        <v>74</v>
      </c>
      <c r="AA224" t="s">
        <v>74</v>
      </c>
      <c r="AB224" t="s">
        <v>74</v>
      </c>
      <c r="AC224" t="s">
        <v>74</v>
      </c>
      <c r="AD224" t="s">
        <v>74</v>
      </c>
      <c r="AE224" t="s">
        <v>74</v>
      </c>
      <c r="AF224" t="s">
        <v>74</v>
      </c>
      <c r="AG224" t="s">
        <v>74</v>
      </c>
      <c r="AH224" t="s">
        <v>74</v>
      </c>
      <c r="AI224" t="s">
        <v>74</v>
      </c>
      <c r="AJ224" t="s">
        <v>74</v>
      </c>
      <c r="AK224" t="s">
        <v>74</v>
      </c>
      <c r="AL224" t="s">
        <v>74</v>
      </c>
      <c r="AM224" t="s">
        <v>74</v>
      </c>
      <c r="AN224" t="s">
        <v>74</v>
      </c>
      <c r="AO224" t="s">
        <v>74</v>
      </c>
      <c r="AP224" t="s">
        <v>123</v>
      </c>
      <c r="AQ224" t="s">
        <v>74</v>
      </c>
      <c r="AR224" t="s">
        <v>74</v>
      </c>
      <c r="AS224" t="s">
        <v>74</v>
      </c>
      <c r="AT224" t="s">
        <v>435</v>
      </c>
      <c r="AU224">
        <v>2023</v>
      </c>
      <c r="AV224">
        <v>12</v>
      </c>
      <c r="AW224">
        <v>3</v>
      </c>
      <c r="AX224" t="s">
        <v>74</v>
      </c>
      <c r="AY224" t="s">
        <v>74</v>
      </c>
      <c r="AZ224" t="s">
        <v>74</v>
      </c>
      <c r="BA224" t="s">
        <v>74</v>
      </c>
      <c r="BB224" t="s">
        <v>74</v>
      </c>
      <c r="BC224" t="s">
        <v>74</v>
      </c>
      <c r="BD224">
        <v>553</v>
      </c>
      <c r="BE224" t="s">
        <v>2147</v>
      </c>
      <c r="BF224" t="str">
        <f>HYPERLINK("http://dx.doi.org/10.3390/electronics12030553","http://dx.doi.org/10.3390/electronics12030553")</f>
        <v>http://dx.doi.org/10.3390/electronics12030553</v>
      </c>
      <c r="BG224" t="s">
        <v>74</v>
      </c>
      <c r="BH224" t="s">
        <v>74</v>
      </c>
      <c r="BI224" t="s">
        <v>74</v>
      </c>
      <c r="BJ224" t="s">
        <v>74</v>
      </c>
      <c r="BK224" t="s">
        <v>74</v>
      </c>
      <c r="BL224" t="s">
        <v>74</v>
      </c>
      <c r="BM224" t="s">
        <v>74</v>
      </c>
      <c r="BN224" t="s">
        <v>74</v>
      </c>
      <c r="BO224" t="s">
        <v>74</v>
      </c>
      <c r="BP224" t="s">
        <v>74</v>
      </c>
      <c r="BQ224" t="s">
        <v>74</v>
      </c>
      <c r="BR224" t="s">
        <v>74</v>
      </c>
      <c r="BS224" t="s">
        <v>2148</v>
      </c>
      <c r="BT224" t="str">
        <f>HYPERLINK("https%3A%2F%2Fwww.webofscience.com%2Fwos%2Fwoscc%2Ffull-record%2FWOS:000933776300001","View Full Record in Web of Science")</f>
        <v>View Full Record in Web of Science</v>
      </c>
    </row>
    <row r="225" spans="1:72" x14ac:dyDescent="0.25">
      <c r="A225" t="s">
        <v>72</v>
      </c>
      <c r="B225" t="s">
        <v>949</v>
      </c>
      <c r="C225" t="s">
        <v>74</v>
      </c>
      <c r="D225" t="s">
        <v>74</v>
      </c>
      <c r="E225" t="s">
        <v>74</v>
      </c>
      <c r="F225" t="s">
        <v>950</v>
      </c>
      <c r="G225" t="s">
        <v>74</v>
      </c>
      <c r="H225" t="s">
        <v>74</v>
      </c>
      <c r="I225" t="s">
        <v>2149</v>
      </c>
      <c r="J225" t="s">
        <v>952</v>
      </c>
      <c r="K225" t="s">
        <v>74</v>
      </c>
      <c r="L225" t="s">
        <v>74</v>
      </c>
      <c r="M225" t="s">
        <v>74</v>
      </c>
      <c r="N225" t="s">
        <v>74</v>
      </c>
      <c r="O225" t="s">
        <v>74</v>
      </c>
      <c r="P225" t="s">
        <v>74</v>
      </c>
      <c r="Q225" t="s">
        <v>74</v>
      </c>
      <c r="R225" t="s">
        <v>74</v>
      </c>
      <c r="S225" t="s">
        <v>74</v>
      </c>
      <c r="T225" t="s">
        <v>74</v>
      </c>
      <c r="U225" t="s">
        <v>74</v>
      </c>
      <c r="V225" t="s">
        <v>74</v>
      </c>
      <c r="W225" t="s">
        <v>74</v>
      </c>
      <c r="X225" t="s">
        <v>74</v>
      </c>
      <c r="Y225" t="s">
        <v>74</v>
      </c>
      <c r="Z225" t="s">
        <v>74</v>
      </c>
      <c r="AA225" t="s">
        <v>954</v>
      </c>
      <c r="AB225" t="s">
        <v>955</v>
      </c>
      <c r="AC225" t="s">
        <v>74</v>
      </c>
      <c r="AD225" t="s">
        <v>74</v>
      </c>
      <c r="AE225" t="s">
        <v>74</v>
      </c>
      <c r="AF225" t="s">
        <v>74</v>
      </c>
      <c r="AG225" t="s">
        <v>74</v>
      </c>
      <c r="AH225" t="s">
        <v>74</v>
      </c>
      <c r="AI225" t="s">
        <v>74</v>
      </c>
      <c r="AJ225" t="s">
        <v>74</v>
      </c>
      <c r="AK225" t="s">
        <v>74</v>
      </c>
      <c r="AL225" t="s">
        <v>74</v>
      </c>
      <c r="AM225" t="s">
        <v>74</v>
      </c>
      <c r="AN225" t="s">
        <v>74</v>
      </c>
      <c r="AO225" t="s">
        <v>956</v>
      </c>
      <c r="AP225" t="s">
        <v>957</v>
      </c>
      <c r="AQ225" t="s">
        <v>74</v>
      </c>
      <c r="AR225" t="s">
        <v>74</v>
      </c>
      <c r="AS225" t="s">
        <v>74</v>
      </c>
      <c r="AT225" t="s">
        <v>74</v>
      </c>
      <c r="AU225" t="s">
        <v>74</v>
      </c>
      <c r="AV225" t="s">
        <v>74</v>
      </c>
      <c r="AW225" t="s">
        <v>74</v>
      </c>
      <c r="AX225" t="s">
        <v>74</v>
      </c>
      <c r="AY225" t="s">
        <v>74</v>
      </c>
      <c r="AZ225" t="s">
        <v>74</v>
      </c>
      <c r="BA225" t="s">
        <v>74</v>
      </c>
      <c r="BB225" t="s">
        <v>74</v>
      </c>
      <c r="BC225" t="s">
        <v>74</v>
      </c>
      <c r="BD225" t="s">
        <v>2150</v>
      </c>
      <c r="BE225" t="s">
        <v>2151</v>
      </c>
      <c r="BF225" t="str">
        <f>HYPERLINK("http://dx.doi.org/10.1093/pubmed/fdad017","http://dx.doi.org/10.1093/pubmed/fdad017")</f>
        <v>http://dx.doi.org/10.1093/pubmed/fdad017</v>
      </c>
      <c r="BG225" t="s">
        <v>74</v>
      </c>
      <c r="BH225" t="s">
        <v>218</v>
      </c>
      <c r="BI225" t="s">
        <v>74</v>
      </c>
      <c r="BJ225" t="s">
        <v>74</v>
      </c>
      <c r="BK225" t="s">
        <v>74</v>
      </c>
      <c r="BL225" t="s">
        <v>74</v>
      </c>
      <c r="BM225" t="s">
        <v>74</v>
      </c>
      <c r="BN225" t="s">
        <v>74</v>
      </c>
      <c r="BO225" t="s">
        <v>74</v>
      </c>
      <c r="BP225" t="s">
        <v>74</v>
      </c>
      <c r="BQ225" t="s">
        <v>74</v>
      </c>
      <c r="BR225" t="s">
        <v>74</v>
      </c>
      <c r="BS225" t="s">
        <v>2152</v>
      </c>
      <c r="BT225" t="str">
        <f>HYPERLINK("https%3A%2F%2Fwww.webofscience.com%2Fwos%2Fwoscc%2Ffull-record%2FWOS:000938839300001","View Full Record in Web of Science")</f>
        <v>View Full Record in Web of Science</v>
      </c>
    </row>
    <row r="226" spans="1:72" x14ac:dyDescent="0.25">
      <c r="A226" t="s">
        <v>72</v>
      </c>
      <c r="B226" t="s">
        <v>2153</v>
      </c>
      <c r="C226" t="s">
        <v>74</v>
      </c>
      <c r="D226" t="s">
        <v>74</v>
      </c>
      <c r="E226" t="s">
        <v>74</v>
      </c>
      <c r="F226" t="s">
        <v>2154</v>
      </c>
      <c r="G226" t="s">
        <v>74</v>
      </c>
      <c r="H226" t="s">
        <v>74</v>
      </c>
      <c r="I226" t="s">
        <v>2155</v>
      </c>
      <c r="J226" t="s">
        <v>2156</v>
      </c>
      <c r="K226" t="s">
        <v>74</v>
      </c>
      <c r="L226" t="s">
        <v>74</v>
      </c>
      <c r="M226" t="s">
        <v>74</v>
      </c>
      <c r="N226" t="s">
        <v>74</v>
      </c>
      <c r="O226" t="s">
        <v>74</v>
      </c>
      <c r="P226" t="s">
        <v>74</v>
      </c>
      <c r="Q226" t="s">
        <v>74</v>
      </c>
      <c r="R226" t="s">
        <v>74</v>
      </c>
      <c r="S226" t="s">
        <v>74</v>
      </c>
      <c r="T226" t="s">
        <v>74</v>
      </c>
      <c r="U226" t="s">
        <v>74</v>
      </c>
      <c r="V226" t="s">
        <v>74</v>
      </c>
      <c r="W226" t="s">
        <v>74</v>
      </c>
      <c r="X226" t="s">
        <v>74</v>
      </c>
      <c r="Y226" t="s">
        <v>74</v>
      </c>
      <c r="Z226" t="s">
        <v>74</v>
      </c>
      <c r="AA226" t="s">
        <v>74</v>
      </c>
      <c r="AB226" t="s">
        <v>74</v>
      </c>
      <c r="AC226" t="s">
        <v>74</v>
      </c>
      <c r="AD226" t="s">
        <v>74</v>
      </c>
      <c r="AE226" t="s">
        <v>74</v>
      </c>
      <c r="AF226" t="s">
        <v>74</v>
      </c>
      <c r="AG226" t="s">
        <v>74</v>
      </c>
      <c r="AH226" t="s">
        <v>74</v>
      </c>
      <c r="AI226" t="s">
        <v>74</v>
      </c>
      <c r="AJ226" t="s">
        <v>74</v>
      </c>
      <c r="AK226" t="s">
        <v>74</v>
      </c>
      <c r="AL226" t="s">
        <v>74</v>
      </c>
      <c r="AM226" t="s">
        <v>74</v>
      </c>
      <c r="AN226" t="s">
        <v>74</v>
      </c>
      <c r="AO226" t="s">
        <v>2157</v>
      </c>
      <c r="AP226" t="s">
        <v>2158</v>
      </c>
      <c r="AQ226" t="s">
        <v>74</v>
      </c>
      <c r="AR226" t="s">
        <v>74</v>
      </c>
      <c r="AS226" t="s">
        <v>74</v>
      </c>
      <c r="AT226" t="s">
        <v>195</v>
      </c>
      <c r="AU226">
        <v>2022</v>
      </c>
      <c r="AV226">
        <v>53</v>
      </c>
      <c r="AW226">
        <v>11</v>
      </c>
      <c r="AX226" t="s">
        <v>74</v>
      </c>
      <c r="AY226" t="s">
        <v>74</v>
      </c>
      <c r="AZ226" t="s">
        <v>74</v>
      </c>
      <c r="BA226" t="s">
        <v>74</v>
      </c>
      <c r="BB226">
        <v>595</v>
      </c>
      <c r="BC226">
        <v>600</v>
      </c>
      <c r="BD226" t="s">
        <v>74</v>
      </c>
      <c r="BE226" t="s">
        <v>2159</v>
      </c>
      <c r="BF226" t="str">
        <f>HYPERLINK("http://dx.doi.org/10.3928/23258160-20221017-01","http://dx.doi.org/10.3928/23258160-20221017-01")</f>
        <v>http://dx.doi.org/10.3928/23258160-20221017-01</v>
      </c>
      <c r="BG226" t="s">
        <v>74</v>
      </c>
      <c r="BH226" t="s">
        <v>74</v>
      </c>
      <c r="BI226" t="s">
        <v>74</v>
      </c>
      <c r="BJ226" t="s">
        <v>74</v>
      </c>
      <c r="BK226" t="s">
        <v>74</v>
      </c>
      <c r="BL226" t="s">
        <v>74</v>
      </c>
      <c r="BM226" t="s">
        <v>74</v>
      </c>
      <c r="BN226">
        <v>36378613</v>
      </c>
      <c r="BO226" t="s">
        <v>74</v>
      </c>
      <c r="BP226" t="s">
        <v>74</v>
      </c>
      <c r="BQ226" t="s">
        <v>74</v>
      </c>
      <c r="BR226" t="s">
        <v>74</v>
      </c>
      <c r="BS226" t="s">
        <v>2160</v>
      </c>
      <c r="BT226" t="str">
        <f>HYPERLINK("https%3A%2F%2Fwww.webofscience.com%2Fwos%2Fwoscc%2Ffull-record%2FWOS:000928415900001","View Full Record in Web of Science")</f>
        <v>View Full Record in Web of Science</v>
      </c>
    </row>
    <row r="227" spans="1:72" x14ac:dyDescent="0.25">
      <c r="A227" t="s">
        <v>72</v>
      </c>
      <c r="B227" t="s">
        <v>2161</v>
      </c>
      <c r="C227" t="s">
        <v>74</v>
      </c>
      <c r="D227" t="s">
        <v>74</v>
      </c>
      <c r="E227" t="s">
        <v>74</v>
      </c>
      <c r="F227" t="s">
        <v>2162</v>
      </c>
      <c r="G227" t="s">
        <v>74</v>
      </c>
      <c r="H227" t="s">
        <v>74</v>
      </c>
      <c r="I227" t="s">
        <v>2163</v>
      </c>
      <c r="J227" t="s">
        <v>873</v>
      </c>
      <c r="K227" t="s">
        <v>74</v>
      </c>
      <c r="L227" t="s">
        <v>74</v>
      </c>
      <c r="M227" t="s">
        <v>74</v>
      </c>
      <c r="N227" t="s">
        <v>74</v>
      </c>
      <c r="O227" t="s">
        <v>74</v>
      </c>
      <c r="P227" t="s">
        <v>74</v>
      </c>
      <c r="Q227" t="s">
        <v>74</v>
      </c>
      <c r="R227" t="s">
        <v>74</v>
      </c>
      <c r="S227" t="s">
        <v>74</v>
      </c>
      <c r="T227" t="s">
        <v>74</v>
      </c>
      <c r="U227" t="s">
        <v>74</v>
      </c>
      <c r="V227" t="s">
        <v>2164</v>
      </c>
      <c r="W227" t="s">
        <v>74</v>
      </c>
      <c r="X227" t="s">
        <v>74</v>
      </c>
      <c r="Y227" t="s">
        <v>74</v>
      </c>
      <c r="Z227" t="s">
        <v>74</v>
      </c>
      <c r="AA227" t="s">
        <v>2165</v>
      </c>
      <c r="AB227" t="s">
        <v>2166</v>
      </c>
      <c r="AC227" t="s">
        <v>74</v>
      </c>
      <c r="AD227" t="s">
        <v>74</v>
      </c>
      <c r="AE227" t="s">
        <v>74</v>
      </c>
      <c r="AF227" t="s">
        <v>74</v>
      </c>
      <c r="AG227" t="s">
        <v>74</v>
      </c>
      <c r="AH227" t="s">
        <v>74</v>
      </c>
      <c r="AI227" t="s">
        <v>74</v>
      </c>
      <c r="AJ227" t="s">
        <v>74</v>
      </c>
      <c r="AK227" t="s">
        <v>74</v>
      </c>
      <c r="AL227" t="s">
        <v>74</v>
      </c>
      <c r="AM227" t="s">
        <v>74</v>
      </c>
      <c r="AN227" t="s">
        <v>74</v>
      </c>
      <c r="AO227" t="s">
        <v>74</v>
      </c>
      <c r="AP227" t="s">
        <v>877</v>
      </c>
      <c r="AQ227" t="s">
        <v>74</v>
      </c>
      <c r="AR227" t="s">
        <v>74</v>
      </c>
      <c r="AS227" t="s">
        <v>74</v>
      </c>
      <c r="AT227" t="s">
        <v>1202</v>
      </c>
      <c r="AU227">
        <v>2023</v>
      </c>
      <c r="AV227">
        <v>23</v>
      </c>
      <c r="AW227">
        <v>7</v>
      </c>
      <c r="AX227" t="s">
        <v>74</v>
      </c>
      <c r="AY227" t="s">
        <v>74</v>
      </c>
      <c r="AZ227" t="s">
        <v>74</v>
      </c>
      <c r="BA227" t="s">
        <v>74</v>
      </c>
      <c r="BB227" t="s">
        <v>74</v>
      </c>
      <c r="BC227" t="s">
        <v>74</v>
      </c>
      <c r="BD227">
        <v>3775</v>
      </c>
      <c r="BE227" t="s">
        <v>2167</v>
      </c>
      <c r="BF227" t="str">
        <f>HYPERLINK("http://dx.doi.org/10.3390/s23073775","http://dx.doi.org/10.3390/s23073775")</f>
        <v>http://dx.doi.org/10.3390/s23073775</v>
      </c>
      <c r="BG227" t="s">
        <v>74</v>
      </c>
      <c r="BH227" t="s">
        <v>74</v>
      </c>
      <c r="BI227" t="s">
        <v>74</v>
      </c>
      <c r="BJ227" t="s">
        <v>74</v>
      </c>
      <c r="BK227" t="s">
        <v>74</v>
      </c>
      <c r="BL227" t="s">
        <v>74</v>
      </c>
      <c r="BM227" t="s">
        <v>74</v>
      </c>
      <c r="BN227">
        <v>37050835</v>
      </c>
      <c r="BO227" t="s">
        <v>74</v>
      </c>
      <c r="BP227" t="s">
        <v>74</v>
      </c>
      <c r="BQ227" t="s">
        <v>74</v>
      </c>
      <c r="BR227" t="s">
        <v>74</v>
      </c>
      <c r="BS227" t="s">
        <v>2168</v>
      </c>
      <c r="BT227" t="str">
        <f>HYPERLINK("https%3A%2F%2Fwww.webofscience.com%2Fwos%2Fwoscc%2Ffull-record%2FWOS:000970401900001","View Full Record in Web of Science")</f>
        <v>View Full Record in Web of Science</v>
      </c>
    </row>
    <row r="228" spans="1:72" x14ac:dyDescent="0.25">
      <c r="A228" t="s">
        <v>72</v>
      </c>
      <c r="B228" t="s">
        <v>2169</v>
      </c>
      <c r="C228" t="s">
        <v>74</v>
      </c>
      <c r="D228" t="s">
        <v>74</v>
      </c>
      <c r="E228" t="s">
        <v>74</v>
      </c>
      <c r="F228" t="s">
        <v>2170</v>
      </c>
      <c r="G228" t="s">
        <v>74</v>
      </c>
      <c r="H228" t="s">
        <v>74</v>
      </c>
      <c r="I228" t="s">
        <v>2171</v>
      </c>
      <c r="J228" t="s">
        <v>2172</v>
      </c>
      <c r="K228" t="s">
        <v>74</v>
      </c>
      <c r="L228" t="s">
        <v>74</v>
      </c>
      <c r="M228" t="s">
        <v>74</v>
      </c>
      <c r="N228" t="s">
        <v>74</v>
      </c>
      <c r="O228" t="s">
        <v>74</v>
      </c>
      <c r="P228" t="s">
        <v>74</v>
      </c>
      <c r="Q228" t="s">
        <v>74</v>
      </c>
      <c r="R228" t="s">
        <v>74</v>
      </c>
      <c r="S228" t="s">
        <v>74</v>
      </c>
      <c r="T228" t="s">
        <v>74</v>
      </c>
      <c r="U228" t="s">
        <v>74</v>
      </c>
      <c r="V228" t="s">
        <v>74</v>
      </c>
      <c r="W228" t="s">
        <v>74</v>
      </c>
      <c r="X228" t="s">
        <v>74</v>
      </c>
      <c r="Y228" t="s">
        <v>74</v>
      </c>
      <c r="Z228" t="s">
        <v>74</v>
      </c>
      <c r="AA228" t="s">
        <v>74</v>
      </c>
      <c r="AB228" t="s">
        <v>74</v>
      </c>
      <c r="AC228" t="s">
        <v>74</v>
      </c>
      <c r="AD228" t="s">
        <v>74</v>
      </c>
      <c r="AE228" t="s">
        <v>74</v>
      </c>
      <c r="AF228" t="s">
        <v>74</v>
      </c>
      <c r="AG228" t="s">
        <v>74</v>
      </c>
      <c r="AH228" t="s">
        <v>74</v>
      </c>
      <c r="AI228" t="s">
        <v>74</v>
      </c>
      <c r="AJ228" t="s">
        <v>74</v>
      </c>
      <c r="AK228" t="s">
        <v>74</v>
      </c>
      <c r="AL228" t="s">
        <v>74</v>
      </c>
      <c r="AM228" t="s">
        <v>74</v>
      </c>
      <c r="AN228" t="s">
        <v>74</v>
      </c>
      <c r="AO228" t="s">
        <v>2173</v>
      </c>
      <c r="AP228" t="s">
        <v>2174</v>
      </c>
      <c r="AQ228" t="s">
        <v>74</v>
      </c>
      <c r="AR228" t="s">
        <v>74</v>
      </c>
      <c r="AS228" t="s">
        <v>74</v>
      </c>
      <c r="AT228" t="s">
        <v>465</v>
      </c>
      <c r="AU228">
        <v>2022</v>
      </c>
      <c r="AV228">
        <v>46</v>
      </c>
      <c r="AW228" t="s">
        <v>74</v>
      </c>
      <c r="AX228" t="s">
        <v>74</v>
      </c>
      <c r="AY228" t="s">
        <v>74</v>
      </c>
      <c r="AZ228" t="s">
        <v>74</v>
      </c>
      <c r="BA228" t="s">
        <v>74</v>
      </c>
      <c r="BB228">
        <v>96</v>
      </c>
      <c r="BC228">
        <v>98</v>
      </c>
      <c r="BD228" t="s">
        <v>74</v>
      </c>
      <c r="BE228" t="s">
        <v>2175</v>
      </c>
      <c r="BF228" t="str">
        <f>HYPERLINK("http://dx.doi.org/10.1016/j.euros.2022.10.011","http://dx.doi.org/10.1016/j.euros.2022.10.011")</f>
        <v>http://dx.doi.org/10.1016/j.euros.2022.10.011</v>
      </c>
      <c r="BG228" t="s">
        <v>74</v>
      </c>
      <c r="BH228" t="s">
        <v>683</v>
      </c>
      <c r="BI228" t="s">
        <v>74</v>
      </c>
      <c r="BJ228" t="s">
        <v>74</v>
      </c>
      <c r="BK228" t="s">
        <v>74</v>
      </c>
      <c r="BL228" t="s">
        <v>74</v>
      </c>
      <c r="BM228" t="s">
        <v>74</v>
      </c>
      <c r="BN228">
        <v>36388430</v>
      </c>
      <c r="BO228" t="s">
        <v>74</v>
      </c>
      <c r="BP228" t="s">
        <v>74</v>
      </c>
      <c r="BQ228" t="s">
        <v>74</v>
      </c>
      <c r="BR228" t="s">
        <v>74</v>
      </c>
      <c r="BS228" t="s">
        <v>2176</v>
      </c>
      <c r="BT228" t="str">
        <f>HYPERLINK("https%3A%2F%2Fwww.webofscience.com%2Fwos%2Fwoscc%2Ffull-record%2FWOS:000897570000003","View Full Record in Web of Science")</f>
        <v>View Full Record in Web of Science</v>
      </c>
    </row>
    <row r="229" spans="1:72" x14ac:dyDescent="0.25">
      <c r="A229" t="s">
        <v>72</v>
      </c>
      <c r="B229" t="s">
        <v>2177</v>
      </c>
      <c r="C229" t="s">
        <v>74</v>
      </c>
      <c r="D229" t="s">
        <v>74</v>
      </c>
      <c r="E229" t="s">
        <v>74</v>
      </c>
      <c r="F229" t="s">
        <v>2178</v>
      </c>
      <c r="G229" t="s">
        <v>74</v>
      </c>
      <c r="H229" t="s">
        <v>74</v>
      </c>
      <c r="I229" t="s">
        <v>2179</v>
      </c>
      <c r="J229" t="s">
        <v>2180</v>
      </c>
      <c r="K229" t="s">
        <v>74</v>
      </c>
      <c r="L229" t="s">
        <v>74</v>
      </c>
      <c r="M229" t="s">
        <v>74</v>
      </c>
      <c r="N229" t="s">
        <v>74</v>
      </c>
      <c r="O229" t="s">
        <v>74</v>
      </c>
      <c r="P229" t="s">
        <v>74</v>
      </c>
      <c r="Q229" t="s">
        <v>74</v>
      </c>
      <c r="R229" t="s">
        <v>74</v>
      </c>
      <c r="S229" t="s">
        <v>74</v>
      </c>
      <c r="T229" t="s">
        <v>74</v>
      </c>
      <c r="U229" t="s">
        <v>74</v>
      </c>
      <c r="V229" t="s">
        <v>2181</v>
      </c>
      <c r="W229" t="s">
        <v>74</v>
      </c>
      <c r="X229" t="s">
        <v>74</v>
      </c>
      <c r="Y229" t="s">
        <v>74</v>
      </c>
      <c r="Z229" t="s">
        <v>74</v>
      </c>
      <c r="AA229" t="s">
        <v>2182</v>
      </c>
      <c r="AB229" t="s">
        <v>2183</v>
      </c>
      <c r="AC229" t="s">
        <v>74</v>
      </c>
      <c r="AD229" t="s">
        <v>74</v>
      </c>
      <c r="AE229" t="s">
        <v>74</v>
      </c>
      <c r="AF229" t="s">
        <v>74</v>
      </c>
      <c r="AG229" t="s">
        <v>74</v>
      </c>
      <c r="AH229" t="s">
        <v>74</v>
      </c>
      <c r="AI229" t="s">
        <v>74</v>
      </c>
      <c r="AJ229" t="s">
        <v>74</v>
      </c>
      <c r="AK229" t="s">
        <v>74</v>
      </c>
      <c r="AL229" t="s">
        <v>74</v>
      </c>
      <c r="AM229" t="s">
        <v>74</v>
      </c>
      <c r="AN229" t="s">
        <v>74</v>
      </c>
      <c r="AO229" t="s">
        <v>2184</v>
      </c>
      <c r="AP229" t="s">
        <v>74</v>
      </c>
      <c r="AQ229" t="s">
        <v>74</v>
      </c>
      <c r="AR229" t="s">
        <v>74</v>
      </c>
      <c r="AS229" t="s">
        <v>74</v>
      </c>
      <c r="AT229" t="s">
        <v>2185</v>
      </c>
      <c r="AU229">
        <v>2022</v>
      </c>
      <c r="AV229">
        <v>5</v>
      </c>
      <c r="AW229">
        <v>1</v>
      </c>
      <c r="AX229" t="s">
        <v>74</v>
      </c>
      <c r="AY229" t="s">
        <v>74</v>
      </c>
      <c r="AZ229" t="s">
        <v>74</v>
      </c>
      <c r="BA229" t="s">
        <v>74</v>
      </c>
      <c r="BB229" t="s">
        <v>74</v>
      </c>
      <c r="BC229" t="s">
        <v>74</v>
      </c>
      <c r="BD229">
        <v>132</v>
      </c>
      <c r="BE229" t="s">
        <v>2186</v>
      </c>
      <c r="BF229" t="str">
        <f>HYPERLINK("http://dx.doi.org/10.1038/s41746-022-00682-x","http://dx.doi.org/10.1038/s41746-022-00682-x")</f>
        <v>http://dx.doi.org/10.1038/s41746-022-00682-x</v>
      </c>
      <c r="BG229" t="s">
        <v>74</v>
      </c>
      <c r="BH229" t="s">
        <v>74</v>
      </c>
      <c r="BI229" t="s">
        <v>74</v>
      </c>
      <c r="BJ229" t="s">
        <v>74</v>
      </c>
      <c r="BK229" t="s">
        <v>74</v>
      </c>
      <c r="BL229" t="s">
        <v>74</v>
      </c>
      <c r="BM229" t="s">
        <v>74</v>
      </c>
      <c r="BN229">
        <v>36056245</v>
      </c>
      <c r="BO229" t="s">
        <v>74</v>
      </c>
      <c r="BP229" t="s">
        <v>74</v>
      </c>
      <c r="BQ229" t="s">
        <v>74</v>
      </c>
      <c r="BR229" t="s">
        <v>74</v>
      </c>
      <c r="BS229" t="s">
        <v>2187</v>
      </c>
      <c r="BT229" t="str">
        <f>HYPERLINK("https%3A%2F%2Fwww.webofscience.com%2Fwos%2Fwoscc%2Ffull-record%2FWOS:000849215500001","View Full Record in Web of Science")</f>
        <v>View Full Record in Web of Science</v>
      </c>
    </row>
    <row r="230" spans="1:72" x14ac:dyDescent="0.25">
      <c r="A230" t="s">
        <v>84</v>
      </c>
      <c r="B230" t="s">
        <v>2188</v>
      </c>
      <c r="C230" t="s">
        <v>74</v>
      </c>
      <c r="D230" t="s">
        <v>74</v>
      </c>
      <c r="E230" t="s">
        <v>233</v>
      </c>
      <c r="F230" t="s">
        <v>2189</v>
      </c>
      <c r="G230" t="s">
        <v>74</v>
      </c>
      <c r="H230" t="s">
        <v>74</v>
      </c>
      <c r="I230" t="s">
        <v>2190</v>
      </c>
      <c r="J230" t="s">
        <v>1689</v>
      </c>
      <c r="K230" t="s">
        <v>1690</v>
      </c>
      <c r="L230" t="s">
        <v>74</v>
      </c>
      <c r="M230" t="s">
        <v>74</v>
      </c>
      <c r="N230" t="s">
        <v>74</v>
      </c>
      <c r="O230" t="s">
        <v>1691</v>
      </c>
      <c r="P230" t="s">
        <v>1692</v>
      </c>
      <c r="Q230" t="s">
        <v>1693</v>
      </c>
      <c r="R230" t="s">
        <v>1694</v>
      </c>
      <c r="S230" t="s">
        <v>74</v>
      </c>
      <c r="T230" t="s">
        <v>74</v>
      </c>
      <c r="U230" t="s">
        <v>74</v>
      </c>
      <c r="V230" t="s">
        <v>2191</v>
      </c>
      <c r="W230" t="s">
        <v>74</v>
      </c>
      <c r="X230" t="s">
        <v>74</v>
      </c>
      <c r="Y230" t="s">
        <v>74</v>
      </c>
      <c r="Z230" t="s">
        <v>74</v>
      </c>
      <c r="AA230" t="s">
        <v>74</v>
      </c>
      <c r="AB230" t="s">
        <v>74</v>
      </c>
      <c r="AC230" t="s">
        <v>74</v>
      </c>
      <c r="AD230" t="s">
        <v>74</v>
      </c>
      <c r="AE230" t="s">
        <v>74</v>
      </c>
      <c r="AF230" t="s">
        <v>74</v>
      </c>
      <c r="AG230" t="s">
        <v>74</v>
      </c>
      <c r="AH230" t="s">
        <v>74</v>
      </c>
      <c r="AI230" t="s">
        <v>74</v>
      </c>
      <c r="AJ230" t="s">
        <v>74</v>
      </c>
      <c r="AK230" t="s">
        <v>74</v>
      </c>
      <c r="AL230" t="s">
        <v>74</v>
      </c>
      <c r="AM230" t="s">
        <v>74</v>
      </c>
      <c r="AN230" t="s">
        <v>74</v>
      </c>
      <c r="AO230" t="s">
        <v>1696</v>
      </c>
      <c r="AP230" t="s">
        <v>1697</v>
      </c>
      <c r="AQ230" t="s">
        <v>1698</v>
      </c>
      <c r="AR230" t="s">
        <v>74</v>
      </c>
      <c r="AS230" t="s">
        <v>74</v>
      </c>
      <c r="AT230" t="s">
        <v>74</v>
      </c>
      <c r="AU230">
        <v>2022</v>
      </c>
      <c r="AV230" t="s">
        <v>74</v>
      </c>
      <c r="AW230" t="s">
        <v>74</v>
      </c>
      <c r="AX230" t="s">
        <v>74</v>
      </c>
      <c r="AY230" t="s">
        <v>74</v>
      </c>
      <c r="AZ230" t="s">
        <v>74</v>
      </c>
      <c r="BA230" t="s">
        <v>74</v>
      </c>
      <c r="BB230">
        <v>542</v>
      </c>
      <c r="BC230">
        <v>547</v>
      </c>
      <c r="BD230" t="s">
        <v>74</v>
      </c>
      <c r="BE230" t="s">
        <v>2192</v>
      </c>
      <c r="BF230" t="str">
        <f>HYPERLINK("http://dx.doi.org/10.1109/ISMAR-Adjunct57072.2022.00114","http://dx.doi.org/10.1109/ISMAR-Adjunct57072.2022.00114")</f>
        <v>http://dx.doi.org/10.1109/ISMAR-Adjunct57072.2022.00114</v>
      </c>
      <c r="BG230" t="s">
        <v>74</v>
      </c>
      <c r="BH230" t="s">
        <v>74</v>
      </c>
      <c r="BI230" t="s">
        <v>74</v>
      </c>
      <c r="BJ230" t="s">
        <v>74</v>
      </c>
      <c r="BK230" t="s">
        <v>74</v>
      </c>
      <c r="BL230" t="s">
        <v>74</v>
      </c>
      <c r="BM230" t="s">
        <v>74</v>
      </c>
      <c r="BN230" t="s">
        <v>74</v>
      </c>
      <c r="BO230" t="s">
        <v>74</v>
      </c>
      <c r="BP230" t="s">
        <v>74</v>
      </c>
      <c r="BQ230" t="s">
        <v>74</v>
      </c>
      <c r="BR230" t="s">
        <v>74</v>
      </c>
      <c r="BS230" t="s">
        <v>2193</v>
      </c>
      <c r="BT230" t="str">
        <f>HYPERLINK("https%3A%2F%2Fwww.webofscience.com%2Fwos%2Fwoscc%2Ffull-record%2FWOS:000918030200103","View Full Record in Web of Science")</f>
        <v>View Full Record in Web of Science</v>
      </c>
    </row>
    <row r="231" spans="1:72" x14ac:dyDescent="0.25">
      <c r="A231" t="s">
        <v>72</v>
      </c>
      <c r="B231" t="s">
        <v>2194</v>
      </c>
      <c r="C231" t="s">
        <v>74</v>
      </c>
      <c r="D231" t="s">
        <v>74</v>
      </c>
      <c r="E231" t="s">
        <v>74</v>
      </c>
      <c r="F231" t="s">
        <v>2195</v>
      </c>
      <c r="G231" t="s">
        <v>74</v>
      </c>
      <c r="H231" t="s">
        <v>74</v>
      </c>
      <c r="I231" t="s">
        <v>2196</v>
      </c>
      <c r="J231" t="s">
        <v>297</v>
      </c>
      <c r="K231" t="s">
        <v>74</v>
      </c>
      <c r="L231" t="s">
        <v>74</v>
      </c>
      <c r="M231" t="s">
        <v>74</v>
      </c>
      <c r="N231" t="s">
        <v>74</v>
      </c>
      <c r="O231" t="s">
        <v>74</v>
      </c>
      <c r="P231" t="s">
        <v>74</v>
      </c>
      <c r="Q231" t="s">
        <v>74</v>
      </c>
      <c r="R231" t="s">
        <v>74</v>
      </c>
      <c r="S231" t="s">
        <v>74</v>
      </c>
      <c r="T231" t="s">
        <v>74</v>
      </c>
      <c r="U231" t="s">
        <v>74</v>
      </c>
      <c r="V231" t="s">
        <v>2197</v>
      </c>
      <c r="W231" t="s">
        <v>74</v>
      </c>
      <c r="X231" t="s">
        <v>74</v>
      </c>
      <c r="Y231" t="s">
        <v>74</v>
      </c>
      <c r="Z231" t="s">
        <v>74</v>
      </c>
      <c r="AA231" t="s">
        <v>74</v>
      </c>
      <c r="AB231" t="s">
        <v>74</v>
      </c>
      <c r="AC231" t="s">
        <v>74</v>
      </c>
      <c r="AD231" t="s">
        <v>74</v>
      </c>
      <c r="AE231" t="s">
        <v>74</v>
      </c>
      <c r="AF231" t="s">
        <v>74</v>
      </c>
      <c r="AG231" t="s">
        <v>74</v>
      </c>
      <c r="AH231" t="s">
        <v>74</v>
      </c>
      <c r="AI231" t="s">
        <v>74</v>
      </c>
      <c r="AJ231" t="s">
        <v>74</v>
      </c>
      <c r="AK231" t="s">
        <v>74</v>
      </c>
      <c r="AL231" t="s">
        <v>74</v>
      </c>
      <c r="AM231" t="s">
        <v>74</v>
      </c>
      <c r="AN231" t="s">
        <v>74</v>
      </c>
      <c r="AO231" t="s">
        <v>74</v>
      </c>
      <c r="AP231" t="s">
        <v>298</v>
      </c>
      <c r="AQ231" t="s">
        <v>74</v>
      </c>
      <c r="AR231" t="s">
        <v>74</v>
      </c>
      <c r="AS231" t="s">
        <v>74</v>
      </c>
      <c r="AT231" t="s">
        <v>2198</v>
      </c>
      <c r="AU231">
        <v>2022</v>
      </c>
      <c r="AV231">
        <v>10</v>
      </c>
      <c r="AW231" t="s">
        <v>74</v>
      </c>
      <c r="AX231" t="s">
        <v>74</v>
      </c>
      <c r="AY231" t="s">
        <v>74</v>
      </c>
      <c r="AZ231" t="s">
        <v>74</v>
      </c>
      <c r="BA231" t="s">
        <v>74</v>
      </c>
      <c r="BB231" t="s">
        <v>74</v>
      </c>
      <c r="BC231" t="s">
        <v>74</v>
      </c>
      <c r="BD231">
        <v>991489</v>
      </c>
      <c r="BE231" t="s">
        <v>2199</v>
      </c>
      <c r="BF231" t="str">
        <f>HYPERLINK("http://dx.doi.org/10.3389/fpubh.2022.991489","http://dx.doi.org/10.3389/fpubh.2022.991489")</f>
        <v>http://dx.doi.org/10.3389/fpubh.2022.991489</v>
      </c>
      <c r="BG231" t="s">
        <v>74</v>
      </c>
      <c r="BH231" t="s">
        <v>74</v>
      </c>
      <c r="BI231" t="s">
        <v>74</v>
      </c>
      <c r="BJ231" t="s">
        <v>74</v>
      </c>
      <c r="BK231" t="s">
        <v>74</v>
      </c>
      <c r="BL231" t="s">
        <v>74</v>
      </c>
      <c r="BM231" t="s">
        <v>74</v>
      </c>
      <c r="BN231">
        <v>36262242</v>
      </c>
      <c r="BO231" t="s">
        <v>74</v>
      </c>
      <c r="BP231" t="s">
        <v>74</v>
      </c>
      <c r="BQ231" t="s">
        <v>74</v>
      </c>
      <c r="BR231" t="s">
        <v>74</v>
      </c>
      <c r="BS231" t="s">
        <v>2200</v>
      </c>
      <c r="BT231" t="str">
        <f>HYPERLINK("https%3A%2F%2Fwww.webofscience.com%2Fwos%2Fwoscc%2Ffull-record%2FWOS:000876268600001","View Full Record in Web of Science")</f>
        <v>View Full Record in Web of Science</v>
      </c>
    </row>
    <row r="232" spans="1:72" x14ac:dyDescent="0.25">
      <c r="A232" t="s">
        <v>72</v>
      </c>
      <c r="B232" t="s">
        <v>2201</v>
      </c>
      <c r="C232" t="s">
        <v>74</v>
      </c>
      <c r="D232" t="s">
        <v>74</v>
      </c>
      <c r="E232" t="s">
        <v>74</v>
      </c>
      <c r="F232" t="s">
        <v>2202</v>
      </c>
      <c r="G232" t="s">
        <v>74</v>
      </c>
      <c r="H232" t="s">
        <v>74</v>
      </c>
      <c r="I232" t="s">
        <v>2203</v>
      </c>
      <c r="J232" t="s">
        <v>2204</v>
      </c>
      <c r="K232" t="s">
        <v>74</v>
      </c>
      <c r="L232" t="s">
        <v>74</v>
      </c>
      <c r="M232" t="s">
        <v>74</v>
      </c>
      <c r="N232" t="s">
        <v>74</v>
      </c>
      <c r="O232" t="s">
        <v>74</v>
      </c>
      <c r="P232" t="s">
        <v>74</v>
      </c>
      <c r="Q232" t="s">
        <v>74</v>
      </c>
      <c r="R232" t="s">
        <v>74</v>
      </c>
      <c r="S232" t="s">
        <v>74</v>
      </c>
      <c r="T232" t="s">
        <v>74</v>
      </c>
      <c r="U232" t="s">
        <v>74</v>
      </c>
      <c r="V232" t="s">
        <v>2205</v>
      </c>
      <c r="W232" t="s">
        <v>74</v>
      </c>
      <c r="X232" t="s">
        <v>74</v>
      </c>
      <c r="Y232" t="s">
        <v>74</v>
      </c>
      <c r="Z232" t="s">
        <v>74</v>
      </c>
      <c r="AA232" t="s">
        <v>74</v>
      </c>
      <c r="AB232" t="s">
        <v>2206</v>
      </c>
      <c r="AC232" t="s">
        <v>74</v>
      </c>
      <c r="AD232" t="s">
        <v>74</v>
      </c>
      <c r="AE232" t="s">
        <v>74</v>
      </c>
      <c r="AF232" t="s">
        <v>74</v>
      </c>
      <c r="AG232" t="s">
        <v>74</v>
      </c>
      <c r="AH232" t="s">
        <v>74</v>
      </c>
      <c r="AI232" t="s">
        <v>74</v>
      </c>
      <c r="AJ232" t="s">
        <v>74</v>
      </c>
      <c r="AK232" t="s">
        <v>74</v>
      </c>
      <c r="AL232" t="s">
        <v>74</v>
      </c>
      <c r="AM232" t="s">
        <v>74</v>
      </c>
      <c r="AN232" t="s">
        <v>74</v>
      </c>
      <c r="AO232" t="s">
        <v>74</v>
      </c>
      <c r="AP232" t="s">
        <v>2207</v>
      </c>
      <c r="AQ232" t="s">
        <v>74</v>
      </c>
      <c r="AR232" t="s">
        <v>74</v>
      </c>
      <c r="AS232" t="s">
        <v>74</v>
      </c>
      <c r="AT232" t="s">
        <v>1202</v>
      </c>
      <c r="AU232">
        <v>2023</v>
      </c>
      <c r="AV232">
        <v>10</v>
      </c>
      <c r="AW232">
        <v>4</v>
      </c>
      <c r="AX232" t="s">
        <v>74</v>
      </c>
      <c r="AY232" t="s">
        <v>74</v>
      </c>
      <c r="AZ232" t="s">
        <v>74</v>
      </c>
      <c r="BA232" t="s">
        <v>74</v>
      </c>
      <c r="BB232" t="s">
        <v>74</v>
      </c>
      <c r="BC232" t="s">
        <v>74</v>
      </c>
      <c r="BD232">
        <v>455</v>
      </c>
      <c r="BE232" t="s">
        <v>2208</v>
      </c>
      <c r="BF232" t="str">
        <f>HYPERLINK("http://dx.doi.org/10.3390/bioengineering10040455","http://dx.doi.org/10.3390/bioengineering10040455")</f>
        <v>http://dx.doi.org/10.3390/bioengineering10040455</v>
      </c>
      <c r="BG232" t="s">
        <v>74</v>
      </c>
      <c r="BH232" t="s">
        <v>74</v>
      </c>
      <c r="BI232" t="s">
        <v>74</v>
      </c>
      <c r="BJ232" t="s">
        <v>74</v>
      </c>
      <c r="BK232" t="s">
        <v>74</v>
      </c>
      <c r="BL232" t="s">
        <v>74</v>
      </c>
      <c r="BM232" t="s">
        <v>74</v>
      </c>
      <c r="BN232">
        <v>37106642</v>
      </c>
      <c r="BO232" t="s">
        <v>74</v>
      </c>
      <c r="BP232" t="s">
        <v>74</v>
      </c>
      <c r="BQ232" t="s">
        <v>74</v>
      </c>
      <c r="BR232" t="s">
        <v>74</v>
      </c>
      <c r="BS232" t="s">
        <v>2209</v>
      </c>
      <c r="BT232" t="str">
        <f>HYPERLINK("https%3A%2F%2Fwww.webofscience.com%2Fwos%2Fwoscc%2Ffull-record%2FWOS:000977541200001","View Full Record in Web of Science")</f>
        <v>View Full Record in Web of Science</v>
      </c>
    </row>
    <row r="233" spans="1:72" x14ac:dyDescent="0.25">
      <c r="A233" t="s">
        <v>84</v>
      </c>
      <c r="B233" t="s">
        <v>2210</v>
      </c>
      <c r="C233" t="s">
        <v>74</v>
      </c>
      <c r="D233" t="s">
        <v>2211</v>
      </c>
      <c r="E233" t="s">
        <v>74</v>
      </c>
      <c r="F233" t="s">
        <v>2212</v>
      </c>
      <c r="G233" t="s">
        <v>74</v>
      </c>
      <c r="H233" t="s">
        <v>74</v>
      </c>
      <c r="I233" t="s">
        <v>2213</v>
      </c>
      <c r="J233" t="s">
        <v>2214</v>
      </c>
      <c r="K233" t="s">
        <v>74</v>
      </c>
      <c r="L233" t="s">
        <v>74</v>
      </c>
      <c r="M233" t="s">
        <v>74</v>
      </c>
      <c r="N233" t="s">
        <v>74</v>
      </c>
      <c r="O233" t="s">
        <v>2215</v>
      </c>
      <c r="P233" t="s">
        <v>2216</v>
      </c>
      <c r="Q233" t="s">
        <v>2217</v>
      </c>
      <c r="R233" t="s">
        <v>74</v>
      </c>
      <c r="S233" t="s">
        <v>74</v>
      </c>
      <c r="T233" t="s">
        <v>74</v>
      </c>
      <c r="U233" t="s">
        <v>74</v>
      </c>
      <c r="V233" t="s">
        <v>2218</v>
      </c>
      <c r="W233" t="s">
        <v>74</v>
      </c>
      <c r="X233" t="s">
        <v>74</v>
      </c>
      <c r="Y233" t="s">
        <v>74</v>
      </c>
      <c r="Z233" t="s">
        <v>74</v>
      </c>
      <c r="AA233" t="s">
        <v>2219</v>
      </c>
      <c r="AB233" t="s">
        <v>2220</v>
      </c>
      <c r="AC233" t="s">
        <v>74</v>
      </c>
      <c r="AD233" t="s">
        <v>74</v>
      </c>
      <c r="AE233" t="s">
        <v>74</v>
      </c>
      <c r="AF233" t="s">
        <v>74</v>
      </c>
      <c r="AG233" t="s">
        <v>74</v>
      </c>
      <c r="AH233" t="s">
        <v>74</v>
      </c>
      <c r="AI233" t="s">
        <v>74</v>
      </c>
      <c r="AJ233" t="s">
        <v>74</v>
      </c>
      <c r="AK233" t="s">
        <v>74</v>
      </c>
      <c r="AL233" t="s">
        <v>74</v>
      </c>
      <c r="AM233" t="s">
        <v>74</v>
      </c>
      <c r="AN233" t="s">
        <v>74</v>
      </c>
      <c r="AO233" t="s">
        <v>74</v>
      </c>
      <c r="AP233" t="s">
        <v>74</v>
      </c>
      <c r="AQ233" t="s">
        <v>2221</v>
      </c>
      <c r="AR233" t="s">
        <v>74</v>
      </c>
      <c r="AS233" t="s">
        <v>74</v>
      </c>
      <c r="AT233" t="s">
        <v>74</v>
      </c>
      <c r="AU233">
        <v>2022</v>
      </c>
      <c r="AV233" t="s">
        <v>74</v>
      </c>
      <c r="AW233" t="s">
        <v>74</v>
      </c>
      <c r="AX233" t="s">
        <v>74</v>
      </c>
      <c r="AY233" t="s">
        <v>74</v>
      </c>
      <c r="AZ233" t="s">
        <v>74</v>
      </c>
      <c r="BA233" t="s">
        <v>74</v>
      </c>
      <c r="BB233" t="s">
        <v>74</v>
      </c>
      <c r="BC233" t="s">
        <v>74</v>
      </c>
      <c r="BD233" t="s">
        <v>74</v>
      </c>
      <c r="BE233" t="s">
        <v>2222</v>
      </c>
      <c r="BF233" t="str">
        <f>HYPERLINK("http://dx.doi.org/10.1109/ME54704.2022.9983328","http://dx.doi.org/10.1109/ME54704.2022.9983328")</f>
        <v>http://dx.doi.org/10.1109/ME54704.2022.9983328</v>
      </c>
      <c r="BG233" t="s">
        <v>74</v>
      </c>
      <c r="BH233" t="s">
        <v>74</v>
      </c>
      <c r="BI233" t="s">
        <v>74</v>
      </c>
      <c r="BJ233" t="s">
        <v>74</v>
      </c>
      <c r="BK233" t="s">
        <v>74</v>
      </c>
      <c r="BL233" t="s">
        <v>74</v>
      </c>
      <c r="BM233" t="s">
        <v>74</v>
      </c>
      <c r="BN233" t="s">
        <v>74</v>
      </c>
      <c r="BO233" t="s">
        <v>74</v>
      </c>
      <c r="BP233" t="s">
        <v>74</v>
      </c>
      <c r="BQ233" t="s">
        <v>74</v>
      </c>
      <c r="BR233" t="s">
        <v>74</v>
      </c>
      <c r="BS233" t="s">
        <v>2223</v>
      </c>
      <c r="BT233" t="str">
        <f>HYPERLINK("https%3A%2F%2Fwww.webofscience.com%2Fwos%2Fwoscc%2Ffull-record%2FWOS:000947331700058","View Full Record in Web of Science")</f>
        <v>View Full Record in Web of Science</v>
      </c>
    </row>
    <row r="234" spans="1:72" x14ac:dyDescent="0.25">
      <c r="A234" t="s">
        <v>72</v>
      </c>
      <c r="B234" t="s">
        <v>2224</v>
      </c>
      <c r="C234" t="s">
        <v>74</v>
      </c>
      <c r="D234" t="s">
        <v>74</v>
      </c>
      <c r="E234" t="s">
        <v>74</v>
      </c>
      <c r="F234" t="s">
        <v>2225</v>
      </c>
      <c r="G234" t="s">
        <v>74</v>
      </c>
      <c r="H234" t="s">
        <v>74</v>
      </c>
      <c r="I234" t="s">
        <v>2226</v>
      </c>
      <c r="J234" t="s">
        <v>2227</v>
      </c>
      <c r="K234" t="s">
        <v>74</v>
      </c>
      <c r="L234" t="s">
        <v>74</v>
      </c>
      <c r="M234" t="s">
        <v>74</v>
      </c>
      <c r="N234" t="s">
        <v>74</v>
      </c>
      <c r="O234" t="s">
        <v>74</v>
      </c>
      <c r="P234" t="s">
        <v>74</v>
      </c>
      <c r="Q234" t="s">
        <v>74</v>
      </c>
      <c r="R234" t="s">
        <v>74</v>
      </c>
      <c r="S234" t="s">
        <v>74</v>
      </c>
      <c r="T234" t="s">
        <v>74</v>
      </c>
      <c r="U234" t="s">
        <v>74</v>
      </c>
      <c r="V234" t="s">
        <v>2228</v>
      </c>
      <c r="W234" t="s">
        <v>74</v>
      </c>
      <c r="X234" t="s">
        <v>74</v>
      </c>
      <c r="Y234" t="s">
        <v>74</v>
      </c>
      <c r="Z234" t="s">
        <v>74</v>
      </c>
      <c r="AA234" t="s">
        <v>2229</v>
      </c>
      <c r="AB234" t="s">
        <v>2230</v>
      </c>
      <c r="AC234" t="s">
        <v>74</v>
      </c>
      <c r="AD234" t="s">
        <v>74</v>
      </c>
      <c r="AE234" t="s">
        <v>74</v>
      </c>
      <c r="AF234" t="s">
        <v>74</v>
      </c>
      <c r="AG234" t="s">
        <v>74</v>
      </c>
      <c r="AH234" t="s">
        <v>74</v>
      </c>
      <c r="AI234" t="s">
        <v>74</v>
      </c>
      <c r="AJ234" t="s">
        <v>74</v>
      </c>
      <c r="AK234" t="s">
        <v>74</v>
      </c>
      <c r="AL234" t="s">
        <v>74</v>
      </c>
      <c r="AM234" t="s">
        <v>74</v>
      </c>
      <c r="AN234" t="s">
        <v>74</v>
      </c>
      <c r="AO234" t="s">
        <v>2231</v>
      </c>
      <c r="AP234" t="s">
        <v>74</v>
      </c>
      <c r="AQ234" t="s">
        <v>74</v>
      </c>
      <c r="AR234" t="s">
        <v>74</v>
      </c>
      <c r="AS234" t="s">
        <v>74</v>
      </c>
      <c r="AT234" t="s">
        <v>2232</v>
      </c>
      <c r="AU234">
        <v>2023</v>
      </c>
      <c r="AV234">
        <v>31</v>
      </c>
      <c r="AW234">
        <v>2</v>
      </c>
      <c r="AX234" t="s">
        <v>74</v>
      </c>
      <c r="AY234" t="s">
        <v>74</v>
      </c>
      <c r="AZ234" t="s">
        <v>74</v>
      </c>
      <c r="BA234" t="s">
        <v>74</v>
      </c>
      <c r="BB234">
        <v>1079</v>
      </c>
      <c r="BC234">
        <v>1091</v>
      </c>
      <c r="BD234" t="s">
        <v>74</v>
      </c>
      <c r="BE234" t="s">
        <v>2233</v>
      </c>
      <c r="BF234" t="str">
        <f>HYPERLINK("http://dx.doi.org/10.1364/OE.478516","http://dx.doi.org/10.1364/OE.478516")</f>
        <v>http://dx.doi.org/10.1364/OE.478516</v>
      </c>
      <c r="BG234" t="s">
        <v>74</v>
      </c>
      <c r="BH234" t="s">
        <v>74</v>
      </c>
      <c r="BI234" t="s">
        <v>74</v>
      </c>
      <c r="BJ234" t="s">
        <v>74</v>
      </c>
      <c r="BK234" t="s">
        <v>74</v>
      </c>
      <c r="BL234" t="s">
        <v>74</v>
      </c>
      <c r="BM234" t="s">
        <v>74</v>
      </c>
      <c r="BN234">
        <v>36785150</v>
      </c>
      <c r="BO234" t="s">
        <v>74</v>
      </c>
      <c r="BP234" t="s">
        <v>74</v>
      </c>
      <c r="BQ234" t="s">
        <v>74</v>
      </c>
      <c r="BR234" t="s">
        <v>74</v>
      </c>
      <c r="BS234" t="s">
        <v>2234</v>
      </c>
      <c r="BT234" t="str">
        <f>HYPERLINK("https%3A%2F%2Fwww.webofscience.com%2Fwos%2Fwoscc%2Ffull-record%2FWOS:000921618900024","View Full Record in Web of Science")</f>
        <v>View Full Record in Web of Science</v>
      </c>
    </row>
    <row r="235" spans="1:72" x14ac:dyDescent="0.25">
      <c r="A235" t="s">
        <v>72</v>
      </c>
      <c r="B235" t="s">
        <v>2235</v>
      </c>
      <c r="C235" t="s">
        <v>74</v>
      </c>
      <c r="D235" t="s">
        <v>74</v>
      </c>
      <c r="E235" t="s">
        <v>74</v>
      </c>
      <c r="F235" t="s">
        <v>2236</v>
      </c>
      <c r="G235" t="s">
        <v>74</v>
      </c>
      <c r="H235" t="s">
        <v>74</v>
      </c>
      <c r="I235" t="s">
        <v>2237</v>
      </c>
      <c r="J235" t="s">
        <v>77</v>
      </c>
      <c r="K235" t="s">
        <v>74</v>
      </c>
      <c r="L235" t="s">
        <v>74</v>
      </c>
      <c r="M235" t="s">
        <v>74</v>
      </c>
      <c r="N235" t="s">
        <v>74</v>
      </c>
      <c r="O235" t="s">
        <v>74</v>
      </c>
      <c r="P235" t="s">
        <v>74</v>
      </c>
      <c r="Q235" t="s">
        <v>74</v>
      </c>
      <c r="R235" t="s">
        <v>74</v>
      </c>
      <c r="S235" t="s">
        <v>74</v>
      </c>
      <c r="T235" t="s">
        <v>74</v>
      </c>
      <c r="U235" t="s">
        <v>74</v>
      </c>
      <c r="V235" t="s">
        <v>2238</v>
      </c>
      <c r="W235" t="s">
        <v>74</v>
      </c>
      <c r="X235" t="s">
        <v>74</v>
      </c>
      <c r="Y235" t="s">
        <v>74</v>
      </c>
      <c r="Z235" t="s">
        <v>74</v>
      </c>
      <c r="AA235" t="s">
        <v>74</v>
      </c>
      <c r="AB235" t="s">
        <v>74</v>
      </c>
      <c r="AC235" t="s">
        <v>74</v>
      </c>
      <c r="AD235" t="s">
        <v>74</v>
      </c>
      <c r="AE235" t="s">
        <v>74</v>
      </c>
      <c r="AF235" t="s">
        <v>74</v>
      </c>
      <c r="AG235" t="s">
        <v>74</v>
      </c>
      <c r="AH235" t="s">
        <v>74</v>
      </c>
      <c r="AI235" t="s">
        <v>74</v>
      </c>
      <c r="AJ235" t="s">
        <v>74</v>
      </c>
      <c r="AK235" t="s">
        <v>74</v>
      </c>
      <c r="AL235" t="s">
        <v>74</v>
      </c>
      <c r="AM235" t="s">
        <v>74</v>
      </c>
      <c r="AN235" t="s">
        <v>74</v>
      </c>
      <c r="AO235" t="s">
        <v>74</v>
      </c>
      <c r="AP235" t="s">
        <v>80</v>
      </c>
      <c r="AQ235" t="s">
        <v>74</v>
      </c>
      <c r="AR235" t="s">
        <v>74</v>
      </c>
      <c r="AS235" t="s">
        <v>74</v>
      </c>
      <c r="AT235" t="s">
        <v>175</v>
      </c>
      <c r="AU235">
        <v>2023</v>
      </c>
      <c r="AV235">
        <v>20</v>
      </c>
      <c r="AW235">
        <v>1</v>
      </c>
      <c r="AX235" t="s">
        <v>74</v>
      </c>
      <c r="AY235" t="s">
        <v>74</v>
      </c>
      <c r="AZ235" t="s">
        <v>74</v>
      </c>
      <c r="BA235" t="s">
        <v>74</v>
      </c>
      <c r="BB235" t="s">
        <v>74</v>
      </c>
      <c r="BC235" t="s">
        <v>74</v>
      </c>
      <c r="BD235">
        <v>760</v>
      </c>
      <c r="BE235" t="s">
        <v>2239</v>
      </c>
      <c r="BF235" t="str">
        <f>HYPERLINK("http://dx.doi.org/10.3390/ijerph20010760","http://dx.doi.org/10.3390/ijerph20010760")</f>
        <v>http://dx.doi.org/10.3390/ijerph20010760</v>
      </c>
      <c r="BG235" t="s">
        <v>74</v>
      </c>
      <c r="BH235" t="s">
        <v>74</v>
      </c>
      <c r="BI235" t="s">
        <v>74</v>
      </c>
      <c r="BJ235" t="s">
        <v>74</v>
      </c>
      <c r="BK235" t="s">
        <v>74</v>
      </c>
      <c r="BL235" t="s">
        <v>74</v>
      </c>
      <c r="BM235" t="s">
        <v>74</v>
      </c>
      <c r="BN235">
        <v>36613086</v>
      </c>
      <c r="BO235" t="s">
        <v>74</v>
      </c>
      <c r="BP235" t="s">
        <v>74</v>
      </c>
      <c r="BQ235" t="s">
        <v>74</v>
      </c>
      <c r="BR235" t="s">
        <v>74</v>
      </c>
      <c r="BS235" t="s">
        <v>2240</v>
      </c>
      <c r="BT235" t="str">
        <f>HYPERLINK("https%3A%2F%2Fwww.webofscience.com%2Fwos%2Fwoscc%2Ffull-record%2FWOS:000908936400001","View Full Record in Web of Science")</f>
        <v>View Full Record in Web of Science</v>
      </c>
    </row>
    <row r="236" spans="1:72" x14ac:dyDescent="0.25">
      <c r="A236" t="s">
        <v>72</v>
      </c>
      <c r="B236" t="s">
        <v>2241</v>
      </c>
      <c r="C236" t="s">
        <v>74</v>
      </c>
      <c r="D236" t="s">
        <v>74</v>
      </c>
      <c r="E236" t="s">
        <v>74</v>
      </c>
      <c r="F236" t="s">
        <v>2242</v>
      </c>
      <c r="G236" t="s">
        <v>74</v>
      </c>
      <c r="H236" t="s">
        <v>74</v>
      </c>
      <c r="I236" t="s">
        <v>2243</v>
      </c>
      <c r="J236" t="s">
        <v>2244</v>
      </c>
      <c r="K236" t="s">
        <v>74</v>
      </c>
      <c r="L236" t="s">
        <v>74</v>
      </c>
      <c r="M236" t="s">
        <v>74</v>
      </c>
      <c r="N236" t="s">
        <v>74</v>
      </c>
      <c r="O236" t="s">
        <v>74</v>
      </c>
      <c r="P236" t="s">
        <v>74</v>
      </c>
      <c r="Q236" t="s">
        <v>74</v>
      </c>
      <c r="R236" t="s">
        <v>74</v>
      </c>
      <c r="S236" t="s">
        <v>74</v>
      </c>
      <c r="T236" t="s">
        <v>74</v>
      </c>
      <c r="U236" t="s">
        <v>74</v>
      </c>
      <c r="V236" t="s">
        <v>2245</v>
      </c>
      <c r="W236" t="s">
        <v>74</v>
      </c>
      <c r="X236" t="s">
        <v>74</v>
      </c>
      <c r="Y236" t="s">
        <v>74</v>
      </c>
      <c r="Z236" t="s">
        <v>74</v>
      </c>
      <c r="AA236" t="s">
        <v>74</v>
      </c>
      <c r="AB236" t="s">
        <v>2246</v>
      </c>
      <c r="AC236" t="s">
        <v>74</v>
      </c>
      <c r="AD236" t="s">
        <v>74</v>
      </c>
      <c r="AE236" t="s">
        <v>74</v>
      </c>
      <c r="AF236" t="s">
        <v>74</v>
      </c>
      <c r="AG236" t="s">
        <v>74</v>
      </c>
      <c r="AH236" t="s">
        <v>74</v>
      </c>
      <c r="AI236" t="s">
        <v>74</v>
      </c>
      <c r="AJ236" t="s">
        <v>74</v>
      </c>
      <c r="AK236" t="s">
        <v>74</v>
      </c>
      <c r="AL236" t="s">
        <v>74</v>
      </c>
      <c r="AM236" t="s">
        <v>74</v>
      </c>
      <c r="AN236" t="s">
        <v>74</v>
      </c>
      <c r="AO236" t="s">
        <v>2247</v>
      </c>
      <c r="AP236" t="s">
        <v>2248</v>
      </c>
      <c r="AQ236" t="s">
        <v>74</v>
      </c>
      <c r="AR236" t="s">
        <v>74</v>
      </c>
      <c r="AS236" t="s">
        <v>74</v>
      </c>
      <c r="AT236" t="s">
        <v>366</v>
      </c>
      <c r="AU236">
        <v>2022</v>
      </c>
      <c r="AV236">
        <v>50</v>
      </c>
      <c r="AW236" t="s">
        <v>74</v>
      </c>
      <c r="AX236" t="s">
        <v>74</v>
      </c>
      <c r="AY236" t="s">
        <v>74</v>
      </c>
      <c r="AZ236" t="s">
        <v>74</v>
      </c>
      <c r="BA236" t="s">
        <v>74</v>
      </c>
      <c r="BB236" t="s">
        <v>74</v>
      </c>
      <c r="BC236" t="s">
        <v>74</v>
      </c>
      <c r="BD236">
        <v>101814</v>
      </c>
      <c r="BE236" t="s">
        <v>2249</v>
      </c>
      <c r="BF236" t="str">
        <f>HYPERLINK("http://dx.doi.org/10.1016/j.seta.2021.101814","http://dx.doi.org/10.1016/j.seta.2021.101814")</f>
        <v>http://dx.doi.org/10.1016/j.seta.2021.101814</v>
      </c>
      <c r="BG236" t="s">
        <v>74</v>
      </c>
      <c r="BH236" t="s">
        <v>2250</v>
      </c>
      <c r="BI236" t="s">
        <v>74</v>
      </c>
      <c r="BJ236" t="s">
        <v>74</v>
      </c>
      <c r="BK236" t="s">
        <v>74</v>
      </c>
      <c r="BL236" t="s">
        <v>74</v>
      </c>
      <c r="BM236" t="s">
        <v>74</v>
      </c>
      <c r="BN236" t="s">
        <v>74</v>
      </c>
      <c r="BO236" t="s">
        <v>74</v>
      </c>
      <c r="BP236" t="s">
        <v>74</v>
      </c>
      <c r="BQ236" t="s">
        <v>74</v>
      </c>
      <c r="BR236" t="s">
        <v>74</v>
      </c>
      <c r="BS236" t="s">
        <v>2251</v>
      </c>
      <c r="BT236" t="str">
        <f>HYPERLINK("https%3A%2F%2Fwww.webofscience.com%2Fwos%2Fwoscc%2Ffull-record%2FWOS:000734476200001","View Full Record in Web of Science")</f>
        <v>View Full Record in Web of Science</v>
      </c>
    </row>
    <row r="237" spans="1:72" x14ac:dyDescent="0.25">
      <c r="A237" t="s">
        <v>84</v>
      </c>
      <c r="B237" t="s">
        <v>2252</v>
      </c>
      <c r="C237" t="s">
        <v>74</v>
      </c>
      <c r="D237" t="s">
        <v>74</v>
      </c>
      <c r="E237" t="s">
        <v>86</v>
      </c>
      <c r="F237" t="s">
        <v>2253</v>
      </c>
      <c r="G237" t="s">
        <v>74</v>
      </c>
      <c r="H237" t="s">
        <v>74</v>
      </c>
      <c r="I237" t="s">
        <v>2254</v>
      </c>
      <c r="J237" t="s">
        <v>2255</v>
      </c>
      <c r="K237" t="s">
        <v>2256</v>
      </c>
      <c r="L237" t="s">
        <v>74</v>
      </c>
      <c r="M237" t="s">
        <v>74</v>
      </c>
      <c r="N237" t="s">
        <v>74</v>
      </c>
      <c r="O237" t="s">
        <v>2257</v>
      </c>
      <c r="P237" t="s">
        <v>2258</v>
      </c>
      <c r="Q237" t="s">
        <v>2259</v>
      </c>
      <c r="R237" t="s">
        <v>86</v>
      </c>
      <c r="S237" t="s">
        <v>74</v>
      </c>
      <c r="T237" t="s">
        <v>74</v>
      </c>
      <c r="U237" t="s">
        <v>74</v>
      </c>
      <c r="V237" t="s">
        <v>2260</v>
      </c>
      <c r="W237" t="s">
        <v>74</v>
      </c>
      <c r="X237" t="s">
        <v>74</v>
      </c>
      <c r="Y237" t="s">
        <v>74</v>
      </c>
      <c r="Z237" t="s">
        <v>74</v>
      </c>
      <c r="AA237" t="s">
        <v>74</v>
      </c>
      <c r="AB237" t="s">
        <v>74</v>
      </c>
      <c r="AC237" t="s">
        <v>74</v>
      </c>
      <c r="AD237" t="s">
        <v>74</v>
      </c>
      <c r="AE237" t="s">
        <v>74</v>
      </c>
      <c r="AF237" t="s">
        <v>74</v>
      </c>
      <c r="AG237" t="s">
        <v>74</v>
      </c>
      <c r="AH237" t="s">
        <v>74</v>
      </c>
      <c r="AI237" t="s">
        <v>74</v>
      </c>
      <c r="AJ237" t="s">
        <v>74</v>
      </c>
      <c r="AK237" t="s">
        <v>74</v>
      </c>
      <c r="AL237" t="s">
        <v>74</v>
      </c>
      <c r="AM237" t="s">
        <v>74</v>
      </c>
      <c r="AN237" t="s">
        <v>74</v>
      </c>
      <c r="AO237" t="s">
        <v>2261</v>
      </c>
      <c r="AP237" t="s">
        <v>2262</v>
      </c>
      <c r="AQ237" t="s">
        <v>2263</v>
      </c>
      <c r="AR237" t="s">
        <v>74</v>
      </c>
      <c r="AS237" t="s">
        <v>74</v>
      </c>
      <c r="AT237" t="s">
        <v>74</v>
      </c>
      <c r="AU237">
        <v>2022</v>
      </c>
      <c r="AV237" t="s">
        <v>74</v>
      </c>
      <c r="AW237" t="s">
        <v>74</v>
      </c>
      <c r="AX237" t="s">
        <v>74</v>
      </c>
      <c r="AY237" t="s">
        <v>74</v>
      </c>
      <c r="AZ237" t="s">
        <v>74</v>
      </c>
      <c r="BA237" t="s">
        <v>74</v>
      </c>
      <c r="BB237">
        <v>87</v>
      </c>
      <c r="BC237">
        <v>92</v>
      </c>
      <c r="BD237" t="s">
        <v>74</v>
      </c>
      <c r="BE237" t="s">
        <v>2264</v>
      </c>
      <c r="BF237" t="str">
        <f>HYPERLINK("http://dx.doi.org/10.1109/ECTC51906.2022.00023","http://dx.doi.org/10.1109/ECTC51906.2022.00023")</f>
        <v>http://dx.doi.org/10.1109/ECTC51906.2022.00023</v>
      </c>
      <c r="BG237" t="s">
        <v>74</v>
      </c>
      <c r="BH237" t="s">
        <v>74</v>
      </c>
      <c r="BI237" t="s">
        <v>74</v>
      </c>
      <c r="BJ237" t="s">
        <v>74</v>
      </c>
      <c r="BK237" t="s">
        <v>74</v>
      </c>
      <c r="BL237" t="s">
        <v>74</v>
      </c>
      <c r="BM237" t="s">
        <v>74</v>
      </c>
      <c r="BN237" t="s">
        <v>74</v>
      </c>
      <c r="BO237" t="s">
        <v>74</v>
      </c>
      <c r="BP237" t="s">
        <v>74</v>
      </c>
      <c r="BQ237" t="s">
        <v>74</v>
      </c>
      <c r="BR237" t="s">
        <v>74</v>
      </c>
      <c r="BS237" t="s">
        <v>2265</v>
      </c>
      <c r="BT237" t="str">
        <f>HYPERLINK("https%3A%2F%2Fwww.webofscience.com%2Fwos%2Fwoscc%2Ffull-record%2FWOS:000848765300016","View Full Record in Web of Science")</f>
        <v>View Full Record in Web of Science</v>
      </c>
    </row>
    <row r="238" spans="1:72" x14ac:dyDescent="0.25">
      <c r="A238" t="s">
        <v>84</v>
      </c>
      <c r="B238" t="s">
        <v>2266</v>
      </c>
      <c r="C238" t="s">
        <v>74</v>
      </c>
      <c r="D238" t="s">
        <v>74</v>
      </c>
      <c r="E238" t="s">
        <v>86</v>
      </c>
      <c r="F238" t="s">
        <v>2267</v>
      </c>
      <c r="G238" t="s">
        <v>74</v>
      </c>
      <c r="H238" t="s">
        <v>74</v>
      </c>
      <c r="I238" t="s">
        <v>2268</v>
      </c>
      <c r="J238" t="s">
        <v>2269</v>
      </c>
      <c r="K238" t="s">
        <v>2270</v>
      </c>
      <c r="L238" t="s">
        <v>74</v>
      </c>
      <c r="M238" t="s">
        <v>74</v>
      </c>
      <c r="N238" t="s">
        <v>74</v>
      </c>
      <c r="O238" t="s">
        <v>2271</v>
      </c>
      <c r="P238" t="s">
        <v>2272</v>
      </c>
      <c r="Q238" t="s">
        <v>108</v>
      </c>
      <c r="R238" t="s">
        <v>2273</v>
      </c>
      <c r="S238" t="s">
        <v>74</v>
      </c>
      <c r="T238" t="s">
        <v>74</v>
      </c>
      <c r="U238" t="s">
        <v>74</v>
      </c>
      <c r="V238" t="s">
        <v>2274</v>
      </c>
      <c r="W238" t="s">
        <v>74</v>
      </c>
      <c r="X238" t="s">
        <v>74</v>
      </c>
      <c r="Y238" t="s">
        <v>74</v>
      </c>
      <c r="Z238" t="s">
        <v>74</v>
      </c>
      <c r="AA238" t="s">
        <v>74</v>
      </c>
      <c r="AB238" t="s">
        <v>74</v>
      </c>
      <c r="AC238" t="s">
        <v>74</v>
      </c>
      <c r="AD238" t="s">
        <v>74</v>
      </c>
      <c r="AE238" t="s">
        <v>74</v>
      </c>
      <c r="AF238" t="s">
        <v>74</v>
      </c>
      <c r="AG238" t="s">
        <v>74</v>
      </c>
      <c r="AH238" t="s">
        <v>74</v>
      </c>
      <c r="AI238" t="s">
        <v>74</v>
      </c>
      <c r="AJ238" t="s">
        <v>74</v>
      </c>
      <c r="AK238" t="s">
        <v>74</v>
      </c>
      <c r="AL238" t="s">
        <v>74</v>
      </c>
      <c r="AM238" t="s">
        <v>74</v>
      </c>
      <c r="AN238" t="s">
        <v>74</v>
      </c>
      <c r="AO238" t="s">
        <v>2275</v>
      </c>
      <c r="AP238" t="s">
        <v>74</v>
      </c>
      <c r="AQ238" t="s">
        <v>2276</v>
      </c>
      <c r="AR238" t="s">
        <v>74</v>
      </c>
      <c r="AS238" t="s">
        <v>74</v>
      </c>
      <c r="AT238" t="s">
        <v>74</v>
      </c>
      <c r="AU238">
        <v>2022</v>
      </c>
      <c r="AV238" t="s">
        <v>74</v>
      </c>
      <c r="AW238" t="s">
        <v>74</v>
      </c>
      <c r="AX238" t="s">
        <v>74</v>
      </c>
      <c r="AY238" t="s">
        <v>74</v>
      </c>
      <c r="AZ238" t="s">
        <v>74</v>
      </c>
      <c r="BA238" t="s">
        <v>74</v>
      </c>
      <c r="BB238" t="s">
        <v>74</v>
      </c>
      <c r="BC238" t="s">
        <v>74</v>
      </c>
      <c r="BD238" t="s">
        <v>74</v>
      </c>
      <c r="BE238" t="s">
        <v>2277</v>
      </c>
      <c r="BF238" t="str">
        <f>HYPERLINK("http://dx.doi.org/10.1109/IST55454.2022.9827764","http://dx.doi.org/10.1109/IST55454.2022.9827764")</f>
        <v>http://dx.doi.org/10.1109/IST55454.2022.9827764</v>
      </c>
      <c r="BG238" t="s">
        <v>74</v>
      </c>
      <c r="BH238" t="s">
        <v>74</v>
      </c>
      <c r="BI238" t="s">
        <v>74</v>
      </c>
      <c r="BJ238" t="s">
        <v>74</v>
      </c>
      <c r="BK238" t="s">
        <v>74</v>
      </c>
      <c r="BL238" t="s">
        <v>74</v>
      </c>
      <c r="BM238" t="s">
        <v>74</v>
      </c>
      <c r="BN238" t="s">
        <v>74</v>
      </c>
      <c r="BO238" t="s">
        <v>74</v>
      </c>
      <c r="BP238" t="s">
        <v>74</v>
      </c>
      <c r="BQ238" t="s">
        <v>74</v>
      </c>
      <c r="BR238" t="s">
        <v>74</v>
      </c>
      <c r="BS238" t="s">
        <v>2278</v>
      </c>
      <c r="BT238" t="str">
        <f>HYPERLINK("https%3A%2F%2Fwww.webofscience.com%2Fwos%2Fwoscc%2Ffull-record%2FWOS:000853020700057","View Full Record in Web of Science")</f>
        <v>View Full Record in Web of Science</v>
      </c>
    </row>
    <row r="239" spans="1:72" x14ac:dyDescent="0.25">
      <c r="A239" t="s">
        <v>72</v>
      </c>
      <c r="B239" t="s">
        <v>2279</v>
      </c>
      <c r="C239" t="s">
        <v>74</v>
      </c>
      <c r="D239" t="s">
        <v>74</v>
      </c>
      <c r="E239" t="s">
        <v>74</v>
      </c>
      <c r="F239" t="s">
        <v>2280</v>
      </c>
      <c r="G239" t="s">
        <v>74</v>
      </c>
      <c r="H239" t="s">
        <v>74</v>
      </c>
      <c r="I239" t="s">
        <v>2281</v>
      </c>
      <c r="J239" t="s">
        <v>513</v>
      </c>
      <c r="K239" t="s">
        <v>74</v>
      </c>
      <c r="L239" t="s">
        <v>74</v>
      </c>
      <c r="M239" t="s">
        <v>74</v>
      </c>
      <c r="N239" t="s">
        <v>74</v>
      </c>
      <c r="O239" t="s">
        <v>74</v>
      </c>
      <c r="P239" t="s">
        <v>74</v>
      </c>
      <c r="Q239" t="s">
        <v>74</v>
      </c>
      <c r="R239" t="s">
        <v>74</v>
      </c>
      <c r="S239" t="s">
        <v>74</v>
      </c>
      <c r="T239" t="s">
        <v>74</v>
      </c>
      <c r="U239" t="s">
        <v>74</v>
      </c>
      <c r="V239" t="s">
        <v>2282</v>
      </c>
      <c r="W239" t="s">
        <v>74</v>
      </c>
      <c r="X239" t="s">
        <v>74</v>
      </c>
      <c r="Y239" t="s">
        <v>74</v>
      </c>
      <c r="Z239" t="s">
        <v>74</v>
      </c>
      <c r="AA239" t="s">
        <v>2283</v>
      </c>
      <c r="AB239" t="s">
        <v>2284</v>
      </c>
      <c r="AC239" t="s">
        <v>74</v>
      </c>
      <c r="AD239" t="s">
        <v>74</v>
      </c>
      <c r="AE239" t="s">
        <v>74</v>
      </c>
      <c r="AF239" t="s">
        <v>74</v>
      </c>
      <c r="AG239" t="s">
        <v>74</v>
      </c>
      <c r="AH239" t="s">
        <v>74</v>
      </c>
      <c r="AI239" t="s">
        <v>74</v>
      </c>
      <c r="AJ239" t="s">
        <v>74</v>
      </c>
      <c r="AK239" t="s">
        <v>74</v>
      </c>
      <c r="AL239" t="s">
        <v>74</v>
      </c>
      <c r="AM239" t="s">
        <v>74</v>
      </c>
      <c r="AN239" t="s">
        <v>74</v>
      </c>
      <c r="AO239" t="s">
        <v>74</v>
      </c>
      <c r="AP239" t="s">
        <v>517</v>
      </c>
      <c r="AQ239" t="s">
        <v>74</v>
      </c>
      <c r="AR239" t="s">
        <v>74</v>
      </c>
      <c r="AS239" t="s">
        <v>74</v>
      </c>
      <c r="AT239" t="s">
        <v>175</v>
      </c>
      <c r="AU239">
        <v>2023</v>
      </c>
      <c r="AV239">
        <v>11</v>
      </c>
      <c r="AW239">
        <v>1</v>
      </c>
      <c r="AX239" t="s">
        <v>74</v>
      </c>
      <c r="AY239" t="s">
        <v>74</v>
      </c>
      <c r="AZ239" t="s">
        <v>74</v>
      </c>
      <c r="BA239" t="s">
        <v>74</v>
      </c>
      <c r="BB239" t="s">
        <v>74</v>
      </c>
      <c r="BC239" t="s">
        <v>74</v>
      </c>
      <c r="BD239">
        <v>4</v>
      </c>
      <c r="BE239" t="s">
        <v>2285</v>
      </c>
      <c r="BF239" t="str">
        <f>HYPERLINK("http://dx.doi.org/10.3390/math11010004","http://dx.doi.org/10.3390/math11010004")</f>
        <v>http://dx.doi.org/10.3390/math11010004</v>
      </c>
      <c r="BG239" t="s">
        <v>74</v>
      </c>
      <c r="BH239" t="s">
        <v>74</v>
      </c>
      <c r="BI239" t="s">
        <v>74</v>
      </c>
      <c r="BJ239" t="s">
        <v>74</v>
      </c>
      <c r="BK239" t="s">
        <v>74</v>
      </c>
      <c r="BL239" t="s">
        <v>74</v>
      </c>
      <c r="BM239" t="s">
        <v>74</v>
      </c>
      <c r="BN239" t="s">
        <v>74</v>
      </c>
      <c r="BO239" t="s">
        <v>74</v>
      </c>
      <c r="BP239" t="s">
        <v>74</v>
      </c>
      <c r="BQ239" t="s">
        <v>74</v>
      </c>
      <c r="BR239" t="s">
        <v>74</v>
      </c>
      <c r="BS239" t="s">
        <v>2286</v>
      </c>
      <c r="BT239" t="str">
        <f>HYPERLINK("https%3A%2F%2Fwww.webofscience.com%2Fwos%2Fwoscc%2Ffull-record%2FWOS:000909248900001","View Full Record in Web of Science")</f>
        <v>View Full Record in Web of Science</v>
      </c>
    </row>
    <row r="240" spans="1:72" x14ac:dyDescent="0.25">
      <c r="A240" t="s">
        <v>72</v>
      </c>
      <c r="B240" t="s">
        <v>2287</v>
      </c>
      <c r="C240" t="s">
        <v>74</v>
      </c>
      <c r="D240" t="s">
        <v>74</v>
      </c>
      <c r="E240" t="s">
        <v>74</v>
      </c>
      <c r="F240" t="s">
        <v>2288</v>
      </c>
      <c r="G240" t="s">
        <v>74</v>
      </c>
      <c r="H240" t="s">
        <v>74</v>
      </c>
      <c r="I240" t="s">
        <v>2289</v>
      </c>
      <c r="J240" t="s">
        <v>2290</v>
      </c>
      <c r="K240" t="s">
        <v>74</v>
      </c>
      <c r="L240" t="s">
        <v>74</v>
      </c>
      <c r="M240" t="s">
        <v>74</v>
      </c>
      <c r="N240" t="s">
        <v>74</v>
      </c>
      <c r="O240" t="s">
        <v>74</v>
      </c>
      <c r="P240" t="s">
        <v>74</v>
      </c>
      <c r="Q240" t="s">
        <v>74</v>
      </c>
      <c r="R240" t="s">
        <v>74</v>
      </c>
      <c r="S240" t="s">
        <v>74</v>
      </c>
      <c r="T240" t="s">
        <v>74</v>
      </c>
      <c r="U240" t="s">
        <v>74</v>
      </c>
      <c r="V240" t="s">
        <v>2291</v>
      </c>
      <c r="W240" t="s">
        <v>74</v>
      </c>
      <c r="X240" t="s">
        <v>74</v>
      </c>
      <c r="Y240" t="s">
        <v>74</v>
      </c>
      <c r="Z240" t="s">
        <v>74</v>
      </c>
      <c r="AA240" t="s">
        <v>74</v>
      </c>
      <c r="AB240" t="s">
        <v>74</v>
      </c>
      <c r="AC240" t="s">
        <v>74</v>
      </c>
      <c r="AD240" t="s">
        <v>74</v>
      </c>
      <c r="AE240" t="s">
        <v>74</v>
      </c>
      <c r="AF240" t="s">
        <v>74</v>
      </c>
      <c r="AG240" t="s">
        <v>74</v>
      </c>
      <c r="AH240" t="s">
        <v>74</v>
      </c>
      <c r="AI240" t="s">
        <v>74</v>
      </c>
      <c r="AJ240" t="s">
        <v>74</v>
      </c>
      <c r="AK240" t="s">
        <v>74</v>
      </c>
      <c r="AL240" t="s">
        <v>74</v>
      </c>
      <c r="AM240" t="s">
        <v>74</v>
      </c>
      <c r="AN240" t="s">
        <v>74</v>
      </c>
      <c r="AO240" t="s">
        <v>2292</v>
      </c>
      <c r="AP240" t="s">
        <v>2293</v>
      </c>
      <c r="AQ240" t="s">
        <v>74</v>
      </c>
      <c r="AR240" t="s">
        <v>74</v>
      </c>
      <c r="AS240" t="s">
        <v>74</v>
      </c>
      <c r="AT240" t="s">
        <v>175</v>
      </c>
      <c r="AU240">
        <v>2023</v>
      </c>
      <c r="AV240">
        <v>41</v>
      </c>
      <c r="AW240">
        <v>1</v>
      </c>
      <c r="AX240" t="s">
        <v>74</v>
      </c>
      <c r="AY240" t="s">
        <v>74</v>
      </c>
      <c r="AZ240" t="s">
        <v>1366</v>
      </c>
      <c r="BA240" t="s">
        <v>74</v>
      </c>
      <c r="BB240">
        <v>288</v>
      </c>
      <c r="BC240">
        <v>300</v>
      </c>
      <c r="BD240" t="s">
        <v>74</v>
      </c>
      <c r="BE240" t="s">
        <v>2294</v>
      </c>
      <c r="BF240" t="str">
        <f>HYPERLINK("http://dx.doi.org/10.1109/JSAC.2022.3221993","http://dx.doi.org/10.1109/JSAC.2022.3221993")</f>
        <v>http://dx.doi.org/10.1109/JSAC.2022.3221993</v>
      </c>
      <c r="BG240" t="s">
        <v>74</v>
      </c>
      <c r="BH240" t="s">
        <v>74</v>
      </c>
      <c r="BI240" t="s">
        <v>74</v>
      </c>
      <c r="BJ240" t="s">
        <v>74</v>
      </c>
      <c r="BK240" t="s">
        <v>74</v>
      </c>
      <c r="BL240" t="s">
        <v>74</v>
      </c>
      <c r="BM240" t="s">
        <v>74</v>
      </c>
      <c r="BN240" t="s">
        <v>74</v>
      </c>
      <c r="BO240" t="s">
        <v>74</v>
      </c>
      <c r="BP240" t="s">
        <v>74</v>
      </c>
      <c r="BQ240" t="s">
        <v>74</v>
      </c>
      <c r="BR240" t="s">
        <v>74</v>
      </c>
      <c r="BS240" t="s">
        <v>2295</v>
      </c>
      <c r="BT240" t="str">
        <f>HYPERLINK("https%3A%2F%2Fwww.webofscience.com%2Fwos%2Fwoscc%2Ffull-record%2FWOS:000927934500019","View Full Record in Web of Science")</f>
        <v>View Full Record in Web of Science</v>
      </c>
    </row>
    <row r="241" spans="1:72" x14ac:dyDescent="0.25">
      <c r="A241" t="s">
        <v>84</v>
      </c>
      <c r="B241" t="s">
        <v>2296</v>
      </c>
      <c r="C241" t="s">
        <v>74</v>
      </c>
      <c r="D241" t="s">
        <v>74</v>
      </c>
      <c r="E241" t="s">
        <v>86</v>
      </c>
      <c r="F241" t="s">
        <v>2297</v>
      </c>
      <c r="G241" t="s">
        <v>74</v>
      </c>
      <c r="H241" t="s">
        <v>74</v>
      </c>
      <c r="I241" t="s">
        <v>2298</v>
      </c>
      <c r="J241" t="s">
        <v>2299</v>
      </c>
      <c r="K241" t="s">
        <v>74</v>
      </c>
      <c r="L241" t="s">
        <v>74</v>
      </c>
      <c r="M241" t="s">
        <v>74</v>
      </c>
      <c r="N241" t="s">
        <v>74</v>
      </c>
      <c r="O241" t="s">
        <v>2300</v>
      </c>
      <c r="P241" t="s">
        <v>2301</v>
      </c>
      <c r="Q241" t="s">
        <v>2302</v>
      </c>
      <c r="R241" t="s">
        <v>74</v>
      </c>
      <c r="S241" t="s">
        <v>74</v>
      </c>
      <c r="T241" t="s">
        <v>74</v>
      </c>
      <c r="U241" t="s">
        <v>74</v>
      </c>
      <c r="V241" t="s">
        <v>2303</v>
      </c>
      <c r="W241" t="s">
        <v>74</v>
      </c>
      <c r="X241" t="s">
        <v>74</v>
      </c>
      <c r="Y241" t="s">
        <v>74</v>
      </c>
      <c r="Z241" t="s">
        <v>74</v>
      </c>
      <c r="AA241" t="s">
        <v>74</v>
      </c>
      <c r="AB241" t="s">
        <v>74</v>
      </c>
      <c r="AC241" t="s">
        <v>74</v>
      </c>
      <c r="AD241" t="s">
        <v>74</v>
      </c>
      <c r="AE241" t="s">
        <v>74</v>
      </c>
      <c r="AF241" t="s">
        <v>74</v>
      </c>
      <c r="AG241" t="s">
        <v>74</v>
      </c>
      <c r="AH241" t="s">
        <v>74</v>
      </c>
      <c r="AI241" t="s">
        <v>74</v>
      </c>
      <c r="AJ241" t="s">
        <v>74</v>
      </c>
      <c r="AK241" t="s">
        <v>74</v>
      </c>
      <c r="AL241" t="s">
        <v>74</v>
      </c>
      <c r="AM241" t="s">
        <v>74</v>
      </c>
      <c r="AN241" t="s">
        <v>74</v>
      </c>
      <c r="AO241" t="s">
        <v>74</v>
      </c>
      <c r="AP241" t="s">
        <v>74</v>
      </c>
      <c r="AQ241" t="s">
        <v>2304</v>
      </c>
      <c r="AR241" t="s">
        <v>74</v>
      </c>
      <c r="AS241" t="s">
        <v>74</v>
      </c>
      <c r="AT241" t="s">
        <v>74</v>
      </c>
      <c r="AU241">
        <v>2022</v>
      </c>
      <c r="AV241" t="s">
        <v>74</v>
      </c>
      <c r="AW241" t="s">
        <v>74</v>
      </c>
      <c r="AX241" t="s">
        <v>74</v>
      </c>
      <c r="AY241" t="s">
        <v>74</v>
      </c>
      <c r="AZ241" t="s">
        <v>74</v>
      </c>
      <c r="BA241" t="s">
        <v>74</v>
      </c>
      <c r="BB241">
        <v>88</v>
      </c>
      <c r="BC241">
        <v>91</v>
      </c>
      <c r="BD241" t="s">
        <v>74</v>
      </c>
      <c r="BE241" t="s">
        <v>2305</v>
      </c>
      <c r="BF241" t="str">
        <f>HYPERLINK("http://dx.doi.org/10.1109/ICEST55168.2022.9828791","http://dx.doi.org/10.1109/ICEST55168.2022.9828791")</f>
        <v>http://dx.doi.org/10.1109/ICEST55168.2022.9828791</v>
      </c>
      <c r="BG241" t="s">
        <v>74</v>
      </c>
      <c r="BH241" t="s">
        <v>74</v>
      </c>
      <c r="BI241" t="s">
        <v>74</v>
      </c>
      <c r="BJ241" t="s">
        <v>74</v>
      </c>
      <c r="BK241" t="s">
        <v>74</v>
      </c>
      <c r="BL241" t="s">
        <v>74</v>
      </c>
      <c r="BM241" t="s">
        <v>74</v>
      </c>
      <c r="BN241" t="s">
        <v>74</v>
      </c>
      <c r="BO241" t="s">
        <v>74</v>
      </c>
      <c r="BP241" t="s">
        <v>74</v>
      </c>
      <c r="BQ241" t="s">
        <v>74</v>
      </c>
      <c r="BR241" t="s">
        <v>74</v>
      </c>
      <c r="BS241" t="s">
        <v>2306</v>
      </c>
      <c r="BT241" t="str">
        <f>HYPERLINK("https%3A%2F%2Fwww.webofscience.com%2Fwos%2Fwoscc%2Ffull-record%2FWOS:000948177200019","View Full Record in Web of Science")</f>
        <v>View Full Record in Web of Science</v>
      </c>
    </row>
    <row r="242" spans="1:72" x14ac:dyDescent="0.25">
      <c r="A242" t="s">
        <v>84</v>
      </c>
      <c r="B242" t="s">
        <v>2307</v>
      </c>
      <c r="C242" t="s">
        <v>74</v>
      </c>
      <c r="D242" t="s">
        <v>74</v>
      </c>
      <c r="E242" t="s">
        <v>233</v>
      </c>
      <c r="F242" t="s">
        <v>2308</v>
      </c>
      <c r="G242" t="s">
        <v>74</v>
      </c>
      <c r="H242" t="s">
        <v>74</v>
      </c>
      <c r="I242" t="s">
        <v>2309</v>
      </c>
      <c r="J242" t="s">
        <v>1689</v>
      </c>
      <c r="K242" t="s">
        <v>1690</v>
      </c>
      <c r="L242" t="s">
        <v>74</v>
      </c>
      <c r="M242" t="s">
        <v>74</v>
      </c>
      <c r="N242" t="s">
        <v>74</v>
      </c>
      <c r="O242" t="s">
        <v>1691</v>
      </c>
      <c r="P242" t="s">
        <v>1692</v>
      </c>
      <c r="Q242" t="s">
        <v>1693</v>
      </c>
      <c r="R242" t="s">
        <v>1694</v>
      </c>
      <c r="S242" t="s">
        <v>74</v>
      </c>
      <c r="T242" t="s">
        <v>74</v>
      </c>
      <c r="U242" t="s">
        <v>74</v>
      </c>
      <c r="V242" t="s">
        <v>2310</v>
      </c>
      <c r="W242" t="s">
        <v>74</v>
      </c>
      <c r="X242" t="s">
        <v>74</v>
      </c>
      <c r="Y242" t="s">
        <v>74</v>
      </c>
      <c r="Z242" t="s">
        <v>74</v>
      </c>
      <c r="AA242" t="s">
        <v>74</v>
      </c>
      <c r="AB242" t="s">
        <v>74</v>
      </c>
      <c r="AC242" t="s">
        <v>74</v>
      </c>
      <c r="AD242" t="s">
        <v>74</v>
      </c>
      <c r="AE242" t="s">
        <v>74</v>
      </c>
      <c r="AF242" t="s">
        <v>74</v>
      </c>
      <c r="AG242" t="s">
        <v>74</v>
      </c>
      <c r="AH242" t="s">
        <v>74</v>
      </c>
      <c r="AI242" t="s">
        <v>74</v>
      </c>
      <c r="AJ242" t="s">
        <v>74</v>
      </c>
      <c r="AK242" t="s">
        <v>74</v>
      </c>
      <c r="AL242" t="s">
        <v>74</v>
      </c>
      <c r="AM242" t="s">
        <v>74</v>
      </c>
      <c r="AN242" t="s">
        <v>74</v>
      </c>
      <c r="AO242" t="s">
        <v>1696</v>
      </c>
      <c r="AP242" t="s">
        <v>1697</v>
      </c>
      <c r="AQ242" t="s">
        <v>1698</v>
      </c>
      <c r="AR242" t="s">
        <v>74</v>
      </c>
      <c r="AS242" t="s">
        <v>74</v>
      </c>
      <c r="AT242" t="s">
        <v>74</v>
      </c>
      <c r="AU242">
        <v>2022</v>
      </c>
      <c r="AV242" t="s">
        <v>74</v>
      </c>
      <c r="AW242" t="s">
        <v>74</v>
      </c>
      <c r="AX242" t="s">
        <v>74</v>
      </c>
      <c r="AY242" t="s">
        <v>74</v>
      </c>
      <c r="AZ242" t="s">
        <v>74</v>
      </c>
      <c r="BA242" t="s">
        <v>74</v>
      </c>
      <c r="BB242">
        <v>30</v>
      </c>
      <c r="BC242">
        <v>35</v>
      </c>
      <c r="BD242" t="s">
        <v>74</v>
      </c>
      <c r="BE242" t="s">
        <v>2311</v>
      </c>
      <c r="BF242" t="str">
        <f>HYPERLINK("http://dx.doi.org/10.1109/ISMAR-Adjunct57072.2022.00017","http://dx.doi.org/10.1109/ISMAR-Adjunct57072.2022.00017")</f>
        <v>http://dx.doi.org/10.1109/ISMAR-Adjunct57072.2022.00017</v>
      </c>
      <c r="BG242" t="s">
        <v>74</v>
      </c>
      <c r="BH242" t="s">
        <v>74</v>
      </c>
      <c r="BI242" t="s">
        <v>74</v>
      </c>
      <c r="BJ242" t="s">
        <v>74</v>
      </c>
      <c r="BK242" t="s">
        <v>74</v>
      </c>
      <c r="BL242" t="s">
        <v>74</v>
      </c>
      <c r="BM242" t="s">
        <v>74</v>
      </c>
      <c r="BN242" t="s">
        <v>74</v>
      </c>
      <c r="BO242" t="s">
        <v>74</v>
      </c>
      <c r="BP242" t="s">
        <v>74</v>
      </c>
      <c r="BQ242" t="s">
        <v>74</v>
      </c>
      <c r="BR242" t="s">
        <v>74</v>
      </c>
      <c r="BS242" t="s">
        <v>2312</v>
      </c>
      <c r="BT242" t="str">
        <f>HYPERLINK("https%3A%2F%2Fwww.webofscience.com%2Fwos%2Fwoscc%2Ffull-record%2FWOS:000918030200008","View Full Record in Web of Science")</f>
        <v>View Full Record in Web of Science</v>
      </c>
    </row>
    <row r="243" spans="1:72" x14ac:dyDescent="0.25">
      <c r="A243" t="s">
        <v>72</v>
      </c>
      <c r="B243" t="s">
        <v>2313</v>
      </c>
      <c r="C243" t="s">
        <v>74</v>
      </c>
      <c r="D243" t="s">
        <v>74</v>
      </c>
      <c r="E243" t="s">
        <v>74</v>
      </c>
      <c r="F243" t="s">
        <v>2314</v>
      </c>
      <c r="G243" t="s">
        <v>74</v>
      </c>
      <c r="H243" t="s">
        <v>74</v>
      </c>
      <c r="I243" t="s">
        <v>2315</v>
      </c>
      <c r="J243" t="s">
        <v>119</v>
      </c>
      <c r="K243" t="s">
        <v>74</v>
      </c>
      <c r="L243" t="s">
        <v>74</v>
      </c>
      <c r="M243" t="s">
        <v>74</v>
      </c>
      <c r="N243" t="s">
        <v>74</v>
      </c>
      <c r="O243" t="s">
        <v>74</v>
      </c>
      <c r="P243" t="s">
        <v>74</v>
      </c>
      <c r="Q243" t="s">
        <v>74</v>
      </c>
      <c r="R243" t="s">
        <v>74</v>
      </c>
      <c r="S243" t="s">
        <v>74</v>
      </c>
      <c r="T243" t="s">
        <v>74</v>
      </c>
      <c r="U243" t="s">
        <v>74</v>
      </c>
      <c r="V243" t="s">
        <v>2316</v>
      </c>
      <c r="W243" t="s">
        <v>74</v>
      </c>
      <c r="X243" t="s">
        <v>74</v>
      </c>
      <c r="Y243" t="s">
        <v>74</v>
      </c>
      <c r="Z243" t="s">
        <v>74</v>
      </c>
      <c r="AA243" t="s">
        <v>1091</v>
      </c>
      <c r="AB243" t="s">
        <v>2317</v>
      </c>
      <c r="AC243" t="s">
        <v>74</v>
      </c>
      <c r="AD243" t="s">
        <v>74</v>
      </c>
      <c r="AE243" t="s">
        <v>74</v>
      </c>
      <c r="AF243" t="s">
        <v>74</v>
      </c>
      <c r="AG243" t="s">
        <v>74</v>
      </c>
      <c r="AH243" t="s">
        <v>74</v>
      </c>
      <c r="AI243" t="s">
        <v>74</v>
      </c>
      <c r="AJ243" t="s">
        <v>74</v>
      </c>
      <c r="AK243" t="s">
        <v>74</v>
      </c>
      <c r="AL243" t="s">
        <v>74</v>
      </c>
      <c r="AM243" t="s">
        <v>74</v>
      </c>
      <c r="AN243" t="s">
        <v>74</v>
      </c>
      <c r="AO243" t="s">
        <v>74</v>
      </c>
      <c r="AP243" t="s">
        <v>123</v>
      </c>
      <c r="AQ243" t="s">
        <v>74</v>
      </c>
      <c r="AR243" t="s">
        <v>74</v>
      </c>
      <c r="AS243" t="s">
        <v>74</v>
      </c>
      <c r="AT243" t="s">
        <v>712</v>
      </c>
      <c r="AU243">
        <v>2022</v>
      </c>
      <c r="AV243">
        <v>11</v>
      </c>
      <c r="AW243">
        <v>16</v>
      </c>
      <c r="AX243" t="s">
        <v>74</v>
      </c>
      <c r="AY243" t="s">
        <v>74</v>
      </c>
      <c r="AZ243" t="s">
        <v>74</v>
      </c>
      <c r="BA243" t="s">
        <v>74</v>
      </c>
      <c r="BB243" t="s">
        <v>74</v>
      </c>
      <c r="BC243" t="s">
        <v>74</v>
      </c>
      <c r="BD243">
        <v>2604</v>
      </c>
      <c r="BE243" t="s">
        <v>2318</v>
      </c>
      <c r="BF243" t="str">
        <f>HYPERLINK("http://dx.doi.org/10.3390/electronics11162604","http://dx.doi.org/10.3390/electronics11162604")</f>
        <v>http://dx.doi.org/10.3390/electronics11162604</v>
      </c>
      <c r="BG243" t="s">
        <v>74</v>
      </c>
      <c r="BH243" t="s">
        <v>74</v>
      </c>
      <c r="BI243" t="s">
        <v>74</v>
      </c>
      <c r="BJ243" t="s">
        <v>74</v>
      </c>
      <c r="BK243" t="s">
        <v>74</v>
      </c>
      <c r="BL243" t="s">
        <v>74</v>
      </c>
      <c r="BM243" t="s">
        <v>74</v>
      </c>
      <c r="BN243" t="s">
        <v>74</v>
      </c>
      <c r="BO243" t="s">
        <v>74</v>
      </c>
      <c r="BP243" t="s">
        <v>74</v>
      </c>
      <c r="BQ243" t="s">
        <v>74</v>
      </c>
      <c r="BR243" t="s">
        <v>74</v>
      </c>
      <c r="BS243" t="s">
        <v>2319</v>
      </c>
      <c r="BT243" t="str">
        <f>HYPERLINK("https%3A%2F%2Fwww.webofscience.com%2Fwos%2Fwoscc%2Ffull-record%2FWOS:000846194500001","View Full Record in Web of Science")</f>
        <v>View Full Record in Web of Science</v>
      </c>
    </row>
    <row r="244" spans="1:72" x14ac:dyDescent="0.25">
      <c r="A244" t="s">
        <v>72</v>
      </c>
      <c r="B244" t="s">
        <v>2320</v>
      </c>
      <c r="C244" t="s">
        <v>74</v>
      </c>
      <c r="D244" t="s">
        <v>74</v>
      </c>
      <c r="E244" t="s">
        <v>74</v>
      </c>
      <c r="F244" t="s">
        <v>2321</v>
      </c>
      <c r="G244" t="s">
        <v>74</v>
      </c>
      <c r="H244" t="s">
        <v>74</v>
      </c>
      <c r="I244" t="s">
        <v>2322</v>
      </c>
      <c r="J244" t="s">
        <v>1052</v>
      </c>
      <c r="K244" t="s">
        <v>74</v>
      </c>
      <c r="L244" t="s">
        <v>74</v>
      </c>
      <c r="M244" t="s">
        <v>74</v>
      </c>
      <c r="N244" t="s">
        <v>74</v>
      </c>
      <c r="O244" t="s">
        <v>74</v>
      </c>
      <c r="P244" t="s">
        <v>74</v>
      </c>
      <c r="Q244" t="s">
        <v>74</v>
      </c>
      <c r="R244" t="s">
        <v>74</v>
      </c>
      <c r="S244" t="s">
        <v>74</v>
      </c>
      <c r="T244" t="s">
        <v>74</v>
      </c>
      <c r="U244" t="s">
        <v>74</v>
      </c>
      <c r="V244" t="s">
        <v>2323</v>
      </c>
      <c r="W244" t="s">
        <v>74</v>
      </c>
      <c r="X244" t="s">
        <v>74</v>
      </c>
      <c r="Y244" t="s">
        <v>74</v>
      </c>
      <c r="Z244" t="s">
        <v>74</v>
      </c>
      <c r="AA244" t="s">
        <v>2324</v>
      </c>
      <c r="AB244" t="s">
        <v>2325</v>
      </c>
      <c r="AC244" t="s">
        <v>74</v>
      </c>
      <c r="AD244" t="s">
        <v>74</v>
      </c>
      <c r="AE244" t="s">
        <v>74</v>
      </c>
      <c r="AF244" t="s">
        <v>74</v>
      </c>
      <c r="AG244" t="s">
        <v>74</v>
      </c>
      <c r="AH244" t="s">
        <v>74</v>
      </c>
      <c r="AI244" t="s">
        <v>74</v>
      </c>
      <c r="AJ244" t="s">
        <v>74</v>
      </c>
      <c r="AK244" t="s">
        <v>74</v>
      </c>
      <c r="AL244" t="s">
        <v>74</v>
      </c>
      <c r="AM244" t="s">
        <v>74</v>
      </c>
      <c r="AN244" t="s">
        <v>74</v>
      </c>
      <c r="AO244" t="s">
        <v>1054</v>
      </c>
      <c r="AP244" t="s">
        <v>74</v>
      </c>
      <c r="AQ244" t="s">
        <v>74</v>
      </c>
      <c r="AR244" t="s">
        <v>74</v>
      </c>
      <c r="AS244" t="s">
        <v>74</v>
      </c>
      <c r="AT244" t="s">
        <v>1586</v>
      </c>
      <c r="AU244">
        <v>2023</v>
      </c>
      <c r="AV244">
        <v>10</v>
      </c>
      <c r="AW244">
        <v>1</v>
      </c>
      <c r="AX244" t="s">
        <v>74</v>
      </c>
      <c r="AY244" t="s">
        <v>74</v>
      </c>
      <c r="AZ244" t="s">
        <v>74</v>
      </c>
      <c r="BA244" t="s">
        <v>74</v>
      </c>
      <c r="BB244">
        <v>268</v>
      </c>
      <c r="BC244">
        <v>284</v>
      </c>
      <c r="BD244" t="s">
        <v>74</v>
      </c>
      <c r="BE244" t="s">
        <v>2326</v>
      </c>
      <c r="BF244" t="str">
        <f>HYPERLINK("http://dx.doi.org/10.1109/JIOT.2022.3201082","http://dx.doi.org/10.1109/JIOT.2022.3201082")</f>
        <v>http://dx.doi.org/10.1109/JIOT.2022.3201082</v>
      </c>
      <c r="BG244" t="s">
        <v>74</v>
      </c>
      <c r="BH244" t="s">
        <v>74</v>
      </c>
      <c r="BI244" t="s">
        <v>74</v>
      </c>
      <c r="BJ244" t="s">
        <v>74</v>
      </c>
      <c r="BK244" t="s">
        <v>74</v>
      </c>
      <c r="BL244" t="s">
        <v>74</v>
      </c>
      <c r="BM244" t="s">
        <v>74</v>
      </c>
      <c r="BN244" t="s">
        <v>74</v>
      </c>
      <c r="BO244" t="s">
        <v>74</v>
      </c>
      <c r="BP244" t="s">
        <v>74</v>
      </c>
      <c r="BQ244" t="s">
        <v>74</v>
      </c>
      <c r="BR244" t="s">
        <v>74</v>
      </c>
      <c r="BS244" t="s">
        <v>2327</v>
      </c>
      <c r="BT244" t="str">
        <f>HYPERLINK("https%3A%2F%2Fwww.webofscience.com%2Fwos%2Fwoscc%2Ffull-record%2FWOS:000911309300020","View Full Record in Web of Science")</f>
        <v>View Full Record in Web of Science</v>
      </c>
    </row>
    <row r="245" spans="1:72" x14ac:dyDescent="0.25">
      <c r="A245" t="s">
        <v>72</v>
      </c>
      <c r="B245" t="s">
        <v>2328</v>
      </c>
      <c r="C245" t="s">
        <v>74</v>
      </c>
      <c r="D245" t="s">
        <v>74</v>
      </c>
      <c r="E245" t="s">
        <v>74</v>
      </c>
      <c r="F245" t="s">
        <v>2329</v>
      </c>
      <c r="G245" t="s">
        <v>74</v>
      </c>
      <c r="H245" t="s">
        <v>74</v>
      </c>
      <c r="I245" t="s">
        <v>2330</v>
      </c>
      <c r="J245" t="s">
        <v>201</v>
      </c>
      <c r="K245" t="s">
        <v>74</v>
      </c>
      <c r="L245" t="s">
        <v>74</v>
      </c>
      <c r="M245" t="s">
        <v>74</v>
      </c>
      <c r="N245" t="s">
        <v>74</v>
      </c>
      <c r="O245" t="s">
        <v>74</v>
      </c>
      <c r="P245" t="s">
        <v>74</v>
      </c>
      <c r="Q245" t="s">
        <v>74</v>
      </c>
      <c r="R245" t="s">
        <v>74</v>
      </c>
      <c r="S245" t="s">
        <v>74</v>
      </c>
      <c r="T245" t="s">
        <v>74</v>
      </c>
      <c r="U245" t="s">
        <v>74</v>
      </c>
      <c r="V245" t="s">
        <v>2331</v>
      </c>
      <c r="W245" t="s">
        <v>74</v>
      </c>
      <c r="X245" t="s">
        <v>74</v>
      </c>
      <c r="Y245" t="s">
        <v>74</v>
      </c>
      <c r="Z245" t="s">
        <v>74</v>
      </c>
      <c r="AA245" t="s">
        <v>74</v>
      </c>
      <c r="AB245" t="s">
        <v>2332</v>
      </c>
      <c r="AC245" t="s">
        <v>74</v>
      </c>
      <c r="AD245" t="s">
        <v>74</v>
      </c>
      <c r="AE245" t="s">
        <v>74</v>
      </c>
      <c r="AF245" t="s">
        <v>74</v>
      </c>
      <c r="AG245" t="s">
        <v>74</v>
      </c>
      <c r="AH245" t="s">
        <v>74</v>
      </c>
      <c r="AI245" t="s">
        <v>74</v>
      </c>
      <c r="AJ245" t="s">
        <v>74</v>
      </c>
      <c r="AK245" t="s">
        <v>74</v>
      </c>
      <c r="AL245" t="s">
        <v>74</v>
      </c>
      <c r="AM245" t="s">
        <v>74</v>
      </c>
      <c r="AN245" t="s">
        <v>74</v>
      </c>
      <c r="AO245" t="s">
        <v>205</v>
      </c>
      <c r="AP245" t="s">
        <v>74</v>
      </c>
      <c r="AQ245" t="s">
        <v>74</v>
      </c>
      <c r="AR245" t="s">
        <v>74</v>
      </c>
      <c r="AS245" t="s">
        <v>74</v>
      </c>
      <c r="AT245" t="s">
        <v>74</v>
      </c>
      <c r="AU245">
        <v>2021</v>
      </c>
      <c r="AV245">
        <v>9</v>
      </c>
      <c r="AW245" t="s">
        <v>74</v>
      </c>
      <c r="AX245" t="s">
        <v>74</v>
      </c>
      <c r="AY245" t="s">
        <v>74</v>
      </c>
      <c r="AZ245" t="s">
        <v>74</v>
      </c>
      <c r="BA245" t="s">
        <v>74</v>
      </c>
      <c r="BB245">
        <v>154484</v>
      </c>
      <c r="BC245">
        <v>154499</v>
      </c>
      <c r="BD245" t="s">
        <v>74</v>
      </c>
      <c r="BE245" t="s">
        <v>2333</v>
      </c>
      <c r="BF245" t="str">
        <f>HYPERLINK("http://dx.doi.org/10.1109/ACCESS.2021.3128616","http://dx.doi.org/10.1109/ACCESS.2021.3128616")</f>
        <v>http://dx.doi.org/10.1109/ACCESS.2021.3128616</v>
      </c>
      <c r="BG245" t="s">
        <v>74</v>
      </c>
      <c r="BH245" t="s">
        <v>74</v>
      </c>
      <c r="BI245" t="s">
        <v>74</v>
      </c>
      <c r="BJ245" t="s">
        <v>74</v>
      </c>
      <c r="BK245" t="s">
        <v>74</v>
      </c>
      <c r="BL245" t="s">
        <v>74</v>
      </c>
      <c r="BM245" t="s">
        <v>74</v>
      </c>
      <c r="BN245" t="s">
        <v>74</v>
      </c>
      <c r="BO245" t="s">
        <v>74</v>
      </c>
      <c r="BP245" t="s">
        <v>74</v>
      </c>
      <c r="BQ245" t="s">
        <v>74</v>
      </c>
      <c r="BR245" t="s">
        <v>74</v>
      </c>
      <c r="BS245" t="s">
        <v>2334</v>
      </c>
      <c r="BT245" t="str">
        <f>HYPERLINK("https%3A%2F%2Fwww.webofscience.com%2Fwos%2Fwoscc%2Ffull-record%2FWOS:000721994200001","View Full Record in Web of Science")</f>
        <v>View Full Record in Web of Science</v>
      </c>
    </row>
    <row r="246" spans="1:72" x14ac:dyDescent="0.25">
      <c r="A246" t="s">
        <v>72</v>
      </c>
      <c r="B246" t="s">
        <v>2335</v>
      </c>
      <c r="C246" t="s">
        <v>74</v>
      </c>
      <c r="D246" t="s">
        <v>74</v>
      </c>
      <c r="E246" t="s">
        <v>74</v>
      </c>
      <c r="F246" t="s">
        <v>2336</v>
      </c>
      <c r="G246" t="s">
        <v>74</v>
      </c>
      <c r="H246" t="s">
        <v>74</v>
      </c>
      <c r="I246" t="s">
        <v>2337</v>
      </c>
      <c r="J246" t="s">
        <v>2338</v>
      </c>
      <c r="K246" t="s">
        <v>74</v>
      </c>
      <c r="L246" t="s">
        <v>74</v>
      </c>
      <c r="M246" t="s">
        <v>74</v>
      </c>
      <c r="N246" t="s">
        <v>74</v>
      </c>
      <c r="O246" t="s">
        <v>74</v>
      </c>
      <c r="P246" t="s">
        <v>74</v>
      </c>
      <c r="Q246" t="s">
        <v>74</v>
      </c>
      <c r="R246" t="s">
        <v>74</v>
      </c>
      <c r="S246" t="s">
        <v>74</v>
      </c>
      <c r="T246" t="s">
        <v>74</v>
      </c>
      <c r="U246" t="s">
        <v>74</v>
      </c>
      <c r="V246" t="s">
        <v>74</v>
      </c>
      <c r="W246" t="s">
        <v>74</v>
      </c>
      <c r="X246" t="s">
        <v>74</v>
      </c>
      <c r="Y246" t="s">
        <v>74</v>
      </c>
      <c r="Z246" t="s">
        <v>74</v>
      </c>
      <c r="AA246" t="s">
        <v>74</v>
      </c>
      <c r="AB246" t="s">
        <v>74</v>
      </c>
      <c r="AC246" t="s">
        <v>74</v>
      </c>
      <c r="AD246" t="s">
        <v>74</v>
      </c>
      <c r="AE246" t="s">
        <v>74</v>
      </c>
      <c r="AF246" t="s">
        <v>74</v>
      </c>
      <c r="AG246" t="s">
        <v>74</v>
      </c>
      <c r="AH246" t="s">
        <v>74</v>
      </c>
      <c r="AI246" t="s">
        <v>74</v>
      </c>
      <c r="AJ246" t="s">
        <v>74</v>
      </c>
      <c r="AK246" t="s">
        <v>74</v>
      </c>
      <c r="AL246" t="s">
        <v>74</v>
      </c>
      <c r="AM246" t="s">
        <v>74</v>
      </c>
      <c r="AN246" t="s">
        <v>74</v>
      </c>
      <c r="AO246" t="s">
        <v>2339</v>
      </c>
      <c r="AP246" t="s">
        <v>2340</v>
      </c>
      <c r="AQ246" t="s">
        <v>74</v>
      </c>
      <c r="AR246" t="s">
        <v>74</v>
      </c>
      <c r="AS246" t="s">
        <v>74</v>
      </c>
      <c r="AT246" t="s">
        <v>598</v>
      </c>
      <c r="AU246">
        <v>2022</v>
      </c>
      <c r="AV246">
        <v>41</v>
      </c>
      <c r="AW246" t="s">
        <v>74</v>
      </c>
      <c r="AX246" t="s">
        <v>74</v>
      </c>
      <c r="AY246" t="s">
        <v>74</v>
      </c>
      <c r="AZ246" t="s">
        <v>74</v>
      </c>
      <c r="BA246" t="s">
        <v>74</v>
      </c>
      <c r="BB246" t="s">
        <v>2341</v>
      </c>
      <c r="BC246" t="s">
        <v>2342</v>
      </c>
      <c r="BD246" t="s">
        <v>74</v>
      </c>
      <c r="BE246" t="s">
        <v>2343</v>
      </c>
      <c r="BF246" t="str">
        <f>HYPERLINK("http://dx.doi.org/10.1016/j.profnurs.2022.06.004","http://dx.doi.org/10.1016/j.profnurs.2022.06.004")</f>
        <v>http://dx.doi.org/10.1016/j.profnurs.2022.06.004</v>
      </c>
      <c r="BG246" t="s">
        <v>74</v>
      </c>
      <c r="BH246" t="s">
        <v>1148</v>
      </c>
      <c r="BI246" t="s">
        <v>74</v>
      </c>
      <c r="BJ246" t="s">
        <v>74</v>
      </c>
      <c r="BK246" t="s">
        <v>74</v>
      </c>
      <c r="BL246" t="s">
        <v>74</v>
      </c>
      <c r="BM246" t="s">
        <v>74</v>
      </c>
      <c r="BN246">
        <v>35803666</v>
      </c>
      <c r="BO246" t="s">
        <v>74</v>
      </c>
      <c r="BP246" t="s">
        <v>74</v>
      </c>
      <c r="BQ246" t="s">
        <v>74</v>
      </c>
      <c r="BR246" t="s">
        <v>74</v>
      </c>
      <c r="BS246" t="s">
        <v>2344</v>
      </c>
      <c r="BT246" t="str">
        <f>HYPERLINK("https%3A%2F%2Fwww.webofscience.com%2Fwos%2Fwoscc%2Ffull-record%2FWOS:000862866000001","View Full Record in Web of Science")</f>
        <v>View Full Record in Web of Science</v>
      </c>
    </row>
    <row r="247" spans="1:72" x14ac:dyDescent="0.25">
      <c r="A247" t="s">
        <v>72</v>
      </c>
      <c r="B247" t="s">
        <v>2345</v>
      </c>
      <c r="C247" t="s">
        <v>74</v>
      </c>
      <c r="D247" t="s">
        <v>74</v>
      </c>
      <c r="E247" t="s">
        <v>74</v>
      </c>
      <c r="F247" t="s">
        <v>2346</v>
      </c>
      <c r="G247" t="s">
        <v>74</v>
      </c>
      <c r="H247" t="s">
        <v>74</v>
      </c>
      <c r="I247" t="s">
        <v>2347</v>
      </c>
      <c r="J247" t="s">
        <v>513</v>
      </c>
      <c r="K247" t="s">
        <v>74</v>
      </c>
      <c r="L247" t="s">
        <v>74</v>
      </c>
      <c r="M247" t="s">
        <v>74</v>
      </c>
      <c r="N247" t="s">
        <v>74</v>
      </c>
      <c r="O247" t="s">
        <v>74</v>
      </c>
      <c r="P247" t="s">
        <v>74</v>
      </c>
      <c r="Q247" t="s">
        <v>74</v>
      </c>
      <c r="R247" t="s">
        <v>74</v>
      </c>
      <c r="S247" t="s">
        <v>74</v>
      </c>
      <c r="T247" t="s">
        <v>74</v>
      </c>
      <c r="U247" t="s">
        <v>74</v>
      </c>
      <c r="V247" t="s">
        <v>2348</v>
      </c>
      <c r="W247" t="s">
        <v>74</v>
      </c>
      <c r="X247" t="s">
        <v>74</v>
      </c>
      <c r="Y247" t="s">
        <v>74</v>
      </c>
      <c r="Z247" t="s">
        <v>74</v>
      </c>
      <c r="AA247" t="s">
        <v>2349</v>
      </c>
      <c r="AB247" t="s">
        <v>2350</v>
      </c>
      <c r="AC247" t="s">
        <v>74</v>
      </c>
      <c r="AD247" t="s">
        <v>74</v>
      </c>
      <c r="AE247" t="s">
        <v>74</v>
      </c>
      <c r="AF247" t="s">
        <v>74</v>
      </c>
      <c r="AG247" t="s">
        <v>74</v>
      </c>
      <c r="AH247" t="s">
        <v>74</v>
      </c>
      <c r="AI247" t="s">
        <v>74</v>
      </c>
      <c r="AJ247" t="s">
        <v>74</v>
      </c>
      <c r="AK247" t="s">
        <v>74</v>
      </c>
      <c r="AL247" t="s">
        <v>74</v>
      </c>
      <c r="AM247" t="s">
        <v>74</v>
      </c>
      <c r="AN247" t="s">
        <v>74</v>
      </c>
      <c r="AO247" t="s">
        <v>74</v>
      </c>
      <c r="AP247" t="s">
        <v>517</v>
      </c>
      <c r="AQ247" t="s">
        <v>74</v>
      </c>
      <c r="AR247" t="s">
        <v>74</v>
      </c>
      <c r="AS247" t="s">
        <v>74</v>
      </c>
      <c r="AT247" t="s">
        <v>536</v>
      </c>
      <c r="AU247">
        <v>2022</v>
      </c>
      <c r="AV247">
        <v>10</v>
      </c>
      <c r="AW247">
        <v>14</v>
      </c>
      <c r="AX247" t="s">
        <v>74</v>
      </c>
      <c r="AY247" t="s">
        <v>74</v>
      </c>
      <c r="AZ247" t="s">
        <v>74</v>
      </c>
      <c r="BA247" t="s">
        <v>74</v>
      </c>
      <c r="BB247" t="s">
        <v>74</v>
      </c>
      <c r="BC247" t="s">
        <v>74</v>
      </c>
      <c r="BD247">
        <v>2545</v>
      </c>
      <c r="BE247" t="s">
        <v>2351</v>
      </c>
      <c r="BF247" t="str">
        <f>HYPERLINK("http://dx.doi.org/10.3390/math10142545","http://dx.doi.org/10.3390/math10142545")</f>
        <v>http://dx.doi.org/10.3390/math10142545</v>
      </c>
      <c r="BG247" t="s">
        <v>74</v>
      </c>
      <c r="BH247" t="s">
        <v>74</v>
      </c>
      <c r="BI247" t="s">
        <v>74</v>
      </c>
      <c r="BJ247" t="s">
        <v>74</v>
      </c>
      <c r="BK247" t="s">
        <v>74</v>
      </c>
      <c r="BL247" t="s">
        <v>74</v>
      </c>
      <c r="BM247" t="s">
        <v>74</v>
      </c>
      <c r="BN247" t="s">
        <v>74</v>
      </c>
      <c r="BO247" t="s">
        <v>74</v>
      </c>
      <c r="BP247" t="s">
        <v>74</v>
      </c>
      <c r="BQ247" t="s">
        <v>74</v>
      </c>
      <c r="BR247" t="s">
        <v>74</v>
      </c>
      <c r="BS247" t="s">
        <v>2352</v>
      </c>
      <c r="BT247" t="str">
        <f>HYPERLINK("https%3A%2F%2Fwww.webofscience.com%2Fwos%2Fwoscc%2Ffull-record%2FWOS:000833876600001","View Full Record in Web of Science")</f>
        <v>View Full Record in Web of Science</v>
      </c>
    </row>
    <row r="248" spans="1:72" x14ac:dyDescent="0.25">
      <c r="A248" t="s">
        <v>84</v>
      </c>
      <c r="B248" t="s">
        <v>2353</v>
      </c>
      <c r="C248" t="s">
        <v>74</v>
      </c>
      <c r="D248" t="s">
        <v>74</v>
      </c>
      <c r="E248" t="s">
        <v>86</v>
      </c>
      <c r="F248" t="s">
        <v>2354</v>
      </c>
      <c r="G248" t="s">
        <v>74</v>
      </c>
      <c r="H248" t="s">
        <v>74</v>
      </c>
      <c r="I248" t="s">
        <v>2355</v>
      </c>
      <c r="J248" t="s">
        <v>2356</v>
      </c>
      <c r="K248" t="s">
        <v>74</v>
      </c>
      <c r="L248" t="s">
        <v>74</v>
      </c>
      <c r="M248" t="s">
        <v>74</v>
      </c>
      <c r="N248" t="s">
        <v>74</v>
      </c>
      <c r="O248" t="s">
        <v>2357</v>
      </c>
      <c r="P248" t="s">
        <v>2358</v>
      </c>
      <c r="Q248" t="s">
        <v>108</v>
      </c>
      <c r="R248" t="s">
        <v>74</v>
      </c>
      <c r="S248" t="s">
        <v>74</v>
      </c>
      <c r="T248" t="s">
        <v>74</v>
      </c>
      <c r="U248" t="s">
        <v>74</v>
      </c>
      <c r="V248" t="s">
        <v>2359</v>
      </c>
      <c r="W248" t="s">
        <v>74</v>
      </c>
      <c r="X248" t="s">
        <v>74</v>
      </c>
      <c r="Y248" t="s">
        <v>74</v>
      </c>
      <c r="Z248" t="s">
        <v>74</v>
      </c>
      <c r="AA248" t="s">
        <v>74</v>
      </c>
      <c r="AB248" t="s">
        <v>74</v>
      </c>
      <c r="AC248" t="s">
        <v>74</v>
      </c>
      <c r="AD248" t="s">
        <v>74</v>
      </c>
      <c r="AE248" t="s">
        <v>74</v>
      </c>
      <c r="AF248" t="s">
        <v>74</v>
      </c>
      <c r="AG248" t="s">
        <v>74</v>
      </c>
      <c r="AH248" t="s">
        <v>74</v>
      </c>
      <c r="AI248" t="s">
        <v>74</v>
      </c>
      <c r="AJ248" t="s">
        <v>74</v>
      </c>
      <c r="AK248" t="s">
        <v>74</v>
      </c>
      <c r="AL248" t="s">
        <v>74</v>
      </c>
      <c r="AM248" t="s">
        <v>74</v>
      </c>
      <c r="AN248" t="s">
        <v>74</v>
      </c>
      <c r="AO248" t="s">
        <v>74</v>
      </c>
      <c r="AP248" t="s">
        <v>74</v>
      </c>
      <c r="AQ248" t="s">
        <v>2360</v>
      </c>
      <c r="AR248" t="s">
        <v>74</v>
      </c>
      <c r="AS248" t="s">
        <v>74</v>
      </c>
      <c r="AT248" t="s">
        <v>74</v>
      </c>
      <c r="AU248">
        <v>2021</v>
      </c>
      <c r="AV248" t="s">
        <v>74</v>
      </c>
      <c r="AW248" t="s">
        <v>74</v>
      </c>
      <c r="AX248" t="s">
        <v>74</v>
      </c>
      <c r="AY248" t="s">
        <v>74</v>
      </c>
      <c r="AZ248" t="s">
        <v>74</v>
      </c>
      <c r="BA248" t="s">
        <v>74</v>
      </c>
      <c r="BB248" t="s">
        <v>74</v>
      </c>
      <c r="BC248" t="s">
        <v>74</v>
      </c>
      <c r="BD248" t="s">
        <v>74</v>
      </c>
      <c r="BE248" t="s">
        <v>2361</v>
      </c>
      <c r="BF248" t="str">
        <f>HYPERLINK("http://dx.doi.org/10.1109/I3DA48870.2021.9610971","http://dx.doi.org/10.1109/I3DA48870.2021.9610971")</f>
        <v>http://dx.doi.org/10.1109/I3DA48870.2021.9610971</v>
      </c>
      <c r="BG248" t="s">
        <v>74</v>
      </c>
      <c r="BH248" t="s">
        <v>74</v>
      </c>
      <c r="BI248" t="s">
        <v>74</v>
      </c>
      <c r="BJ248" t="s">
        <v>74</v>
      </c>
      <c r="BK248" t="s">
        <v>74</v>
      </c>
      <c r="BL248" t="s">
        <v>74</v>
      </c>
      <c r="BM248" t="s">
        <v>74</v>
      </c>
      <c r="BN248" t="s">
        <v>74</v>
      </c>
      <c r="BO248" t="s">
        <v>74</v>
      </c>
      <c r="BP248" t="s">
        <v>74</v>
      </c>
      <c r="BQ248" t="s">
        <v>74</v>
      </c>
      <c r="BR248" t="s">
        <v>74</v>
      </c>
      <c r="BS248" t="s">
        <v>2362</v>
      </c>
      <c r="BT248" t="str">
        <f>HYPERLINK("https%3A%2F%2Fwww.webofscience.com%2Fwos%2Fwoscc%2Ffull-record%2FWOS:000790807300101","View Full Record in Web of Science")</f>
        <v>View Full Record in Web of Science</v>
      </c>
    </row>
    <row r="249" spans="1:72" x14ac:dyDescent="0.25">
      <c r="A249" t="s">
        <v>72</v>
      </c>
      <c r="B249" t="s">
        <v>2363</v>
      </c>
      <c r="C249" t="s">
        <v>74</v>
      </c>
      <c r="D249" t="s">
        <v>74</v>
      </c>
      <c r="E249" t="s">
        <v>74</v>
      </c>
      <c r="F249" t="s">
        <v>2364</v>
      </c>
      <c r="G249" t="s">
        <v>74</v>
      </c>
      <c r="H249" t="s">
        <v>74</v>
      </c>
      <c r="I249" t="s">
        <v>2365</v>
      </c>
      <c r="J249" t="s">
        <v>616</v>
      </c>
      <c r="K249" t="s">
        <v>74</v>
      </c>
      <c r="L249" t="s">
        <v>74</v>
      </c>
      <c r="M249" t="s">
        <v>74</v>
      </c>
      <c r="N249" t="s">
        <v>74</v>
      </c>
      <c r="O249" t="s">
        <v>74</v>
      </c>
      <c r="P249" t="s">
        <v>74</v>
      </c>
      <c r="Q249" t="s">
        <v>74</v>
      </c>
      <c r="R249" t="s">
        <v>74</v>
      </c>
      <c r="S249" t="s">
        <v>74</v>
      </c>
      <c r="T249" t="s">
        <v>74</v>
      </c>
      <c r="U249" t="s">
        <v>74</v>
      </c>
      <c r="V249" t="s">
        <v>2366</v>
      </c>
      <c r="W249" t="s">
        <v>74</v>
      </c>
      <c r="X249" t="s">
        <v>74</v>
      </c>
      <c r="Y249" t="s">
        <v>74</v>
      </c>
      <c r="Z249" t="s">
        <v>74</v>
      </c>
      <c r="AA249" t="s">
        <v>2367</v>
      </c>
      <c r="AB249" t="s">
        <v>2368</v>
      </c>
      <c r="AC249" t="s">
        <v>74</v>
      </c>
      <c r="AD249" t="s">
        <v>74</v>
      </c>
      <c r="AE249" t="s">
        <v>74</v>
      </c>
      <c r="AF249" t="s">
        <v>74</v>
      </c>
      <c r="AG249" t="s">
        <v>74</v>
      </c>
      <c r="AH249" t="s">
        <v>74</v>
      </c>
      <c r="AI249" t="s">
        <v>74</v>
      </c>
      <c r="AJ249" t="s">
        <v>74</v>
      </c>
      <c r="AK249" t="s">
        <v>74</v>
      </c>
      <c r="AL249" t="s">
        <v>74</v>
      </c>
      <c r="AM249" t="s">
        <v>74</v>
      </c>
      <c r="AN249" t="s">
        <v>74</v>
      </c>
      <c r="AO249" t="s">
        <v>619</v>
      </c>
      <c r="AP249" t="s">
        <v>620</v>
      </c>
      <c r="AQ249" t="s">
        <v>74</v>
      </c>
      <c r="AR249" t="s">
        <v>74</v>
      </c>
      <c r="AS249" t="s">
        <v>74</v>
      </c>
      <c r="AT249" t="s">
        <v>124</v>
      </c>
      <c r="AU249">
        <v>2023</v>
      </c>
      <c r="AV249">
        <v>142</v>
      </c>
      <c r="AW249" t="s">
        <v>74</v>
      </c>
      <c r="AX249" t="s">
        <v>74</v>
      </c>
      <c r="AY249" t="s">
        <v>74</v>
      </c>
      <c r="AZ249" t="s">
        <v>74</v>
      </c>
      <c r="BA249" t="s">
        <v>74</v>
      </c>
      <c r="BB249">
        <v>237</v>
      </c>
      <c r="BC249">
        <v>247</v>
      </c>
      <c r="BD249" t="s">
        <v>74</v>
      </c>
      <c r="BE249" t="s">
        <v>2369</v>
      </c>
      <c r="BF249" t="str">
        <f>HYPERLINK("http://dx.doi.org/10.1016/j.future.2022.12.031","http://dx.doi.org/10.1016/j.future.2022.12.031")</f>
        <v>http://dx.doi.org/10.1016/j.future.2022.12.031</v>
      </c>
      <c r="BG249" t="s">
        <v>74</v>
      </c>
      <c r="BH249" t="s">
        <v>151</v>
      </c>
      <c r="BI249" t="s">
        <v>74</v>
      </c>
      <c r="BJ249" t="s">
        <v>74</v>
      </c>
      <c r="BK249" t="s">
        <v>74</v>
      </c>
      <c r="BL249" t="s">
        <v>74</v>
      </c>
      <c r="BM249" t="s">
        <v>74</v>
      </c>
      <c r="BN249" t="s">
        <v>74</v>
      </c>
      <c r="BO249" t="s">
        <v>74</v>
      </c>
      <c r="BP249" t="s">
        <v>74</v>
      </c>
      <c r="BQ249" t="s">
        <v>74</v>
      </c>
      <c r="BR249" t="s">
        <v>74</v>
      </c>
      <c r="BS249" t="s">
        <v>2370</v>
      </c>
      <c r="BT249" t="str">
        <f>HYPERLINK("https%3A%2F%2Fwww.webofscience.com%2Fwos%2Fwoscc%2Ffull-record%2FWOS:000938102400001","View Full Record in Web of Science")</f>
        <v>View Full Record in Web of Science</v>
      </c>
    </row>
    <row r="250" spans="1:72" x14ac:dyDescent="0.25">
      <c r="A250" t="s">
        <v>84</v>
      </c>
      <c r="B250" t="s">
        <v>2371</v>
      </c>
      <c r="C250" t="s">
        <v>74</v>
      </c>
      <c r="D250" t="s">
        <v>74</v>
      </c>
      <c r="E250" t="s">
        <v>86</v>
      </c>
      <c r="F250" t="s">
        <v>2372</v>
      </c>
      <c r="G250" t="s">
        <v>74</v>
      </c>
      <c r="H250" t="s">
        <v>74</v>
      </c>
      <c r="I250" t="s">
        <v>2373</v>
      </c>
      <c r="J250" t="s">
        <v>787</v>
      </c>
      <c r="K250" t="s">
        <v>788</v>
      </c>
      <c r="L250" t="s">
        <v>74</v>
      </c>
      <c r="M250" t="s">
        <v>74</v>
      </c>
      <c r="N250" t="s">
        <v>74</v>
      </c>
      <c r="O250" t="s">
        <v>272</v>
      </c>
      <c r="P250" t="s">
        <v>273</v>
      </c>
      <c r="Q250" t="s">
        <v>274</v>
      </c>
      <c r="R250" t="s">
        <v>789</v>
      </c>
      <c r="S250" t="s">
        <v>74</v>
      </c>
      <c r="T250" t="s">
        <v>74</v>
      </c>
      <c r="U250" t="s">
        <v>74</v>
      </c>
      <c r="V250" t="s">
        <v>2374</v>
      </c>
      <c r="W250" t="s">
        <v>74</v>
      </c>
      <c r="X250" t="s">
        <v>74</v>
      </c>
      <c r="Y250" t="s">
        <v>74</v>
      </c>
      <c r="Z250" t="s">
        <v>74</v>
      </c>
      <c r="AA250" t="s">
        <v>2375</v>
      </c>
      <c r="AB250" t="s">
        <v>791</v>
      </c>
      <c r="AC250" t="s">
        <v>74</v>
      </c>
      <c r="AD250" t="s">
        <v>74</v>
      </c>
      <c r="AE250" t="s">
        <v>74</v>
      </c>
      <c r="AF250" t="s">
        <v>74</v>
      </c>
      <c r="AG250" t="s">
        <v>74</v>
      </c>
      <c r="AH250" t="s">
        <v>74</v>
      </c>
      <c r="AI250" t="s">
        <v>74</v>
      </c>
      <c r="AJ250" t="s">
        <v>74</v>
      </c>
      <c r="AK250" t="s">
        <v>74</v>
      </c>
      <c r="AL250" t="s">
        <v>74</v>
      </c>
      <c r="AM250" t="s">
        <v>74</v>
      </c>
      <c r="AN250" t="s">
        <v>74</v>
      </c>
      <c r="AO250" t="s">
        <v>792</v>
      </c>
      <c r="AP250" t="s">
        <v>74</v>
      </c>
      <c r="AQ250" t="s">
        <v>793</v>
      </c>
      <c r="AR250" t="s">
        <v>74</v>
      </c>
      <c r="AS250" t="s">
        <v>74</v>
      </c>
      <c r="AT250" t="s">
        <v>74</v>
      </c>
      <c r="AU250">
        <v>2022</v>
      </c>
      <c r="AV250" t="s">
        <v>74</v>
      </c>
      <c r="AW250" t="s">
        <v>74</v>
      </c>
      <c r="AX250" t="s">
        <v>74</v>
      </c>
      <c r="AY250" t="s">
        <v>74</v>
      </c>
      <c r="AZ250" t="s">
        <v>74</v>
      </c>
      <c r="BA250" t="s">
        <v>74</v>
      </c>
      <c r="BB250">
        <v>5220</v>
      </c>
      <c r="BC250">
        <v>5225</v>
      </c>
      <c r="BD250" t="s">
        <v>74</v>
      </c>
      <c r="BE250" t="s">
        <v>74</v>
      </c>
      <c r="BF250" t="s">
        <v>74</v>
      </c>
      <c r="BG250" t="s">
        <v>74</v>
      </c>
      <c r="BH250" t="s">
        <v>74</v>
      </c>
      <c r="BI250" t="s">
        <v>74</v>
      </c>
      <c r="BJ250" t="s">
        <v>74</v>
      </c>
      <c r="BK250" t="s">
        <v>74</v>
      </c>
      <c r="BL250" t="s">
        <v>74</v>
      </c>
      <c r="BM250" t="s">
        <v>74</v>
      </c>
      <c r="BN250" t="s">
        <v>74</v>
      </c>
      <c r="BO250" t="s">
        <v>74</v>
      </c>
      <c r="BP250" t="s">
        <v>74</v>
      </c>
      <c r="BQ250" t="s">
        <v>74</v>
      </c>
      <c r="BR250" t="s">
        <v>74</v>
      </c>
      <c r="BS250" t="s">
        <v>2376</v>
      </c>
      <c r="BT250" t="str">
        <f>HYPERLINK("https%3A%2F%2Fwww.webofscience.com%2Fwos%2Fwoscc%2Ffull-record%2FWOS:000864709905069","View Full Record in Web of Science")</f>
        <v>View Full Record in Web of Science</v>
      </c>
    </row>
    <row r="251" spans="1:72" x14ac:dyDescent="0.25">
      <c r="A251" t="s">
        <v>72</v>
      </c>
      <c r="B251" t="s">
        <v>2377</v>
      </c>
      <c r="C251" t="s">
        <v>74</v>
      </c>
      <c r="D251" t="s">
        <v>74</v>
      </c>
      <c r="E251" t="s">
        <v>74</v>
      </c>
      <c r="F251" t="s">
        <v>2378</v>
      </c>
      <c r="G251" t="s">
        <v>74</v>
      </c>
      <c r="H251" t="s">
        <v>74</v>
      </c>
      <c r="I251" t="s">
        <v>2379</v>
      </c>
      <c r="J251" t="s">
        <v>2380</v>
      </c>
      <c r="K251" t="s">
        <v>74</v>
      </c>
      <c r="L251" t="s">
        <v>74</v>
      </c>
      <c r="M251" t="s">
        <v>74</v>
      </c>
      <c r="N251" t="s">
        <v>74</v>
      </c>
      <c r="O251" t="s">
        <v>74</v>
      </c>
      <c r="P251" t="s">
        <v>74</v>
      </c>
      <c r="Q251" t="s">
        <v>74</v>
      </c>
      <c r="R251" t="s">
        <v>74</v>
      </c>
      <c r="S251" t="s">
        <v>74</v>
      </c>
      <c r="T251" t="s">
        <v>74</v>
      </c>
      <c r="U251" t="s">
        <v>74</v>
      </c>
      <c r="V251" t="s">
        <v>2381</v>
      </c>
      <c r="W251" t="s">
        <v>74</v>
      </c>
      <c r="X251" t="s">
        <v>74</v>
      </c>
      <c r="Y251" t="s">
        <v>74</v>
      </c>
      <c r="Z251" t="s">
        <v>74</v>
      </c>
      <c r="AA251" t="s">
        <v>74</v>
      </c>
      <c r="AB251" t="s">
        <v>74</v>
      </c>
      <c r="AC251" t="s">
        <v>74</v>
      </c>
      <c r="AD251" t="s">
        <v>74</v>
      </c>
      <c r="AE251" t="s">
        <v>74</v>
      </c>
      <c r="AF251" t="s">
        <v>74</v>
      </c>
      <c r="AG251" t="s">
        <v>74</v>
      </c>
      <c r="AH251" t="s">
        <v>74</v>
      </c>
      <c r="AI251" t="s">
        <v>74</v>
      </c>
      <c r="AJ251" t="s">
        <v>74</v>
      </c>
      <c r="AK251" t="s">
        <v>74</v>
      </c>
      <c r="AL251" t="s">
        <v>74</v>
      </c>
      <c r="AM251" t="s">
        <v>74</v>
      </c>
      <c r="AN251" t="s">
        <v>74</v>
      </c>
      <c r="AO251" t="s">
        <v>74</v>
      </c>
      <c r="AP251" t="s">
        <v>2382</v>
      </c>
      <c r="AQ251" t="s">
        <v>74</v>
      </c>
      <c r="AR251" t="s">
        <v>74</v>
      </c>
      <c r="AS251" t="s">
        <v>74</v>
      </c>
      <c r="AT251" t="s">
        <v>74</v>
      </c>
      <c r="AU251" t="s">
        <v>74</v>
      </c>
      <c r="AV251" t="s">
        <v>74</v>
      </c>
      <c r="AW251" t="s">
        <v>74</v>
      </c>
      <c r="AX251" t="s">
        <v>74</v>
      </c>
      <c r="AY251" t="s">
        <v>74</v>
      </c>
      <c r="AZ251" t="s">
        <v>74</v>
      </c>
      <c r="BA251" t="s">
        <v>74</v>
      </c>
      <c r="BB251" t="s">
        <v>74</v>
      </c>
      <c r="BC251" t="s">
        <v>74</v>
      </c>
      <c r="BD251" t="s">
        <v>74</v>
      </c>
      <c r="BE251" t="s">
        <v>2383</v>
      </c>
      <c r="BF251" t="str">
        <f>HYPERLINK("http://dx.doi.org/10.1002/aisy.202200412","http://dx.doi.org/10.1002/aisy.202200412")</f>
        <v>http://dx.doi.org/10.1002/aisy.202200412</v>
      </c>
      <c r="BG251" t="s">
        <v>74</v>
      </c>
      <c r="BH251" t="s">
        <v>401</v>
      </c>
      <c r="BI251" t="s">
        <v>74</v>
      </c>
      <c r="BJ251" t="s">
        <v>74</v>
      </c>
      <c r="BK251" t="s">
        <v>74</v>
      </c>
      <c r="BL251" t="s">
        <v>74</v>
      </c>
      <c r="BM251" t="s">
        <v>74</v>
      </c>
      <c r="BN251" t="s">
        <v>74</v>
      </c>
      <c r="BO251" t="s">
        <v>74</v>
      </c>
      <c r="BP251" t="s">
        <v>74</v>
      </c>
      <c r="BQ251" t="s">
        <v>74</v>
      </c>
      <c r="BR251" t="s">
        <v>74</v>
      </c>
      <c r="BS251" t="s">
        <v>2384</v>
      </c>
      <c r="BT251" t="str">
        <f>HYPERLINK("https%3A%2F%2Fwww.webofscience.com%2Fwos%2Fwoscc%2Ffull-record%2FWOS:000951638500001","View Full Record in Web of Science")</f>
        <v>View Full Record in Web of Science</v>
      </c>
    </row>
    <row r="252" spans="1:72" x14ac:dyDescent="0.25">
      <c r="A252" t="s">
        <v>84</v>
      </c>
      <c r="B252" t="s">
        <v>2385</v>
      </c>
      <c r="C252" t="s">
        <v>74</v>
      </c>
      <c r="D252" t="s">
        <v>74</v>
      </c>
      <c r="E252" t="s">
        <v>86</v>
      </c>
      <c r="F252" t="s">
        <v>2386</v>
      </c>
      <c r="G252" t="s">
        <v>74</v>
      </c>
      <c r="H252" t="s">
        <v>74</v>
      </c>
      <c r="I252" t="s">
        <v>2387</v>
      </c>
      <c r="J252" t="s">
        <v>2388</v>
      </c>
      <c r="K252" t="s">
        <v>74</v>
      </c>
      <c r="L252" t="s">
        <v>74</v>
      </c>
      <c r="M252" t="s">
        <v>74</v>
      </c>
      <c r="N252" t="s">
        <v>74</v>
      </c>
      <c r="O252" t="s">
        <v>2389</v>
      </c>
      <c r="P252" t="s">
        <v>2390</v>
      </c>
      <c r="Q252" t="s">
        <v>2391</v>
      </c>
      <c r="R252" t="s">
        <v>2392</v>
      </c>
      <c r="S252" t="s">
        <v>2393</v>
      </c>
      <c r="T252" t="s">
        <v>74</v>
      </c>
      <c r="U252" t="s">
        <v>74</v>
      </c>
      <c r="V252" t="s">
        <v>2394</v>
      </c>
      <c r="W252" t="s">
        <v>74</v>
      </c>
      <c r="X252" t="s">
        <v>74</v>
      </c>
      <c r="Y252" t="s">
        <v>74</v>
      </c>
      <c r="Z252" t="s">
        <v>74</v>
      </c>
      <c r="AA252" t="s">
        <v>2395</v>
      </c>
      <c r="AB252" t="s">
        <v>74</v>
      </c>
      <c r="AC252" t="s">
        <v>74</v>
      </c>
      <c r="AD252" t="s">
        <v>74</v>
      </c>
      <c r="AE252" t="s">
        <v>74</v>
      </c>
      <c r="AF252" t="s">
        <v>74</v>
      </c>
      <c r="AG252" t="s">
        <v>74</v>
      </c>
      <c r="AH252" t="s">
        <v>74</v>
      </c>
      <c r="AI252" t="s">
        <v>74</v>
      </c>
      <c r="AJ252" t="s">
        <v>74</v>
      </c>
      <c r="AK252" t="s">
        <v>74</v>
      </c>
      <c r="AL252" t="s">
        <v>74</v>
      </c>
      <c r="AM252" t="s">
        <v>74</v>
      </c>
      <c r="AN252" t="s">
        <v>74</v>
      </c>
      <c r="AO252" t="s">
        <v>74</v>
      </c>
      <c r="AP252" t="s">
        <v>74</v>
      </c>
      <c r="AQ252" t="s">
        <v>2396</v>
      </c>
      <c r="AR252" t="s">
        <v>74</v>
      </c>
      <c r="AS252" t="s">
        <v>74</v>
      </c>
      <c r="AT252" t="s">
        <v>74</v>
      </c>
      <c r="AU252">
        <v>2022</v>
      </c>
      <c r="AV252" t="s">
        <v>74</v>
      </c>
      <c r="AW252" t="s">
        <v>74</v>
      </c>
      <c r="AX252" t="s">
        <v>74</v>
      </c>
      <c r="AY252" t="s">
        <v>74</v>
      </c>
      <c r="AZ252" t="s">
        <v>74</v>
      </c>
      <c r="BA252" t="s">
        <v>74</v>
      </c>
      <c r="BB252">
        <v>202</v>
      </c>
      <c r="BC252">
        <v>205</v>
      </c>
      <c r="BD252" t="s">
        <v>74</v>
      </c>
      <c r="BE252" t="s">
        <v>74</v>
      </c>
      <c r="BF252" t="s">
        <v>74</v>
      </c>
      <c r="BG252" t="s">
        <v>74</v>
      </c>
      <c r="BH252" t="s">
        <v>74</v>
      </c>
      <c r="BI252" t="s">
        <v>74</v>
      </c>
      <c r="BJ252" t="s">
        <v>74</v>
      </c>
      <c r="BK252" t="s">
        <v>74</v>
      </c>
      <c r="BL252" t="s">
        <v>74</v>
      </c>
      <c r="BM252" t="s">
        <v>74</v>
      </c>
      <c r="BN252" t="s">
        <v>74</v>
      </c>
      <c r="BO252" t="s">
        <v>74</v>
      </c>
      <c r="BP252" t="s">
        <v>74</v>
      </c>
      <c r="BQ252" t="s">
        <v>74</v>
      </c>
      <c r="BR252" t="s">
        <v>74</v>
      </c>
      <c r="BS252" t="s">
        <v>2397</v>
      </c>
      <c r="BT252" t="str">
        <f>HYPERLINK("https%3A%2F%2Fwww.webofscience.com%2Fwos%2Fwoscc%2Ffull-record%2FWOS:000852879300038","View Full Record in Web of Science")</f>
        <v>View Full Record in Web of Science</v>
      </c>
    </row>
    <row r="253" spans="1:72" x14ac:dyDescent="0.25">
      <c r="A253" t="s">
        <v>72</v>
      </c>
      <c r="B253" t="s">
        <v>2398</v>
      </c>
      <c r="C253" t="s">
        <v>74</v>
      </c>
      <c r="D253" t="s">
        <v>74</v>
      </c>
      <c r="E253" t="s">
        <v>74</v>
      </c>
      <c r="F253" t="s">
        <v>2399</v>
      </c>
      <c r="G253" t="s">
        <v>74</v>
      </c>
      <c r="H253" t="s">
        <v>74</v>
      </c>
      <c r="I253" t="s">
        <v>2400</v>
      </c>
      <c r="J253" t="s">
        <v>2401</v>
      </c>
      <c r="K253" t="s">
        <v>74</v>
      </c>
      <c r="L253" t="s">
        <v>74</v>
      </c>
      <c r="M253" t="s">
        <v>74</v>
      </c>
      <c r="N253" t="s">
        <v>74</v>
      </c>
      <c r="O253" t="s">
        <v>74</v>
      </c>
      <c r="P253" t="s">
        <v>74</v>
      </c>
      <c r="Q253" t="s">
        <v>74</v>
      </c>
      <c r="R253" t="s">
        <v>74</v>
      </c>
      <c r="S253" t="s">
        <v>74</v>
      </c>
      <c r="T253" t="s">
        <v>74</v>
      </c>
      <c r="U253" t="s">
        <v>74</v>
      </c>
      <c r="V253" t="s">
        <v>2402</v>
      </c>
      <c r="W253" t="s">
        <v>74</v>
      </c>
      <c r="X253" t="s">
        <v>74</v>
      </c>
      <c r="Y253" t="s">
        <v>74</v>
      </c>
      <c r="Z253" t="s">
        <v>74</v>
      </c>
      <c r="AA253" t="s">
        <v>74</v>
      </c>
      <c r="AB253" t="s">
        <v>2403</v>
      </c>
      <c r="AC253" t="s">
        <v>74</v>
      </c>
      <c r="AD253" t="s">
        <v>74</v>
      </c>
      <c r="AE253" t="s">
        <v>74</v>
      </c>
      <c r="AF253" t="s">
        <v>74</v>
      </c>
      <c r="AG253" t="s">
        <v>74</v>
      </c>
      <c r="AH253" t="s">
        <v>74</v>
      </c>
      <c r="AI253" t="s">
        <v>74</v>
      </c>
      <c r="AJ253" t="s">
        <v>74</v>
      </c>
      <c r="AK253" t="s">
        <v>74</v>
      </c>
      <c r="AL253" t="s">
        <v>74</v>
      </c>
      <c r="AM253" t="s">
        <v>74</v>
      </c>
      <c r="AN253" t="s">
        <v>74</v>
      </c>
      <c r="AO253" t="s">
        <v>2404</v>
      </c>
      <c r="AP253" t="s">
        <v>2405</v>
      </c>
      <c r="AQ253" t="s">
        <v>74</v>
      </c>
      <c r="AR253" t="s">
        <v>74</v>
      </c>
      <c r="AS253" t="s">
        <v>74</v>
      </c>
      <c r="AT253" t="s">
        <v>1046</v>
      </c>
      <c r="AU253">
        <v>2022</v>
      </c>
      <c r="AV253">
        <v>37</v>
      </c>
      <c r="AW253">
        <v>3</v>
      </c>
      <c r="AX253" t="s">
        <v>74</v>
      </c>
      <c r="AY253" t="s">
        <v>74</v>
      </c>
      <c r="AZ253" t="s">
        <v>74</v>
      </c>
      <c r="BA253" t="s">
        <v>74</v>
      </c>
      <c r="BB253">
        <v>6</v>
      </c>
      <c r="BC253">
        <v>19</v>
      </c>
      <c r="BD253" t="s">
        <v>74</v>
      </c>
      <c r="BE253" t="s">
        <v>2406</v>
      </c>
      <c r="BF253" t="str">
        <f>HYPERLINK("http://dx.doi.org/10.1109/MIS.2022.3181504","http://dx.doi.org/10.1109/MIS.2022.3181504")</f>
        <v>http://dx.doi.org/10.1109/MIS.2022.3181504</v>
      </c>
      <c r="BG253" t="s">
        <v>74</v>
      </c>
      <c r="BH253" t="s">
        <v>74</v>
      </c>
      <c r="BI253" t="s">
        <v>74</v>
      </c>
      <c r="BJ253" t="s">
        <v>74</v>
      </c>
      <c r="BK253" t="s">
        <v>74</v>
      </c>
      <c r="BL253" t="s">
        <v>74</v>
      </c>
      <c r="BM253" t="s">
        <v>74</v>
      </c>
      <c r="BN253" t="s">
        <v>74</v>
      </c>
      <c r="BO253" t="s">
        <v>74</v>
      </c>
      <c r="BP253" t="s">
        <v>74</v>
      </c>
      <c r="BQ253" t="s">
        <v>74</v>
      </c>
      <c r="BR253" t="s">
        <v>74</v>
      </c>
      <c r="BS253" t="s">
        <v>2407</v>
      </c>
      <c r="BT253" t="str">
        <f>HYPERLINK("https%3A%2F%2Fwww.webofscience.com%2Fwos%2Fwoscc%2Ffull-record%2FWOS:000831149400008","View Full Record in Web of Science")</f>
        <v>View Full Record in Web of Science</v>
      </c>
    </row>
    <row r="254" spans="1:72" x14ac:dyDescent="0.25">
      <c r="A254" t="s">
        <v>72</v>
      </c>
      <c r="B254" t="s">
        <v>2408</v>
      </c>
      <c r="C254" t="s">
        <v>74</v>
      </c>
      <c r="D254" t="s">
        <v>74</v>
      </c>
      <c r="E254" t="s">
        <v>74</v>
      </c>
      <c r="F254" t="s">
        <v>2409</v>
      </c>
      <c r="G254" t="s">
        <v>74</v>
      </c>
      <c r="H254" t="s">
        <v>74</v>
      </c>
      <c r="I254" t="s">
        <v>2410</v>
      </c>
      <c r="J254" t="s">
        <v>2411</v>
      </c>
      <c r="K254" t="s">
        <v>74</v>
      </c>
      <c r="L254" t="s">
        <v>74</v>
      </c>
      <c r="M254" t="s">
        <v>74</v>
      </c>
      <c r="N254" t="s">
        <v>74</v>
      </c>
      <c r="O254" t="s">
        <v>74</v>
      </c>
      <c r="P254" t="s">
        <v>74</v>
      </c>
      <c r="Q254" t="s">
        <v>74</v>
      </c>
      <c r="R254" t="s">
        <v>74</v>
      </c>
      <c r="S254" t="s">
        <v>74</v>
      </c>
      <c r="T254" t="s">
        <v>74</v>
      </c>
      <c r="U254" t="s">
        <v>74</v>
      </c>
      <c r="V254" t="s">
        <v>74</v>
      </c>
      <c r="W254" t="s">
        <v>74</v>
      </c>
      <c r="X254" t="s">
        <v>74</v>
      </c>
      <c r="Y254" t="s">
        <v>74</v>
      </c>
      <c r="Z254" t="s">
        <v>74</v>
      </c>
      <c r="AA254" t="s">
        <v>74</v>
      </c>
      <c r="AB254" t="s">
        <v>74</v>
      </c>
      <c r="AC254" t="s">
        <v>74</v>
      </c>
      <c r="AD254" t="s">
        <v>74</v>
      </c>
      <c r="AE254" t="s">
        <v>74</v>
      </c>
      <c r="AF254" t="s">
        <v>74</v>
      </c>
      <c r="AG254" t="s">
        <v>74</v>
      </c>
      <c r="AH254" t="s">
        <v>74</v>
      </c>
      <c r="AI254" t="s">
        <v>74</v>
      </c>
      <c r="AJ254" t="s">
        <v>74</v>
      </c>
      <c r="AK254" t="s">
        <v>74</v>
      </c>
      <c r="AL254" t="s">
        <v>74</v>
      </c>
      <c r="AM254" t="s">
        <v>74</v>
      </c>
      <c r="AN254" t="s">
        <v>74</v>
      </c>
      <c r="AO254" t="s">
        <v>2412</v>
      </c>
      <c r="AP254" t="s">
        <v>2413</v>
      </c>
      <c r="AQ254" t="s">
        <v>74</v>
      </c>
      <c r="AR254" t="s">
        <v>74</v>
      </c>
      <c r="AS254" t="s">
        <v>74</v>
      </c>
      <c r="AT254" t="s">
        <v>730</v>
      </c>
      <c r="AU254">
        <v>2022</v>
      </c>
      <c r="AV254">
        <v>35</v>
      </c>
      <c r="AW254">
        <v>2</v>
      </c>
      <c r="AX254" t="s">
        <v>74</v>
      </c>
      <c r="AY254" t="s">
        <v>74</v>
      </c>
      <c r="AZ254" t="s">
        <v>74</v>
      </c>
      <c r="BA254" t="s">
        <v>74</v>
      </c>
      <c r="BB254">
        <v>137</v>
      </c>
      <c r="BC254">
        <v>138</v>
      </c>
      <c r="BD254" t="s">
        <v>74</v>
      </c>
      <c r="BE254" t="s">
        <v>2414</v>
      </c>
      <c r="BF254" t="str">
        <f>HYPERLINK("http://dx.doi.org/10.11607/ijp.2022.2.e","http://dx.doi.org/10.11607/ijp.2022.2.e")</f>
        <v>http://dx.doi.org/10.11607/ijp.2022.2.e</v>
      </c>
      <c r="BG254" t="s">
        <v>74</v>
      </c>
      <c r="BH254" t="s">
        <v>74</v>
      </c>
      <c r="BI254" t="s">
        <v>74</v>
      </c>
      <c r="BJ254" t="s">
        <v>74</v>
      </c>
      <c r="BK254" t="s">
        <v>74</v>
      </c>
      <c r="BL254" t="s">
        <v>74</v>
      </c>
      <c r="BM254" t="s">
        <v>74</v>
      </c>
      <c r="BN254" t="s">
        <v>74</v>
      </c>
      <c r="BO254" t="s">
        <v>74</v>
      </c>
      <c r="BP254" t="s">
        <v>74</v>
      </c>
      <c r="BQ254" t="s">
        <v>74</v>
      </c>
      <c r="BR254" t="s">
        <v>74</v>
      </c>
      <c r="BS254" t="s">
        <v>2415</v>
      </c>
      <c r="BT254" t="str">
        <f>HYPERLINK("https%3A%2F%2Fwww.webofscience.com%2Fwos%2Fwoscc%2Ffull-record%2FWOS:000798980300001","View Full Record in Web of Science")</f>
        <v>View Full Record in Web of Science</v>
      </c>
    </row>
    <row r="255" spans="1:72" x14ac:dyDescent="0.25">
      <c r="A255" t="s">
        <v>84</v>
      </c>
      <c r="B255" t="s">
        <v>2416</v>
      </c>
      <c r="C255" t="s">
        <v>74</v>
      </c>
      <c r="D255" t="s">
        <v>74</v>
      </c>
      <c r="E255" t="s">
        <v>86</v>
      </c>
      <c r="F255" t="s">
        <v>2417</v>
      </c>
      <c r="G255" t="s">
        <v>74</v>
      </c>
      <c r="H255" t="s">
        <v>74</v>
      </c>
      <c r="I255" t="s">
        <v>2418</v>
      </c>
      <c r="J255" t="s">
        <v>2419</v>
      </c>
      <c r="K255" t="s">
        <v>74</v>
      </c>
      <c r="L255" t="s">
        <v>74</v>
      </c>
      <c r="M255" t="s">
        <v>74</v>
      </c>
      <c r="N255" t="s">
        <v>74</v>
      </c>
      <c r="O255" t="s">
        <v>2420</v>
      </c>
      <c r="P255" t="s">
        <v>2421</v>
      </c>
      <c r="Q255" t="s">
        <v>2422</v>
      </c>
      <c r="R255" t="s">
        <v>86</v>
      </c>
      <c r="S255" t="s">
        <v>74</v>
      </c>
      <c r="T255" t="s">
        <v>74</v>
      </c>
      <c r="U255" t="s">
        <v>74</v>
      </c>
      <c r="V255" t="s">
        <v>2423</v>
      </c>
      <c r="W255" t="s">
        <v>74</v>
      </c>
      <c r="X255" t="s">
        <v>74</v>
      </c>
      <c r="Y255" t="s">
        <v>74</v>
      </c>
      <c r="Z255" t="s">
        <v>74</v>
      </c>
      <c r="AA255" t="s">
        <v>74</v>
      </c>
      <c r="AB255" t="s">
        <v>74</v>
      </c>
      <c r="AC255" t="s">
        <v>74</v>
      </c>
      <c r="AD255" t="s">
        <v>74</v>
      </c>
      <c r="AE255" t="s">
        <v>74</v>
      </c>
      <c r="AF255" t="s">
        <v>74</v>
      </c>
      <c r="AG255" t="s">
        <v>74</v>
      </c>
      <c r="AH255" t="s">
        <v>74</v>
      </c>
      <c r="AI255" t="s">
        <v>74</v>
      </c>
      <c r="AJ255" t="s">
        <v>74</v>
      </c>
      <c r="AK255" t="s">
        <v>74</v>
      </c>
      <c r="AL255" t="s">
        <v>74</v>
      </c>
      <c r="AM255" t="s">
        <v>74</v>
      </c>
      <c r="AN255" t="s">
        <v>74</v>
      </c>
      <c r="AO255" t="s">
        <v>74</v>
      </c>
      <c r="AP255" t="s">
        <v>74</v>
      </c>
      <c r="AQ255" t="s">
        <v>2424</v>
      </c>
      <c r="AR255" t="s">
        <v>74</v>
      </c>
      <c r="AS255" t="s">
        <v>74</v>
      </c>
      <c r="AT255" t="s">
        <v>74</v>
      </c>
      <c r="AU255">
        <v>2022</v>
      </c>
      <c r="AV255" t="s">
        <v>74</v>
      </c>
      <c r="AW255" t="s">
        <v>74</v>
      </c>
      <c r="AX255" t="s">
        <v>74</v>
      </c>
      <c r="AY255" t="s">
        <v>74</v>
      </c>
      <c r="AZ255" t="s">
        <v>74</v>
      </c>
      <c r="BA255" t="s">
        <v>74</v>
      </c>
      <c r="BB255">
        <v>543</v>
      </c>
      <c r="BC255">
        <v>546</v>
      </c>
      <c r="BD255" t="s">
        <v>74</v>
      </c>
      <c r="BE255" t="s">
        <v>2425</v>
      </c>
      <c r="BF255" t="str">
        <f>HYPERLINK("http://dx.doi.org/10.1109/ICICML57342.2022.10009741","http://dx.doi.org/10.1109/ICICML57342.2022.10009741")</f>
        <v>http://dx.doi.org/10.1109/ICICML57342.2022.10009741</v>
      </c>
      <c r="BG255" t="s">
        <v>74</v>
      </c>
      <c r="BH255" t="s">
        <v>74</v>
      </c>
      <c r="BI255" t="s">
        <v>74</v>
      </c>
      <c r="BJ255" t="s">
        <v>74</v>
      </c>
      <c r="BK255" t="s">
        <v>74</v>
      </c>
      <c r="BL255" t="s">
        <v>74</v>
      </c>
      <c r="BM255" t="s">
        <v>74</v>
      </c>
      <c r="BN255" t="s">
        <v>74</v>
      </c>
      <c r="BO255" t="s">
        <v>74</v>
      </c>
      <c r="BP255" t="s">
        <v>74</v>
      </c>
      <c r="BQ255" t="s">
        <v>74</v>
      </c>
      <c r="BR255" t="s">
        <v>74</v>
      </c>
      <c r="BS255" t="s">
        <v>2426</v>
      </c>
      <c r="BT255" t="str">
        <f>HYPERLINK("https%3A%2F%2Fwww.webofscience.com%2Fwos%2Fwoscc%2Ffull-record%2FWOS:000932798900103","View Full Record in Web of Science")</f>
        <v>View Full Record in Web of Science</v>
      </c>
    </row>
    <row r="256" spans="1:72" x14ac:dyDescent="0.25">
      <c r="A256" t="s">
        <v>72</v>
      </c>
      <c r="B256" t="s">
        <v>2427</v>
      </c>
      <c r="C256" t="s">
        <v>74</v>
      </c>
      <c r="D256" t="s">
        <v>74</v>
      </c>
      <c r="E256" t="s">
        <v>74</v>
      </c>
      <c r="F256" t="s">
        <v>2428</v>
      </c>
      <c r="G256" t="s">
        <v>74</v>
      </c>
      <c r="H256" t="s">
        <v>74</v>
      </c>
      <c r="I256" t="s">
        <v>2429</v>
      </c>
      <c r="J256" t="s">
        <v>2430</v>
      </c>
      <c r="K256" t="s">
        <v>74</v>
      </c>
      <c r="L256" t="s">
        <v>74</v>
      </c>
      <c r="M256" t="s">
        <v>74</v>
      </c>
      <c r="N256" t="s">
        <v>74</v>
      </c>
      <c r="O256" t="s">
        <v>74</v>
      </c>
      <c r="P256" t="s">
        <v>74</v>
      </c>
      <c r="Q256" t="s">
        <v>74</v>
      </c>
      <c r="R256" t="s">
        <v>74</v>
      </c>
      <c r="S256" t="s">
        <v>74</v>
      </c>
      <c r="T256" t="s">
        <v>74</v>
      </c>
      <c r="U256" t="s">
        <v>74</v>
      </c>
      <c r="V256" t="s">
        <v>2431</v>
      </c>
      <c r="W256" t="s">
        <v>74</v>
      </c>
      <c r="X256" t="s">
        <v>74</v>
      </c>
      <c r="Y256" t="s">
        <v>74</v>
      </c>
      <c r="Z256" t="s">
        <v>74</v>
      </c>
      <c r="AA256" t="s">
        <v>2432</v>
      </c>
      <c r="AB256" t="s">
        <v>2433</v>
      </c>
      <c r="AC256" t="s">
        <v>74</v>
      </c>
      <c r="AD256" t="s">
        <v>74</v>
      </c>
      <c r="AE256" t="s">
        <v>74</v>
      </c>
      <c r="AF256" t="s">
        <v>74</v>
      </c>
      <c r="AG256" t="s">
        <v>74</v>
      </c>
      <c r="AH256" t="s">
        <v>74</v>
      </c>
      <c r="AI256" t="s">
        <v>74</v>
      </c>
      <c r="AJ256" t="s">
        <v>74</v>
      </c>
      <c r="AK256" t="s">
        <v>74</v>
      </c>
      <c r="AL256" t="s">
        <v>74</v>
      </c>
      <c r="AM256" t="s">
        <v>74</v>
      </c>
      <c r="AN256" t="s">
        <v>74</v>
      </c>
      <c r="AO256" t="s">
        <v>2434</v>
      </c>
      <c r="AP256" t="s">
        <v>2435</v>
      </c>
      <c r="AQ256" t="s">
        <v>74</v>
      </c>
      <c r="AR256" t="s">
        <v>74</v>
      </c>
      <c r="AS256" t="s">
        <v>74</v>
      </c>
      <c r="AT256" t="s">
        <v>74</v>
      </c>
      <c r="AU256">
        <v>2022</v>
      </c>
      <c r="AV256">
        <v>73</v>
      </c>
      <c r="AW256">
        <v>3</v>
      </c>
      <c r="AX256" t="s">
        <v>74</v>
      </c>
      <c r="AY256" t="s">
        <v>74</v>
      </c>
      <c r="AZ256" t="s">
        <v>74</v>
      </c>
      <c r="BA256" t="s">
        <v>74</v>
      </c>
      <c r="BB256">
        <v>5609</v>
      </c>
      <c r="BC256">
        <v>5624</v>
      </c>
      <c r="BD256" t="s">
        <v>74</v>
      </c>
      <c r="BE256" t="s">
        <v>2436</v>
      </c>
      <c r="BF256" t="str">
        <f>HYPERLINK("http://dx.doi.org/10.32604/cmc.2022.030235","http://dx.doi.org/10.32604/cmc.2022.030235")</f>
        <v>http://dx.doi.org/10.32604/cmc.2022.030235</v>
      </c>
      <c r="BG256" t="s">
        <v>74</v>
      </c>
      <c r="BH256" t="s">
        <v>74</v>
      </c>
      <c r="BI256" t="s">
        <v>74</v>
      </c>
      <c r="BJ256" t="s">
        <v>74</v>
      </c>
      <c r="BK256" t="s">
        <v>74</v>
      </c>
      <c r="BL256" t="s">
        <v>74</v>
      </c>
      <c r="BM256" t="s">
        <v>74</v>
      </c>
      <c r="BN256" t="s">
        <v>74</v>
      </c>
      <c r="BO256" t="s">
        <v>74</v>
      </c>
      <c r="BP256" t="s">
        <v>74</v>
      </c>
      <c r="BQ256" t="s">
        <v>74</v>
      </c>
      <c r="BR256" t="s">
        <v>74</v>
      </c>
      <c r="BS256" t="s">
        <v>2437</v>
      </c>
      <c r="BT256" t="str">
        <f>HYPERLINK("https%3A%2F%2Fwww.webofscience.com%2Fwos%2Fwoscc%2Ffull-record%2FWOS:000858712900033","View Full Record in Web of Science")</f>
        <v>View Full Record in Web of Science</v>
      </c>
    </row>
    <row r="257" spans="1:72" x14ac:dyDescent="0.25">
      <c r="A257" t="s">
        <v>72</v>
      </c>
      <c r="B257" t="s">
        <v>2438</v>
      </c>
      <c r="C257" t="s">
        <v>74</v>
      </c>
      <c r="D257" t="s">
        <v>74</v>
      </c>
      <c r="E257" t="s">
        <v>74</v>
      </c>
      <c r="F257" t="s">
        <v>2439</v>
      </c>
      <c r="G257" t="s">
        <v>74</v>
      </c>
      <c r="H257" t="s">
        <v>74</v>
      </c>
      <c r="I257" t="s">
        <v>2440</v>
      </c>
      <c r="J257" t="s">
        <v>119</v>
      </c>
      <c r="K257" t="s">
        <v>74</v>
      </c>
      <c r="L257" t="s">
        <v>74</v>
      </c>
      <c r="M257" t="s">
        <v>74</v>
      </c>
      <c r="N257" t="s">
        <v>74</v>
      </c>
      <c r="O257" t="s">
        <v>74</v>
      </c>
      <c r="P257" t="s">
        <v>74</v>
      </c>
      <c r="Q257" t="s">
        <v>74</v>
      </c>
      <c r="R257" t="s">
        <v>74</v>
      </c>
      <c r="S257" t="s">
        <v>74</v>
      </c>
      <c r="T257" t="s">
        <v>74</v>
      </c>
      <c r="U257" t="s">
        <v>74</v>
      </c>
      <c r="V257" t="s">
        <v>2441</v>
      </c>
      <c r="W257" t="s">
        <v>74</v>
      </c>
      <c r="X257" t="s">
        <v>74</v>
      </c>
      <c r="Y257" t="s">
        <v>74</v>
      </c>
      <c r="Z257" t="s">
        <v>74</v>
      </c>
      <c r="AA257" t="s">
        <v>74</v>
      </c>
      <c r="AB257" t="s">
        <v>2442</v>
      </c>
      <c r="AC257" t="s">
        <v>74</v>
      </c>
      <c r="AD257" t="s">
        <v>74</v>
      </c>
      <c r="AE257" t="s">
        <v>74</v>
      </c>
      <c r="AF257" t="s">
        <v>74</v>
      </c>
      <c r="AG257" t="s">
        <v>74</v>
      </c>
      <c r="AH257" t="s">
        <v>74</v>
      </c>
      <c r="AI257" t="s">
        <v>74</v>
      </c>
      <c r="AJ257" t="s">
        <v>74</v>
      </c>
      <c r="AK257" t="s">
        <v>74</v>
      </c>
      <c r="AL257" t="s">
        <v>74</v>
      </c>
      <c r="AM257" t="s">
        <v>74</v>
      </c>
      <c r="AN257" t="s">
        <v>74</v>
      </c>
      <c r="AO257" t="s">
        <v>74</v>
      </c>
      <c r="AP257" t="s">
        <v>123</v>
      </c>
      <c r="AQ257" t="s">
        <v>74</v>
      </c>
      <c r="AR257" t="s">
        <v>74</v>
      </c>
      <c r="AS257" t="s">
        <v>74</v>
      </c>
      <c r="AT257" t="s">
        <v>175</v>
      </c>
      <c r="AU257">
        <v>2023</v>
      </c>
      <c r="AV257">
        <v>12</v>
      </c>
      <c r="AW257">
        <v>2</v>
      </c>
      <c r="AX257" t="s">
        <v>74</v>
      </c>
      <c r="AY257" t="s">
        <v>74</v>
      </c>
      <c r="AZ257" t="s">
        <v>74</v>
      </c>
      <c r="BA257" t="s">
        <v>74</v>
      </c>
      <c r="BB257" t="s">
        <v>74</v>
      </c>
      <c r="BC257" t="s">
        <v>74</v>
      </c>
      <c r="BD257">
        <v>273</v>
      </c>
      <c r="BE257" t="s">
        <v>2443</v>
      </c>
      <c r="BF257" t="str">
        <f>HYPERLINK("http://dx.doi.org/10.3390/electronics12020273","http://dx.doi.org/10.3390/electronics12020273")</f>
        <v>http://dx.doi.org/10.3390/electronics12020273</v>
      </c>
      <c r="BG257" t="s">
        <v>74</v>
      </c>
      <c r="BH257" t="s">
        <v>74</v>
      </c>
      <c r="BI257" t="s">
        <v>74</v>
      </c>
      <c r="BJ257" t="s">
        <v>74</v>
      </c>
      <c r="BK257" t="s">
        <v>74</v>
      </c>
      <c r="BL257" t="s">
        <v>74</v>
      </c>
      <c r="BM257" t="s">
        <v>74</v>
      </c>
      <c r="BN257" t="s">
        <v>74</v>
      </c>
      <c r="BO257" t="s">
        <v>74</v>
      </c>
      <c r="BP257" t="s">
        <v>74</v>
      </c>
      <c r="BQ257" t="s">
        <v>74</v>
      </c>
      <c r="BR257" t="s">
        <v>74</v>
      </c>
      <c r="BS257" t="s">
        <v>2444</v>
      </c>
      <c r="BT257" t="str">
        <f>HYPERLINK("https%3A%2F%2Fwww.webofscience.com%2Fwos%2Fwoscc%2Ffull-record%2FWOS:000916993900001","View Full Record in Web of Science")</f>
        <v>View Full Record in Web of Science</v>
      </c>
    </row>
    <row r="258" spans="1:72" x14ac:dyDescent="0.25">
      <c r="A258" t="s">
        <v>72</v>
      </c>
      <c r="B258" t="s">
        <v>2445</v>
      </c>
      <c r="C258" t="s">
        <v>74</v>
      </c>
      <c r="D258" t="s">
        <v>74</v>
      </c>
      <c r="E258" t="s">
        <v>74</v>
      </c>
      <c r="F258" t="s">
        <v>2446</v>
      </c>
      <c r="G258" t="s">
        <v>74</v>
      </c>
      <c r="H258" t="s">
        <v>74</v>
      </c>
      <c r="I258" t="s">
        <v>2447</v>
      </c>
      <c r="J258" t="s">
        <v>513</v>
      </c>
      <c r="K258" t="s">
        <v>74</v>
      </c>
      <c r="L258" t="s">
        <v>74</v>
      </c>
      <c r="M258" t="s">
        <v>74</v>
      </c>
      <c r="N258" t="s">
        <v>74</v>
      </c>
      <c r="O258" t="s">
        <v>74</v>
      </c>
      <c r="P258" t="s">
        <v>74</v>
      </c>
      <c r="Q258" t="s">
        <v>74</v>
      </c>
      <c r="R258" t="s">
        <v>74</v>
      </c>
      <c r="S258" t="s">
        <v>74</v>
      </c>
      <c r="T258" t="s">
        <v>74</v>
      </c>
      <c r="U258" t="s">
        <v>74</v>
      </c>
      <c r="V258" t="s">
        <v>2448</v>
      </c>
      <c r="W258" t="s">
        <v>74</v>
      </c>
      <c r="X258" t="s">
        <v>74</v>
      </c>
      <c r="Y258" t="s">
        <v>74</v>
      </c>
      <c r="Z258" t="s">
        <v>74</v>
      </c>
      <c r="AA258" t="s">
        <v>74</v>
      </c>
      <c r="AB258" t="s">
        <v>2449</v>
      </c>
      <c r="AC258" t="s">
        <v>74</v>
      </c>
      <c r="AD258" t="s">
        <v>74</v>
      </c>
      <c r="AE258" t="s">
        <v>74</v>
      </c>
      <c r="AF258" t="s">
        <v>74</v>
      </c>
      <c r="AG258" t="s">
        <v>74</v>
      </c>
      <c r="AH258" t="s">
        <v>74</v>
      </c>
      <c r="AI258" t="s">
        <v>74</v>
      </c>
      <c r="AJ258" t="s">
        <v>74</v>
      </c>
      <c r="AK258" t="s">
        <v>74</v>
      </c>
      <c r="AL258" t="s">
        <v>74</v>
      </c>
      <c r="AM258" t="s">
        <v>74</v>
      </c>
      <c r="AN258" t="s">
        <v>74</v>
      </c>
      <c r="AO258" t="s">
        <v>74</v>
      </c>
      <c r="AP258" t="s">
        <v>517</v>
      </c>
      <c r="AQ258" t="s">
        <v>74</v>
      </c>
      <c r="AR258" t="s">
        <v>74</v>
      </c>
      <c r="AS258" t="s">
        <v>74</v>
      </c>
      <c r="AT258" t="s">
        <v>366</v>
      </c>
      <c r="AU258">
        <v>2023</v>
      </c>
      <c r="AV258">
        <v>11</v>
      </c>
      <c r="AW258">
        <v>6</v>
      </c>
      <c r="AX258" t="s">
        <v>74</v>
      </c>
      <c r="AY258" t="s">
        <v>74</v>
      </c>
      <c r="AZ258" t="s">
        <v>74</v>
      </c>
      <c r="BA258" t="s">
        <v>74</v>
      </c>
      <c r="BB258" t="s">
        <v>74</v>
      </c>
      <c r="BC258" t="s">
        <v>74</v>
      </c>
      <c r="BD258">
        <v>1286</v>
      </c>
      <c r="BE258" t="s">
        <v>2450</v>
      </c>
      <c r="BF258" t="str">
        <f>HYPERLINK("http://dx.doi.org/10.3390/math11061286","http://dx.doi.org/10.3390/math11061286")</f>
        <v>http://dx.doi.org/10.3390/math11061286</v>
      </c>
      <c r="BG258" t="s">
        <v>74</v>
      </c>
      <c r="BH258" t="s">
        <v>74</v>
      </c>
      <c r="BI258" t="s">
        <v>74</v>
      </c>
      <c r="BJ258" t="s">
        <v>74</v>
      </c>
      <c r="BK258" t="s">
        <v>74</v>
      </c>
      <c r="BL258" t="s">
        <v>74</v>
      </c>
      <c r="BM258" t="s">
        <v>74</v>
      </c>
      <c r="BN258" t="s">
        <v>74</v>
      </c>
      <c r="BO258" t="s">
        <v>74</v>
      </c>
      <c r="BP258" t="s">
        <v>74</v>
      </c>
      <c r="BQ258" t="s">
        <v>74</v>
      </c>
      <c r="BR258" t="s">
        <v>74</v>
      </c>
      <c r="BS258" t="s">
        <v>2451</v>
      </c>
      <c r="BT258" t="str">
        <f>HYPERLINK("https%3A%2F%2Fwww.webofscience.com%2Fwos%2Fwoscc%2Ffull-record%2FWOS:000959189900001","View Full Record in Web of Science")</f>
        <v>View Full Record in Web of Science</v>
      </c>
    </row>
    <row r="259" spans="1:72" x14ac:dyDescent="0.25">
      <c r="A259" t="s">
        <v>72</v>
      </c>
      <c r="B259" t="s">
        <v>2452</v>
      </c>
      <c r="C259" t="s">
        <v>74</v>
      </c>
      <c r="D259" t="s">
        <v>74</v>
      </c>
      <c r="E259" t="s">
        <v>74</v>
      </c>
      <c r="F259" t="s">
        <v>2453</v>
      </c>
      <c r="G259" t="s">
        <v>74</v>
      </c>
      <c r="H259" t="s">
        <v>74</v>
      </c>
      <c r="I259" t="s">
        <v>2454</v>
      </c>
      <c r="J259" t="s">
        <v>709</v>
      </c>
      <c r="K259" t="s">
        <v>74</v>
      </c>
      <c r="L259" t="s">
        <v>74</v>
      </c>
      <c r="M259" t="s">
        <v>74</v>
      </c>
      <c r="N259" t="s">
        <v>74</v>
      </c>
      <c r="O259" t="s">
        <v>74</v>
      </c>
      <c r="P259" t="s">
        <v>74</v>
      </c>
      <c r="Q259" t="s">
        <v>74</v>
      </c>
      <c r="R259" t="s">
        <v>74</v>
      </c>
      <c r="S259" t="s">
        <v>74</v>
      </c>
      <c r="T259" t="s">
        <v>74</v>
      </c>
      <c r="U259" t="s">
        <v>74</v>
      </c>
      <c r="V259" t="s">
        <v>2455</v>
      </c>
      <c r="W259" t="s">
        <v>74</v>
      </c>
      <c r="X259" t="s">
        <v>74</v>
      </c>
      <c r="Y259" t="s">
        <v>74</v>
      </c>
      <c r="Z259" t="s">
        <v>74</v>
      </c>
      <c r="AA259" t="s">
        <v>2456</v>
      </c>
      <c r="AB259" t="s">
        <v>2457</v>
      </c>
      <c r="AC259" t="s">
        <v>74</v>
      </c>
      <c r="AD259" t="s">
        <v>74</v>
      </c>
      <c r="AE259" t="s">
        <v>74</v>
      </c>
      <c r="AF259" t="s">
        <v>74</v>
      </c>
      <c r="AG259" t="s">
        <v>74</v>
      </c>
      <c r="AH259" t="s">
        <v>74</v>
      </c>
      <c r="AI259" t="s">
        <v>74</v>
      </c>
      <c r="AJ259" t="s">
        <v>74</v>
      </c>
      <c r="AK259" t="s">
        <v>74</v>
      </c>
      <c r="AL259" t="s">
        <v>74</v>
      </c>
      <c r="AM259" t="s">
        <v>74</v>
      </c>
      <c r="AN259" t="s">
        <v>74</v>
      </c>
      <c r="AO259" t="s">
        <v>74</v>
      </c>
      <c r="AP259" t="s">
        <v>711</v>
      </c>
      <c r="AQ259" t="s">
        <v>74</v>
      </c>
      <c r="AR259" t="s">
        <v>74</v>
      </c>
      <c r="AS259" t="s">
        <v>74</v>
      </c>
      <c r="AT259" t="s">
        <v>1409</v>
      </c>
      <c r="AU259">
        <v>2022</v>
      </c>
      <c r="AV259">
        <v>12</v>
      </c>
      <c r="AW259">
        <v>12</v>
      </c>
      <c r="AX259" t="s">
        <v>74</v>
      </c>
      <c r="AY259" t="s">
        <v>74</v>
      </c>
      <c r="AZ259" t="s">
        <v>74</v>
      </c>
      <c r="BA259" t="s">
        <v>74</v>
      </c>
      <c r="BB259" t="s">
        <v>74</v>
      </c>
      <c r="BC259" t="s">
        <v>74</v>
      </c>
      <c r="BD259">
        <v>6258</v>
      </c>
      <c r="BE259" t="s">
        <v>2458</v>
      </c>
      <c r="BF259" t="str">
        <f>HYPERLINK("http://dx.doi.org/10.3390/app12126258","http://dx.doi.org/10.3390/app12126258")</f>
        <v>http://dx.doi.org/10.3390/app12126258</v>
      </c>
      <c r="BG259" t="s">
        <v>74</v>
      </c>
      <c r="BH259" t="s">
        <v>74</v>
      </c>
      <c r="BI259" t="s">
        <v>74</v>
      </c>
      <c r="BJ259" t="s">
        <v>74</v>
      </c>
      <c r="BK259" t="s">
        <v>74</v>
      </c>
      <c r="BL259" t="s">
        <v>74</v>
      </c>
      <c r="BM259" t="s">
        <v>74</v>
      </c>
      <c r="BN259" t="s">
        <v>74</v>
      </c>
      <c r="BO259" t="s">
        <v>74</v>
      </c>
      <c r="BP259" t="s">
        <v>74</v>
      </c>
      <c r="BQ259" t="s">
        <v>74</v>
      </c>
      <c r="BR259" t="s">
        <v>74</v>
      </c>
      <c r="BS259" t="s">
        <v>2459</v>
      </c>
      <c r="BT259" t="str">
        <f>HYPERLINK("https%3A%2F%2Fwww.webofscience.com%2Fwos%2Fwoscc%2Ffull-record%2FWOS:000819607500001","View Full Record in Web of Science")</f>
        <v>View Full Record in Web of Science</v>
      </c>
    </row>
    <row r="260" spans="1:72" x14ac:dyDescent="0.25">
      <c r="A260" t="s">
        <v>84</v>
      </c>
      <c r="B260" t="s">
        <v>2460</v>
      </c>
      <c r="C260" t="s">
        <v>74</v>
      </c>
      <c r="D260" t="s">
        <v>74</v>
      </c>
      <c r="E260" t="s">
        <v>86</v>
      </c>
      <c r="F260" t="s">
        <v>2461</v>
      </c>
      <c r="G260" t="s">
        <v>74</v>
      </c>
      <c r="H260" t="s">
        <v>74</v>
      </c>
      <c r="I260" t="s">
        <v>2462</v>
      </c>
      <c r="J260" t="s">
        <v>2463</v>
      </c>
      <c r="K260" t="s">
        <v>2464</v>
      </c>
      <c r="L260" t="s">
        <v>74</v>
      </c>
      <c r="M260" t="s">
        <v>74</v>
      </c>
      <c r="N260" t="s">
        <v>74</v>
      </c>
      <c r="O260" t="s">
        <v>1165</v>
      </c>
      <c r="P260" t="s">
        <v>1166</v>
      </c>
      <c r="Q260" t="s">
        <v>1167</v>
      </c>
      <c r="R260" t="s">
        <v>1168</v>
      </c>
      <c r="S260" t="s">
        <v>74</v>
      </c>
      <c r="T260" t="s">
        <v>74</v>
      </c>
      <c r="U260" t="s">
        <v>74</v>
      </c>
      <c r="V260" t="s">
        <v>2465</v>
      </c>
      <c r="W260" t="s">
        <v>74</v>
      </c>
      <c r="X260" t="s">
        <v>74</v>
      </c>
      <c r="Y260" t="s">
        <v>74</v>
      </c>
      <c r="Z260" t="s">
        <v>74</v>
      </c>
      <c r="AA260" t="s">
        <v>2466</v>
      </c>
      <c r="AB260" t="s">
        <v>2467</v>
      </c>
      <c r="AC260" t="s">
        <v>74</v>
      </c>
      <c r="AD260" t="s">
        <v>74</v>
      </c>
      <c r="AE260" t="s">
        <v>74</v>
      </c>
      <c r="AF260" t="s">
        <v>74</v>
      </c>
      <c r="AG260" t="s">
        <v>74</v>
      </c>
      <c r="AH260" t="s">
        <v>74</v>
      </c>
      <c r="AI260" t="s">
        <v>74</v>
      </c>
      <c r="AJ260" t="s">
        <v>74</v>
      </c>
      <c r="AK260" t="s">
        <v>74</v>
      </c>
      <c r="AL260" t="s">
        <v>74</v>
      </c>
      <c r="AM260" t="s">
        <v>74</v>
      </c>
      <c r="AN260" t="s">
        <v>74</v>
      </c>
      <c r="AO260" t="s">
        <v>2468</v>
      </c>
      <c r="AP260" t="s">
        <v>74</v>
      </c>
      <c r="AQ260" t="s">
        <v>2469</v>
      </c>
      <c r="AR260" t="s">
        <v>74</v>
      </c>
      <c r="AS260" t="s">
        <v>74</v>
      </c>
      <c r="AT260" t="s">
        <v>74</v>
      </c>
      <c r="AU260">
        <v>2022</v>
      </c>
      <c r="AV260" t="s">
        <v>74</v>
      </c>
      <c r="AW260" t="s">
        <v>74</v>
      </c>
      <c r="AX260" t="s">
        <v>74</v>
      </c>
      <c r="AY260" t="s">
        <v>74</v>
      </c>
      <c r="AZ260" t="s">
        <v>74</v>
      </c>
      <c r="BA260" t="s">
        <v>74</v>
      </c>
      <c r="BB260" t="s">
        <v>74</v>
      </c>
      <c r="BC260" t="s">
        <v>74</v>
      </c>
      <c r="BD260" t="s">
        <v>74</v>
      </c>
      <c r="BE260" t="s">
        <v>2470</v>
      </c>
      <c r="BF260" t="str">
        <f>HYPERLINK("http://dx.doi.org/10.1109/IJCNN55064.2022.9892793","http://dx.doi.org/10.1109/IJCNN55064.2022.9892793")</f>
        <v>http://dx.doi.org/10.1109/IJCNN55064.2022.9892793</v>
      </c>
      <c r="BG260" t="s">
        <v>74</v>
      </c>
      <c r="BH260" t="s">
        <v>74</v>
      </c>
      <c r="BI260" t="s">
        <v>74</v>
      </c>
      <c r="BJ260" t="s">
        <v>74</v>
      </c>
      <c r="BK260" t="s">
        <v>74</v>
      </c>
      <c r="BL260" t="s">
        <v>74</v>
      </c>
      <c r="BM260" t="s">
        <v>74</v>
      </c>
      <c r="BN260" t="s">
        <v>74</v>
      </c>
      <c r="BO260" t="s">
        <v>74</v>
      </c>
      <c r="BP260" t="s">
        <v>74</v>
      </c>
      <c r="BQ260" t="s">
        <v>74</v>
      </c>
      <c r="BR260" t="s">
        <v>74</v>
      </c>
      <c r="BS260" t="s">
        <v>2471</v>
      </c>
      <c r="BT260" t="str">
        <f>HYPERLINK("https%3A%2F%2Fwww.webofscience.com%2Fwos%2Fwoscc%2Ffull-record%2FWOS:000867070907030","View Full Record in Web of Science")</f>
        <v>View Full Record in Web of Science</v>
      </c>
    </row>
    <row r="261" spans="1:72" x14ac:dyDescent="0.25">
      <c r="A261" t="s">
        <v>84</v>
      </c>
      <c r="B261" t="s">
        <v>2472</v>
      </c>
      <c r="C261" t="s">
        <v>74</v>
      </c>
      <c r="D261" t="s">
        <v>74</v>
      </c>
      <c r="E261" t="s">
        <v>233</v>
      </c>
      <c r="F261" t="s">
        <v>2473</v>
      </c>
      <c r="G261" t="s">
        <v>74</v>
      </c>
      <c r="H261" t="s">
        <v>74</v>
      </c>
      <c r="I261" t="s">
        <v>2474</v>
      </c>
      <c r="J261" t="s">
        <v>798</v>
      </c>
      <c r="K261" t="s">
        <v>74</v>
      </c>
      <c r="L261" t="s">
        <v>74</v>
      </c>
      <c r="M261" t="s">
        <v>74</v>
      </c>
      <c r="N261" t="s">
        <v>74</v>
      </c>
      <c r="O261" t="s">
        <v>799</v>
      </c>
      <c r="P261" t="s">
        <v>800</v>
      </c>
      <c r="Q261" t="s">
        <v>108</v>
      </c>
      <c r="R261" t="s">
        <v>801</v>
      </c>
      <c r="S261" t="s">
        <v>74</v>
      </c>
      <c r="T261" t="s">
        <v>74</v>
      </c>
      <c r="U261" t="s">
        <v>74</v>
      </c>
      <c r="V261" t="s">
        <v>2475</v>
      </c>
      <c r="W261" t="s">
        <v>74</v>
      </c>
      <c r="X261" t="s">
        <v>74</v>
      </c>
      <c r="Y261" t="s">
        <v>74</v>
      </c>
      <c r="Z261" t="s">
        <v>74</v>
      </c>
      <c r="AA261" t="s">
        <v>2476</v>
      </c>
      <c r="AB261" t="s">
        <v>2477</v>
      </c>
      <c r="AC261" t="s">
        <v>74</v>
      </c>
      <c r="AD261" t="s">
        <v>74</v>
      </c>
      <c r="AE261" t="s">
        <v>74</v>
      </c>
      <c r="AF261" t="s">
        <v>74</v>
      </c>
      <c r="AG261" t="s">
        <v>74</v>
      </c>
      <c r="AH261" t="s">
        <v>74</v>
      </c>
      <c r="AI261" t="s">
        <v>74</v>
      </c>
      <c r="AJ261" t="s">
        <v>74</v>
      </c>
      <c r="AK261" t="s">
        <v>74</v>
      </c>
      <c r="AL261" t="s">
        <v>74</v>
      </c>
      <c r="AM261" t="s">
        <v>74</v>
      </c>
      <c r="AN261" t="s">
        <v>74</v>
      </c>
      <c r="AO261" t="s">
        <v>74</v>
      </c>
      <c r="AP261" t="s">
        <v>74</v>
      </c>
      <c r="AQ261" t="s">
        <v>804</v>
      </c>
      <c r="AR261" t="s">
        <v>74</v>
      </c>
      <c r="AS261" t="s">
        <v>74</v>
      </c>
      <c r="AT261" t="s">
        <v>74</v>
      </c>
      <c r="AU261">
        <v>2022</v>
      </c>
      <c r="AV261" t="s">
        <v>74</v>
      </c>
      <c r="AW261" t="s">
        <v>74</v>
      </c>
      <c r="AX261" t="s">
        <v>74</v>
      </c>
      <c r="AY261" t="s">
        <v>74</v>
      </c>
      <c r="AZ261" t="s">
        <v>74</v>
      </c>
      <c r="BA261" t="s">
        <v>74</v>
      </c>
      <c r="BB261">
        <v>988</v>
      </c>
      <c r="BC261">
        <v>989</v>
      </c>
      <c r="BD261" t="s">
        <v>74</v>
      </c>
      <c r="BE261" t="s">
        <v>2478</v>
      </c>
      <c r="BF261" t="str">
        <f>HYPERLINK("http://dx.doi.org/10.1109/VRW55335.2022.00345","http://dx.doi.org/10.1109/VRW55335.2022.00345")</f>
        <v>http://dx.doi.org/10.1109/VRW55335.2022.00345</v>
      </c>
      <c r="BG261" t="s">
        <v>74</v>
      </c>
      <c r="BH261" t="s">
        <v>74</v>
      </c>
      <c r="BI261" t="s">
        <v>74</v>
      </c>
      <c r="BJ261" t="s">
        <v>74</v>
      </c>
      <c r="BK261" t="s">
        <v>74</v>
      </c>
      <c r="BL261" t="s">
        <v>74</v>
      </c>
      <c r="BM261" t="s">
        <v>74</v>
      </c>
      <c r="BN261" t="s">
        <v>74</v>
      </c>
      <c r="BO261" t="s">
        <v>74</v>
      </c>
      <c r="BP261" t="s">
        <v>74</v>
      </c>
      <c r="BQ261" t="s">
        <v>74</v>
      </c>
      <c r="BR261" t="s">
        <v>74</v>
      </c>
      <c r="BS261" t="s">
        <v>2479</v>
      </c>
      <c r="BT261" t="str">
        <f>HYPERLINK("https%3A%2F%2Fwww.webofscience.com%2Fwos%2Fwoscc%2Ffull-record%2FWOS:000808111800338","View Full Record in Web of Science")</f>
        <v>View Full Record in Web of Science</v>
      </c>
    </row>
    <row r="262" spans="1:72" x14ac:dyDescent="0.25">
      <c r="A262" t="s">
        <v>72</v>
      </c>
      <c r="B262" t="s">
        <v>2480</v>
      </c>
      <c r="C262" t="s">
        <v>74</v>
      </c>
      <c r="D262" t="s">
        <v>74</v>
      </c>
      <c r="E262" t="s">
        <v>74</v>
      </c>
      <c r="F262" t="s">
        <v>2481</v>
      </c>
      <c r="G262" t="s">
        <v>74</v>
      </c>
      <c r="H262" t="s">
        <v>74</v>
      </c>
      <c r="I262" t="s">
        <v>2482</v>
      </c>
      <c r="J262" t="s">
        <v>709</v>
      </c>
      <c r="K262" t="s">
        <v>74</v>
      </c>
      <c r="L262" t="s">
        <v>74</v>
      </c>
      <c r="M262" t="s">
        <v>74</v>
      </c>
      <c r="N262" t="s">
        <v>74</v>
      </c>
      <c r="O262" t="s">
        <v>74</v>
      </c>
      <c r="P262" t="s">
        <v>74</v>
      </c>
      <c r="Q262" t="s">
        <v>74</v>
      </c>
      <c r="R262" t="s">
        <v>74</v>
      </c>
      <c r="S262" t="s">
        <v>74</v>
      </c>
      <c r="T262" t="s">
        <v>74</v>
      </c>
      <c r="U262" t="s">
        <v>74</v>
      </c>
      <c r="V262" t="s">
        <v>2483</v>
      </c>
      <c r="W262" t="s">
        <v>74</v>
      </c>
      <c r="X262" t="s">
        <v>74</v>
      </c>
      <c r="Y262" t="s">
        <v>74</v>
      </c>
      <c r="Z262" t="s">
        <v>74</v>
      </c>
      <c r="AA262" t="s">
        <v>74</v>
      </c>
      <c r="AB262" t="s">
        <v>2484</v>
      </c>
      <c r="AC262" t="s">
        <v>74</v>
      </c>
      <c r="AD262" t="s">
        <v>74</v>
      </c>
      <c r="AE262" t="s">
        <v>74</v>
      </c>
      <c r="AF262" t="s">
        <v>74</v>
      </c>
      <c r="AG262" t="s">
        <v>74</v>
      </c>
      <c r="AH262" t="s">
        <v>74</v>
      </c>
      <c r="AI262" t="s">
        <v>74</v>
      </c>
      <c r="AJ262" t="s">
        <v>74</v>
      </c>
      <c r="AK262" t="s">
        <v>74</v>
      </c>
      <c r="AL262" t="s">
        <v>74</v>
      </c>
      <c r="AM262" t="s">
        <v>74</v>
      </c>
      <c r="AN262" t="s">
        <v>74</v>
      </c>
      <c r="AO262" t="s">
        <v>74</v>
      </c>
      <c r="AP262" t="s">
        <v>711</v>
      </c>
      <c r="AQ262" t="s">
        <v>74</v>
      </c>
      <c r="AR262" t="s">
        <v>74</v>
      </c>
      <c r="AS262" t="s">
        <v>74</v>
      </c>
      <c r="AT262" t="s">
        <v>366</v>
      </c>
      <c r="AU262">
        <v>2022</v>
      </c>
      <c r="AV262">
        <v>12</v>
      </c>
      <c r="AW262">
        <v>5</v>
      </c>
      <c r="AX262" t="s">
        <v>74</v>
      </c>
      <c r="AY262" t="s">
        <v>74</v>
      </c>
      <c r="AZ262" t="s">
        <v>74</v>
      </c>
      <c r="BA262" t="s">
        <v>74</v>
      </c>
      <c r="BB262" t="s">
        <v>74</v>
      </c>
      <c r="BC262" t="s">
        <v>74</v>
      </c>
      <c r="BD262">
        <v>2667</v>
      </c>
      <c r="BE262" t="s">
        <v>2485</v>
      </c>
      <c r="BF262" t="str">
        <f>HYPERLINK("http://dx.doi.org/10.3390/app12052667","http://dx.doi.org/10.3390/app12052667")</f>
        <v>http://dx.doi.org/10.3390/app12052667</v>
      </c>
      <c r="BG262" t="s">
        <v>74</v>
      </c>
      <c r="BH262" t="s">
        <v>74</v>
      </c>
      <c r="BI262" t="s">
        <v>74</v>
      </c>
      <c r="BJ262" t="s">
        <v>74</v>
      </c>
      <c r="BK262" t="s">
        <v>74</v>
      </c>
      <c r="BL262" t="s">
        <v>74</v>
      </c>
      <c r="BM262" t="s">
        <v>74</v>
      </c>
      <c r="BN262" t="s">
        <v>74</v>
      </c>
      <c r="BO262" t="s">
        <v>74</v>
      </c>
      <c r="BP262" t="s">
        <v>74</v>
      </c>
      <c r="BQ262" t="s">
        <v>74</v>
      </c>
      <c r="BR262" t="s">
        <v>74</v>
      </c>
      <c r="BS262" t="s">
        <v>2486</v>
      </c>
      <c r="BT262" t="str">
        <f>HYPERLINK("https%3A%2F%2Fwww.webofscience.com%2Fwos%2Fwoscc%2Ffull-record%2FWOS:000771172600001","View Full Record in Web of Science")</f>
        <v>View Full Record in Web of Science</v>
      </c>
    </row>
    <row r="263" spans="1:72" x14ac:dyDescent="0.25">
      <c r="A263" t="s">
        <v>84</v>
      </c>
      <c r="B263" t="s">
        <v>2487</v>
      </c>
      <c r="C263" t="s">
        <v>74</v>
      </c>
      <c r="D263" t="s">
        <v>74</v>
      </c>
      <c r="E263" t="s">
        <v>233</v>
      </c>
      <c r="F263" t="s">
        <v>2488</v>
      </c>
      <c r="G263" t="s">
        <v>74</v>
      </c>
      <c r="H263" t="s">
        <v>74</v>
      </c>
      <c r="I263" t="s">
        <v>2489</v>
      </c>
      <c r="J263" t="s">
        <v>798</v>
      </c>
      <c r="K263" t="s">
        <v>74</v>
      </c>
      <c r="L263" t="s">
        <v>74</v>
      </c>
      <c r="M263" t="s">
        <v>74</v>
      </c>
      <c r="N263" t="s">
        <v>74</v>
      </c>
      <c r="O263" t="s">
        <v>799</v>
      </c>
      <c r="P263" t="s">
        <v>800</v>
      </c>
      <c r="Q263" t="s">
        <v>108</v>
      </c>
      <c r="R263" t="s">
        <v>801</v>
      </c>
      <c r="S263" t="s">
        <v>74</v>
      </c>
      <c r="T263" t="s">
        <v>74</v>
      </c>
      <c r="U263" t="s">
        <v>74</v>
      </c>
      <c r="V263" t="s">
        <v>2490</v>
      </c>
      <c r="W263" t="s">
        <v>74</v>
      </c>
      <c r="X263" t="s">
        <v>74</v>
      </c>
      <c r="Y263" t="s">
        <v>74</v>
      </c>
      <c r="Z263" t="s">
        <v>74</v>
      </c>
      <c r="AA263" t="s">
        <v>803</v>
      </c>
      <c r="AB263" t="s">
        <v>74</v>
      </c>
      <c r="AC263" t="s">
        <v>74</v>
      </c>
      <c r="AD263" t="s">
        <v>74</v>
      </c>
      <c r="AE263" t="s">
        <v>74</v>
      </c>
      <c r="AF263" t="s">
        <v>74</v>
      </c>
      <c r="AG263" t="s">
        <v>74</v>
      </c>
      <c r="AH263" t="s">
        <v>74</v>
      </c>
      <c r="AI263" t="s">
        <v>74</v>
      </c>
      <c r="AJ263" t="s">
        <v>74</v>
      </c>
      <c r="AK263" t="s">
        <v>74</v>
      </c>
      <c r="AL263" t="s">
        <v>74</v>
      </c>
      <c r="AM263" t="s">
        <v>74</v>
      </c>
      <c r="AN263" t="s">
        <v>74</v>
      </c>
      <c r="AO263" t="s">
        <v>74</v>
      </c>
      <c r="AP263" t="s">
        <v>74</v>
      </c>
      <c r="AQ263" t="s">
        <v>804</v>
      </c>
      <c r="AR263" t="s">
        <v>74</v>
      </c>
      <c r="AS263" t="s">
        <v>74</v>
      </c>
      <c r="AT263" t="s">
        <v>74</v>
      </c>
      <c r="AU263">
        <v>2022</v>
      </c>
      <c r="AV263" t="s">
        <v>74</v>
      </c>
      <c r="AW263" t="s">
        <v>74</v>
      </c>
      <c r="AX263" t="s">
        <v>74</v>
      </c>
      <c r="AY263" t="s">
        <v>74</v>
      </c>
      <c r="AZ263" t="s">
        <v>74</v>
      </c>
      <c r="BA263" t="s">
        <v>74</v>
      </c>
      <c r="BB263">
        <v>805</v>
      </c>
      <c r="BC263">
        <v>806</v>
      </c>
      <c r="BD263" t="s">
        <v>74</v>
      </c>
      <c r="BE263" t="s">
        <v>2491</v>
      </c>
      <c r="BF263" t="str">
        <f>HYPERLINK("http://dx.doi.org/10.1109/VRW55335.2022.00258","http://dx.doi.org/10.1109/VRW55335.2022.00258")</f>
        <v>http://dx.doi.org/10.1109/VRW55335.2022.00258</v>
      </c>
      <c r="BG263" t="s">
        <v>74</v>
      </c>
      <c r="BH263" t="s">
        <v>74</v>
      </c>
      <c r="BI263" t="s">
        <v>74</v>
      </c>
      <c r="BJ263" t="s">
        <v>74</v>
      </c>
      <c r="BK263" t="s">
        <v>74</v>
      </c>
      <c r="BL263" t="s">
        <v>74</v>
      </c>
      <c r="BM263" t="s">
        <v>74</v>
      </c>
      <c r="BN263" t="s">
        <v>74</v>
      </c>
      <c r="BO263" t="s">
        <v>74</v>
      </c>
      <c r="BP263" t="s">
        <v>74</v>
      </c>
      <c r="BQ263" t="s">
        <v>74</v>
      </c>
      <c r="BR263" t="s">
        <v>74</v>
      </c>
      <c r="BS263" t="s">
        <v>2492</v>
      </c>
      <c r="BT263" t="str">
        <f>HYPERLINK("https%3A%2F%2Fwww.webofscience.com%2Fwos%2Fwoscc%2Ffull-record%2FWOS:000808111800249","View Full Record in Web of Science")</f>
        <v>View Full Record in Web of Science</v>
      </c>
    </row>
    <row r="264" spans="1:72" x14ac:dyDescent="0.25">
      <c r="A264" t="s">
        <v>72</v>
      </c>
      <c r="B264" t="s">
        <v>2493</v>
      </c>
      <c r="C264" t="s">
        <v>74</v>
      </c>
      <c r="D264" t="s">
        <v>74</v>
      </c>
      <c r="E264" t="s">
        <v>74</v>
      </c>
      <c r="F264" t="s">
        <v>2494</v>
      </c>
      <c r="G264" t="s">
        <v>74</v>
      </c>
      <c r="H264" t="s">
        <v>74</v>
      </c>
      <c r="I264" t="s">
        <v>2495</v>
      </c>
      <c r="J264" t="s">
        <v>873</v>
      </c>
      <c r="K264" t="s">
        <v>74</v>
      </c>
      <c r="L264" t="s">
        <v>74</v>
      </c>
      <c r="M264" t="s">
        <v>74</v>
      </c>
      <c r="N264" t="s">
        <v>74</v>
      </c>
      <c r="O264" t="s">
        <v>74</v>
      </c>
      <c r="P264" t="s">
        <v>74</v>
      </c>
      <c r="Q264" t="s">
        <v>74</v>
      </c>
      <c r="R264" t="s">
        <v>74</v>
      </c>
      <c r="S264" t="s">
        <v>74</v>
      </c>
      <c r="T264" t="s">
        <v>74</v>
      </c>
      <c r="U264" t="s">
        <v>74</v>
      </c>
      <c r="V264" t="s">
        <v>2496</v>
      </c>
      <c r="W264" t="s">
        <v>74</v>
      </c>
      <c r="X264" t="s">
        <v>74</v>
      </c>
      <c r="Y264" t="s">
        <v>74</v>
      </c>
      <c r="Z264" t="s">
        <v>74</v>
      </c>
      <c r="AA264" t="s">
        <v>74</v>
      </c>
      <c r="AB264" t="s">
        <v>2497</v>
      </c>
      <c r="AC264" t="s">
        <v>74</v>
      </c>
      <c r="AD264" t="s">
        <v>74</v>
      </c>
      <c r="AE264" t="s">
        <v>74</v>
      </c>
      <c r="AF264" t="s">
        <v>74</v>
      </c>
      <c r="AG264" t="s">
        <v>74</v>
      </c>
      <c r="AH264" t="s">
        <v>74</v>
      </c>
      <c r="AI264" t="s">
        <v>74</v>
      </c>
      <c r="AJ264" t="s">
        <v>74</v>
      </c>
      <c r="AK264" t="s">
        <v>74</v>
      </c>
      <c r="AL264" t="s">
        <v>74</v>
      </c>
      <c r="AM264" t="s">
        <v>74</v>
      </c>
      <c r="AN264" t="s">
        <v>74</v>
      </c>
      <c r="AO264" t="s">
        <v>74</v>
      </c>
      <c r="AP264" t="s">
        <v>877</v>
      </c>
      <c r="AQ264" t="s">
        <v>74</v>
      </c>
      <c r="AR264" t="s">
        <v>74</v>
      </c>
      <c r="AS264" t="s">
        <v>74</v>
      </c>
      <c r="AT264" t="s">
        <v>1409</v>
      </c>
      <c r="AU264">
        <v>2022</v>
      </c>
      <c r="AV264">
        <v>22</v>
      </c>
      <c r="AW264">
        <v>12</v>
      </c>
      <c r="AX264" t="s">
        <v>74</v>
      </c>
      <c r="AY264" t="s">
        <v>74</v>
      </c>
      <c r="AZ264" t="s">
        <v>74</v>
      </c>
      <c r="BA264" t="s">
        <v>74</v>
      </c>
      <c r="BB264" t="s">
        <v>74</v>
      </c>
      <c r="BC264" t="s">
        <v>74</v>
      </c>
      <c r="BD264">
        <v>4623</v>
      </c>
      <c r="BE264" t="s">
        <v>2498</v>
      </c>
      <c r="BF264" t="str">
        <f>HYPERLINK("http://dx.doi.org/10.3390/s22124623","http://dx.doi.org/10.3390/s22124623")</f>
        <v>http://dx.doi.org/10.3390/s22124623</v>
      </c>
      <c r="BG264" t="s">
        <v>74</v>
      </c>
      <c r="BH264" t="s">
        <v>74</v>
      </c>
      <c r="BI264" t="s">
        <v>74</v>
      </c>
      <c r="BJ264" t="s">
        <v>74</v>
      </c>
      <c r="BK264" t="s">
        <v>74</v>
      </c>
      <c r="BL264" t="s">
        <v>74</v>
      </c>
      <c r="BM264" t="s">
        <v>74</v>
      </c>
      <c r="BN264">
        <v>35746405</v>
      </c>
      <c r="BO264" t="s">
        <v>74</v>
      </c>
      <c r="BP264" t="s">
        <v>74</v>
      </c>
      <c r="BQ264" t="s">
        <v>74</v>
      </c>
      <c r="BR264" t="s">
        <v>74</v>
      </c>
      <c r="BS264" t="s">
        <v>2499</v>
      </c>
      <c r="BT264" t="str">
        <f>HYPERLINK("https%3A%2F%2Fwww.webofscience.com%2Fwos%2Fwoscc%2Ffull-record%2FWOS:000920212800002","View Full Record in Web of Science")</f>
        <v>View Full Record in Web of Science</v>
      </c>
    </row>
    <row r="265" spans="1:72" x14ac:dyDescent="0.25">
      <c r="A265" t="s">
        <v>72</v>
      </c>
      <c r="B265" t="s">
        <v>2500</v>
      </c>
      <c r="C265" t="s">
        <v>74</v>
      </c>
      <c r="D265" t="s">
        <v>74</v>
      </c>
      <c r="E265" t="s">
        <v>74</v>
      </c>
      <c r="F265" t="s">
        <v>2501</v>
      </c>
      <c r="G265" t="s">
        <v>74</v>
      </c>
      <c r="H265" t="s">
        <v>74</v>
      </c>
      <c r="I265" t="s">
        <v>2502</v>
      </c>
      <c r="J265" t="s">
        <v>2503</v>
      </c>
      <c r="K265" t="s">
        <v>74</v>
      </c>
      <c r="L265" t="s">
        <v>74</v>
      </c>
      <c r="M265" t="s">
        <v>74</v>
      </c>
      <c r="N265" t="s">
        <v>74</v>
      </c>
      <c r="O265" t="s">
        <v>74</v>
      </c>
      <c r="P265" t="s">
        <v>74</v>
      </c>
      <c r="Q265" t="s">
        <v>74</v>
      </c>
      <c r="R265" t="s">
        <v>74</v>
      </c>
      <c r="S265" t="s">
        <v>74</v>
      </c>
      <c r="T265" t="s">
        <v>74</v>
      </c>
      <c r="U265" t="s">
        <v>74</v>
      </c>
      <c r="V265" t="s">
        <v>2504</v>
      </c>
      <c r="W265" t="s">
        <v>74</v>
      </c>
      <c r="X265" t="s">
        <v>74</v>
      </c>
      <c r="Y265" t="s">
        <v>74</v>
      </c>
      <c r="Z265" t="s">
        <v>74</v>
      </c>
      <c r="AA265" t="s">
        <v>74</v>
      </c>
      <c r="AB265" t="s">
        <v>2505</v>
      </c>
      <c r="AC265" t="s">
        <v>74</v>
      </c>
      <c r="AD265" t="s">
        <v>74</v>
      </c>
      <c r="AE265" t="s">
        <v>74</v>
      </c>
      <c r="AF265" t="s">
        <v>74</v>
      </c>
      <c r="AG265" t="s">
        <v>74</v>
      </c>
      <c r="AH265" t="s">
        <v>74</v>
      </c>
      <c r="AI265" t="s">
        <v>74</v>
      </c>
      <c r="AJ265" t="s">
        <v>74</v>
      </c>
      <c r="AK265" t="s">
        <v>74</v>
      </c>
      <c r="AL265" t="s">
        <v>74</v>
      </c>
      <c r="AM265" t="s">
        <v>74</v>
      </c>
      <c r="AN265" t="s">
        <v>74</v>
      </c>
      <c r="AO265" t="s">
        <v>2506</v>
      </c>
      <c r="AP265" t="s">
        <v>2507</v>
      </c>
      <c r="AQ265" t="s">
        <v>74</v>
      </c>
      <c r="AR265" t="s">
        <v>74</v>
      </c>
      <c r="AS265" t="s">
        <v>74</v>
      </c>
      <c r="AT265" t="s">
        <v>2508</v>
      </c>
      <c r="AU265">
        <v>2022</v>
      </c>
      <c r="AV265">
        <v>2022</v>
      </c>
      <c r="AW265" t="s">
        <v>74</v>
      </c>
      <c r="AX265" t="s">
        <v>74</v>
      </c>
      <c r="AY265" t="s">
        <v>74</v>
      </c>
      <c r="AZ265" t="s">
        <v>74</v>
      </c>
      <c r="BA265" t="s">
        <v>74</v>
      </c>
      <c r="BB265" t="s">
        <v>74</v>
      </c>
      <c r="BC265" t="s">
        <v>74</v>
      </c>
      <c r="BD265">
        <v>4771516</v>
      </c>
      <c r="BE265" t="s">
        <v>2509</v>
      </c>
      <c r="BF265" t="str">
        <f>HYPERLINK("http://dx.doi.org/10.1155/2022/4771516","http://dx.doi.org/10.1155/2022/4771516")</f>
        <v>http://dx.doi.org/10.1155/2022/4771516</v>
      </c>
      <c r="BG265" t="s">
        <v>74</v>
      </c>
      <c r="BH265" t="s">
        <v>74</v>
      </c>
      <c r="BI265" t="s">
        <v>74</v>
      </c>
      <c r="BJ265" t="s">
        <v>74</v>
      </c>
      <c r="BK265" t="s">
        <v>74</v>
      </c>
      <c r="BL265" t="s">
        <v>74</v>
      </c>
      <c r="BM265" t="s">
        <v>74</v>
      </c>
      <c r="BN265" t="s">
        <v>74</v>
      </c>
      <c r="BO265" t="s">
        <v>74</v>
      </c>
      <c r="BP265" t="s">
        <v>74</v>
      </c>
      <c r="BQ265" t="s">
        <v>74</v>
      </c>
      <c r="BR265" t="s">
        <v>74</v>
      </c>
      <c r="BS265" t="s">
        <v>2510</v>
      </c>
      <c r="BT265" t="str">
        <f>HYPERLINK("https%3A%2F%2Fwww.webofscience.com%2Fwos%2Fwoscc%2Ffull-record%2FWOS:000815806800003","View Full Record in Web of Science")</f>
        <v>View Full Record in Web of Science</v>
      </c>
    </row>
    <row r="266" spans="1:72" x14ac:dyDescent="0.25">
      <c r="A266" t="s">
        <v>72</v>
      </c>
      <c r="B266" t="s">
        <v>2511</v>
      </c>
      <c r="C266" t="s">
        <v>74</v>
      </c>
      <c r="D266" t="s">
        <v>74</v>
      </c>
      <c r="E266" t="s">
        <v>74</v>
      </c>
      <c r="F266" t="s">
        <v>2512</v>
      </c>
      <c r="G266" t="s">
        <v>74</v>
      </c>
      <c r="H266" t="s">
        <v>74</v>
      </c>
      <c r="I266" t="s">
        <v>2513</v>
      </c>
      <c r="J266" t="s">
        <v>2514</v>
      </c>
      <c r="K266" t="s">
        <v>74</v>
      </c>
      <c r="L266" t="s">
        <v>74</v>
      </c>
      <c r="M266" t="s">
        <v>74</v>
      </c>
      <c r="N266" t="s">
        <v>74</v>
      </c>
      <c r="O266" t="s">
        <v>74</v>
      </c>
      <c r="P266" t="s">
        <v>74</v>
      </c>
      <c r="Q266" t="s">
        <v>74</v>
      </c>
      <c r="R266" t="s">
        <v>74</v>
      </c>
      <c r="S266" t="s">
        <v>74</v>
      </c>
      <c r="T266" t="s">
        <v>74</v>
      </c>
      <c r="U266" t="s">
        <v>74</v>
      </c>
      <c r="V266" t="s">
        <v>2515</v>
      </c>
      <c r="W266" t="s">
        <v>74</v>
      </c>
      <c r="X266" t="s">
        <v>74</v>
      </c>
      <c r="Y266" t="s">
        <v>74</v>
      </c>
      <c r="Z266" t="s">
        <v>74</v>
      </c>
      <c r="AA266" t="s">
        <v>74</v>
      </c>
      <c r="AB266" t="s">
        <v>74</v>
      </c>
      <c r="AC266" t="s">
        <v>74</v>
      </c>
      <c r="AD266" t="s">
        <v>74</v>
      </c>
      <c r="AE266" t="s">
        <v>74</v>
      </c>
      <c r="AF266" t="s">
        <v>74</v>
      </c>
      <c r="AG266" t="s">
        <v>74</v>
      </c>
      <c r="AH266" t="s">
        <v>74</v>
      </c>
      <c r="AI266" t="s">
        <v>74</v>
      </c>
      <c r="AJ266" t="s">
        <v>74</v>
      </c>
      <c r="AK266" t="s">
        <v>74</v>
      </c>
      <c r="AL266" t="s">
        <v>74</v>
      </c>
      <c r="AM266" t="s">
        <v>74</v>
      </c>
      <c r="AN266" t="s">
        <v>74</v>
      </c>
      <c r="AO266" t="s">
        <v>2516</v>
      </c>
      <c r="AP266" t="s">
        <v>74</v>
      </c>
      <c r="AQ266" t="s">
        <v>74</v>
      </c>
      <c r="AR266" t="s">
        <v>74</v>
      </c>
      <c r="AS266" t="s">
        <v>74</v>
      </c>
      <c r="AT266" t="s">
        <v>74</v>
      </c>
      <c r="AU266">
        <v>2023</v>
      </c>
      <c r="AV266">
        <v>35</v>
      </c>
      <c r="AW266">
        <v>4</v>
      </c>
      <c r="AX266">
        <v>1</v>
      </c>
      <c r="AY266" t="s">
        <v>74</v>
      </c>
      <c r="AZ266" t="s">
        <v>74</v>
      </c>
      <c r="BA266" t="s">
        <v>74</v>
      </c>
      <c r="BB266">
        <v>1171</v>
      </c>
      <c r="BC266">
        <v>1188</v>
      </c>
      <c r="BD266" t="s">
        <v>74</v>
      </c>
      <c r="BE266" t="s">
        <v>2517</v>
      </c>
      <c r="BF266" t="str">
        <f>HYPERLINK("http://dx.doi.org/10.18494/SAM4017","http://dx.doi.org/10.18494/SAM4017")</f>
        <v>http://dx.doi.org/10.18494/SAM4017</v>
      </c>
      <c r="BG266" t="s">
        <v>74</v>
      </c>
      <c r="BH266" t="s">
        <v>74</v>
      </c>
      <c r="BI266" t="s">
        <v>74</v>
      </c>
      <c r="BJ266" t="s">
        <v>74</v>
      </c>
      <c r="BK266" t="s">
        <v>74</v>
      </c>
      <c r="BL266" t="s">
        <v>74</v>
      </c>
      <c r="BM266" t="s">
        <v>74</v>
      </c>
      <c r="BN266" t="s">
        <v>74</v>
      </c>
      <c r="BO266" t="s">
        <v>74</v>
      </c>
      <c r="BP266" t="s">
        <v>74</v>
      </c>
      <c r="BQ266" t="s">
        <v>74</v>
      </c>
      <c r="BR266" t="s">
        <v>74</v>
      </c>
      <c r="BS266" t="s">
        <v>2518</v>
      </c>
      <c r="BT266" t="str">
        <f>HYPERLINK("https%3A%2F%2Fwww.webofscience.com%2Fwos%2Fwoscc%2Ffull-record%2FWOS:000967737400001","View Full Record in Web of Science")</f>
        <v>View Full Record in Web of Science</v>
      </c>
    </row>
    <row r="267" spans="1:72" x14ac:dyDescent="0.25">
      <c r="A267" t="s">
        <v>72</v>
      </c>
      <c r="B267" t="s">
        <v>2519</v>
      </c>
      <c r="C267" t="s">
        <v>74</v>
      </c>
      <c r="D267" t="s">
        <v>74</v>
      </c>
      <c r="E267" t="s">
        <v>74</v>
      </c>
      <c r="F267" t="s">
        <v>2520</v>
      </c>
      <c r="G267" t="s">
        <v>74</v>
      </c>
      <c r="H267" t="s">
        <v>74</v>
      </c>
      <c r="I267" t="s">
        <v>2521</v>
      </c>
      <c r="J267" t="s">
        <v>2401</v>
      </c>
      <c r="K267" t="s">
        <v>74</v>
      </c>
      <c r="L267" t="s">
        <v>74</v>
      </c>
      <c r="M267" t="s">
        <v>74</v>
      </c>
      <c r="N267" t="s">
        <v>74</v>
      </c>
      <c r="O267" t="s">
        <v>74</v>
      </c>
      <c r="P267" t="s">
        <v>74</v>
      </c>
      <c r="Q267" t="s">
        <v>74</v>
      </c>
      <c r="R267" t="s">
        <v>74</v>
      </c>
      <c r="S267" t="s">
        <v>74</v>
      </c>
      <c r="T267" t="s">
        <v>74</v>
      </c>
      <c r="U267" t="s">
        <v>74</v>
      </c>
      <c r="V267" t="s">
        <v>2522</v>
      </c>
      <c r="W267" t="s">
        <v>74</v>
      </c>
      <c r="X267" t="s">
        <v>74</v>
      </c>
      <c r="Y267" t="s">
        <v>74</v>
      </c>
      <c r="Z267" t="s">
        <v>74</v>
      </c>
      <c r="AA267" t="s">
        <v>74</v>
      </c>
      <c r="AB267" t="s">
        <v>74</v>
      </c>
      <c r="AC267" t="s">
        <v>74</v>
      </c>
      <c r="AD267" t="s">
        <v>74</v>
      </c>
      <c r="AE267" t="s">
        <v>74</v>
      </c>
      <c r="AF267" t="s">
        <v>74</v>
      </c>
      <c r="AG267" t="s">
        <v>74</v>
      </c>
      <c r="AH267" t="s">
        <v>74</v>
      </c>
      <c r="AI267" t="s">
        <v>74</v>
      </c>
      <c r="AJ267" t="s">
        <v>74</v>
      </c>
      <c r="AK267" t="s">
        <v>74</v>
      </c>
      <c r="AL267" t="s">
        <v>74</v>
      </c>
      <c r="AM267" t="s">
        <v>74</v>
      </c>
      <c r="AN267" t="s">
        <v>74</v>
      </c>
      <c r="AO267" t="s">
        <v>2404</v>
      </c>
      <c r="AP267" t="s">
        <v>2405</v>
      </c>
      <c r="AQ267" t="s">
        <v>74</v>
      </c>
      <c r="AR267" t="s">
        <v>74</v>
      </c>
      <c r="AS267" t="s">
        <v>74</v>
      </c>
      <c r="AT267" t="s">
        <v>2523</v>
      </c>
      <c r="AU267">
        <v>2022</v>
      </c>
      <c r="AV267">
        <v>37</v>
      </c>
      <c r="AW267">
        <v>5</v>
      </c>
      <c r="AX267" t="s">
        <v>74</v>
      </c>
      <c r="AY267" t="s">
        <v>74</v>
      </c>
      <c r="AZ267" t="s">
        <v>74</v>
      </c>
      <c r="BA267" t="s">
        <v>74</v>
      </c>
      <c r="BB267">
        <v>19</v>
      </c>
      <c r="BC267">
        <v>27</v>
      </c>
      <c r="BD267" t="s">
        <v>74</v>
      </c>
      <c r="BE267" t="s">
        <v>2524</v>
      </c>
      <c r="BF267" t="str">
        <f>HYPERLINK("http://dx.doi.org/10.1109/MIS.2022.3208362","http://dx.doi.org/10.1109/MIS.2022.3208362")</f>
        <v>http://dx.doi.org/10.1109/MIS.2022.3208362</v>
      </c>
      <c r="BG267" t="s">
        <v>74</v>
      </c>
      <c r="BH267" t="s">
        <v>74</v>
      </c>
      <c r="BI267" t="s">
        <v>74</v>
      </c>
      <c r="BJ267" t="s">
        <v>74</v>
      </c>
      <c r="BK267" t="s">
        <v>74</v>
      </c>
      <c r="BL267" t="s">
        <v>74</v>
      </c>
      <c r="BM267" t="s">
        <v>74</v>
      </c>
      <c r="BN267" t="s">
        <v>74</v>
      </c>
      <c r="BO267" t="s">
        <v>74</v>
      </c>
      <c r="BP267" t="s">
        <v>74</v>
      </c>
      <c r="BQ267" t="s">
        <v>74</v>
      </c>
      <c r="BR267" t="s">
        <v>74</v>
      </c>
      <c r="BS267" t="s">
        <v>2525</v>
      </c>
      <c r="BT267" t="str">
        <f>HYPERLINK("https%3A%2F%2Fwww.webofscience.com%2Fwos%2Fwoscc%2Ffull-record%2FWOS:000871033800003","View Full Record in Web of Science")</f>
        <v>View Full Record in Web of Science</v>
      </c>
    </row>
    <row r="268" spans="1:72" x14ac:dyDescent="0.25">
      <c r="A268" t="s">
        <v>72</v>
      </c>
      <c r="B268" t="s">
        <v>2526</v>
      </c>
      <c r="C268" t="s">
        <v>74</v>
      </c>
      <c r="D268" t="s">
        <v>74</v>
      </c>
      <c r="E268" t="s">
        <v>74</v>
      </c>
      <c r="F268" t="s">
        <v>2527</v>
      </c>
      <c r="G268" t="s">
        <v>74</v>
      </c>
      <c r="H268" t="s">
        <v>74</v>
      </c>
      <c r="I268" t="s">
        <v>2528</v>
      </c>
      <c r="J268" t="s">
        <v>573</v>
      </c>
      <c r="K268" t="s">
        <v>74</v>
      </c>
      <c r="L268" t="s">
        <v>74</v>
      </c>
      <c r="M268" t="s">
        <v>74</v>
      </c>
      <c r="N268" t="s">
        <v>74</v>
      </c>
      <c r="O268" t="s">
        <v>74</v>
      </c>
      <c r="P268" t="s">
        <v>74</v>
      </c>
      <c r="Q268" t="s">
        <v>74</v>
      </c>
      <c r="R268" t="s">
        <v>74</v>
      </c>
      <c r="S268" t="s">
        <v>74</v>
      </c>
      <c r="T268" t="s">
        <v>74</v>
      </c>
      <c r="U268" t="s">
        <v>74</v>
      </c>
      <c r="V268" t="s">
        <v>2529</v>
      </c>
      <c r="W268" t="s">
        <v>74</v>
      </c>
      <c r="X268" t="s">
        <v>74</v>
      </c>
      <c r="Y268" t="s">
        <v>74</v>
      </c>
      <c r="Z268" t="s">
        <v>74</v>
      </c>
      <c r="AA268" t="s">
        <v>74</v>
      </c>
      <c r="AB268" t="s">
        <v>2530</v>
      </c>
      <c r="AC268" t="s">
        <v>74</v>
      </c>
      <c r="AD268" t="s">
        <v>74</v>
      </c>
      <c r="AE268" t="s">
        <v>74</v>
      </c>
      <c r="AF268" t="s">
        <v>74</v>
      </c>
      <c r="AG268" t="s">
        <v>74</v>
      </c>
      <c r="AH268" t="s">
        <v>74</v>
      </c>
      <c r="AI268" t="s">
        <v>74</v>
      </c>
      <c r="AJ268" t="s">
        <v>74</v>
      </c>
      <c r="AK268" t="s">
        <v>74</v>
      </c>
      <c r="AL268" t="s">
        <v>74</v>
      </c>
      <c r="AM268" t="s">
        <v>74</v>
      </c>
      <c r="AN268" t="s">
        <v>74</v>
      </c>
      <c r="AO268" t="s">
        <v>577</v>
      </c>
      <c r="AP268" t="s">
        <v>578</v>
      </c>
      <c r="AQ268" t="s">
        <v>74</v>
      </c>
      <c r="AR268" t="s">
        <v>74</v>
      </c>
      <c r="AS268" t="s">
        <v>74</v>
      </c>
      <c r="AT268" t="s">
        <v>195</v>
      </c>
      <c r="AU268">
        <v>2022</v>
      </c>
      <c r="AV268">
        <v>71</v>
      </c>
      <c r="AW268">
        <v>11</v>
      </c>
      <c r="AX268" t="s">
        <v>74</v>
      </c>
      <c r="AY268" t="s">
        <v>74</v>
      </c>
      <c r="AZ268" t="s">
        <v>74</v>
      </c>
      <c r="BA268" t="s">
        <v>74</v>
      </c>
      <c r="BB268">
        <v>12128</v>
      </c>
      <c r="BC268">
        <v>12139</v>
      </c>
      <c r="BD268" t="s">
        <v>74</v>
      </c>
      <c r="BE268" t="s">
        <v>2531</v>
      </c>
      <c r="BF268" t="str">
        <f>HYPERLINK("http://dx.doi.org/10.1109/TVT.2022.3190271","http://dx.doi.org/10.1109/TVT.2022.3190271")</f>
        <v>http://dx.doi.org/10.1109/TVT.2022.3190271</v>
      </c>
      <c r="BG268" t="s">
        <v>74</v>
      </c>
      <c r="BH268" t="s">
        <v>74</v>
      </c>
      <c r="BI268" t="s">
        <v>74</v>
      </c>
      <c r="BJ268" t="s">
        <v>74</v>
      </c>
      <c r="BK268" t="s">
        <v>74</v>
      </c>
      <c r="BL268" t="s">
        <v>74</v>
      </c>
      <c r="BM268" t="s">
        <v>74</v>
      </c>
      <c r="BN268" t="s">
        <v>74</v>
      </c>
      <c r="BO268" t="s">
        <v>74</v>
      </c>
      <c r="BP268" t="s">
        <v>74</v>
      </c>
      <c r="BQ268" t="s">
        <v>74</v>
      </c>
      <c r="BR268" t="s">
        <v>74</v>
      </c>
      <c r="BS268" t="s">
        <v>2532</v>
      </c>
      <c r="BT268" t="str">
        <f>HYPERLINK("https%3A%2F%2Fwww.webofscience.com%2Fwos%2Fwoscc%2Ffull-record%2FWOS:000888042800062","View Full Record in Web of Science")</f>
        <v>View Full Record in Web of Science</v>
      </c>
    </row>
    <row r="269" spans="1:72" x14ac:dyDescent="0.25">
      <c r="A269" t="s">
        <v>72</v>
      </c>
      <c r="B269" t="s">
        <v>2533</v>
      </c>
      <c r="C269" t="s">
        <v>74</v>
      </c>
      <c r="D269" t="s">
        <v>74</v>
      </c>
      <c r="E269" t="s">
        <v>74</v>
      </c>
      <c r="F269" t="s">
        <v>2534</v>
      </c>
      <c r="G269" t="s">
        <v>74</v>
      </c>
      <c r="H269" t="s">
        <v>74</v>
      </c>
      <c r="I269" t="s">
        <v>2535</v>
      </c>
      <c r="J269" t="s">
        <v>873</v>
      </c>
      <c r="K269" t="s">
        <v>74</v>
      </c>
      <c r="L269" t="s">
        <v>74</v>
      </c>
      <c r="M269" t="s">
        <v>74</v>
      </c>
      <c r="N269" t="s">
        <v>74</v>
      </c>
      <c r="O269" t="s">
        <v>74</v>
      </c>
      <c r="P269" t="s">
        <v>74</v>
      </c>
      <c r="Q269" t="s">
        <v>74</v>
      </c>
      <c r="R269" t="s">
        <v>74</v>
      </c>
      <c r="S269" t="s">
        <v>74</v>
      </c>
      <c r="T269" t="s">
        <v>74</v>
      </c>
      <c r="U269" t="s">
        <v>74</v>
      </c>
      <c r="V269" t="s">
        <v>2536</v>
      </c>
      <c r="W269" t="s">
        <v>74</v>
      </c>
      <c r="X269" t="s">
        <v>74</v>
      </c>
      <c r="Y269" t="s">
        <v>74</v>
      </c>
      <c r="Z269" t="s">
        <v>74</v>
      </c>
      <c r="AA269" t="s">
        <v>2537</v>
      </c>
      <c r="AB269" t="s">
        <v>2538</v>
      </c>
      <c r="AC269" t="s">
        <v>74</v>
      </c>
      <c r="AD269" t="s">
        <v>74</v>
      </c>
      <c r="AE269" t="s">
        <v>74</v>
      </c>
      <c r="AF269" t="s">
        <v>74</v>
      </c>
      <c r="AG269" t="s">
        <v>74</v>
      </c>
      <c r="AH269" t="s">
        <v>74</v>
      </c>
      <c r="AI269" t="s">
        <v>74</v>
      </c>
      <c r="AJ269" t="s">
        <v>74</v>
      </c>
      <c r="AK269" t="s">
        <v>74</v>
      </c>
      <c r="AL269" t="s">
        <v>74</v>
      </c>
      <c r="AM269" t="s">
        <v>74</v>
      </c>
      <c r="AN269" t="s">
        <v>74</v>
      </c>
      <c r="AO269" t="s">
        <v>74</v>
      </c>
      <c r="AP269" t="s">
        <v>877</v>
      </c>
      <c r="AQ269" t="s">
        <v>74</v>
      </c>
      <c r="AR269" t="s">
        <v>74</v>
      </c>
      <c r="AS269" t="s">
        <v>74</v>
      </c>
      <c r="AT269" t="s">
        <v>195</v>
      </c>
      <c r="AU269">
        <v>2022</v>
      </c>
      <c r="AV269">
        <v>22</v>
      </c>
      <c r="AW269">
        <v>21</v>
      </c>
      <c r="AX269" t="s">
        <v>74</v>
      </c>
      <c r="AY269" t="s">
        <v>74</v>
      </c>
      <c r="AZ269" t="s">
        <v>74</v>
      </c>
      <c r="BA269" t="s">
        <v>74</v>
      </c>
      <c r="BB269" t="s">
        <v>74</v>
      </c>
      <c r="BC269" t="s">
        <v>74</v>
      </c>
      <c r="BD269">
        <v>8329</v>
      </c>
      <c r="BE269" t="s">
        <v>2539</v>
      </c>
      <c r="BF269" t="str">
        <f>HYPERLINK("http://dx.doi.org/10.3390/s22218329","http://dx.doi.org/10.3390/s22218329")</f>
        <v>http://dx.doi.org/10.3390/s22218329</v>
      </c>
      <c r="BG269" t="s">
        <v>74</v>
      </c>
      <c r="BH269" t="s">
        <v>74</v>
      </c>
      <c r="BI269" t="s">
        <v>74</v>
      </c>
      <c r="BJ269" t="s">
        <v>74</v>
      </c>
      <c r="BK269" t="s">
        <v>74</v>
      </c>
      <c r="BL269" t="s">
        <v>74</v>
      </c>
      <c r="BM269" t="s">
        <v>74</v>
      </c>
      <c r="BN269">
        <v>36366028</v>
      </c>
      <c r="BO269" t="s">
        <v>74</v>
      </c>
      <c r="BP269" t="s">
        <v>74</v>
      </c>
      <c r="BQ269" t="s">
        <v>74</v>
      </c>
      <c r="BR269" t="s">
        <v>74</v>
      </c>
      <c r="BS269" t="s">
        <v>2540</v>
      </c>
      <c r="BT269" t="str">
        <f>HYPERLINK("https%3A%2F%2Fwww.webofscience.com%2Fwos%2Fwoscc%2Ffull-record%2FWOS:000883589500001","View Full Record in Web of Science")</f>
        <v>View Full Record in Web of Science</v>
      </c>
    </row>
    <row r="270" spans="1:72" x14ac:dyDescent="0.25">
      <c r="A270" t="s">
        <v>72</v>
      </c>
      <c r="B270" t="s">
        <v>2541</v>
      </c>
      <c r="C270" t="s">
        <v>74</v>
      </c>
      <c r="D270" t="s">
        <v>74</v>
      </c>
      <c r="E270" t="s">
        <v>74</v>
      </c>
      <c r="F270" t="s">
        <v>2542</v>
      </c>
      <c r="G270" t="s">
        <v>74</v>
      </c>
      <c r="H270" t="s">
        <v>74</v>
      </c>
      <c r="I270" t="s">
        <v>2543</v>
      </c>
      <c r="J270" t="s">
        <v>2544</v>
      </c>
      <c r="K270" t="s">
        <v>74</v>
      </c>
      <c r="L270" t="s">
        <v>74</v>
      </c>
      <c r="M270" t="s">
        <v>74</v>
      </c>
      <c r="N270" t="s">
        <v>74</v>
      </c>
      <c r="O270" t="s">
        <v>74</v>
      </c>
      <c r="P270" t="s">
        <v>74</v>
      </c>
      <c r="Q270" t="s">
        <v>74</v>
      </c>
      <c r="R270" t="s">
        <v>74</v>
      </c>
      <c r="S270" t="s">
        <v>74</v>
      </c>
      <c r="T270" t="s">
        <v>74</v>
      </c>
      <c r="U270" t="s">
        <v>74</v>
      </c>
      <c r="V270" t="s">
        <v>2545</v>
      </c>
      <c r="W270" t="s">
        <v>74</v>
      </c>
      <c r="X270" t="s">
        <v>74</v>
      </c>
      <c r="Y270" t="s">
        <v>74</v>
      </c>
      <c r="Z270" t="s">
        <v>74</v>
      </c>
      <c r="AA270" t="s">
        <v>2546</v>
      </c>
      <c r="AB270" t="s">
        <v>2547</v>
      </c>
      <c r="AC270" t="s">
        <v>74</v>
      </c>
      <c r="AD270" t="s">
        <v>74</v>
      </c>
      <c r="AE270" t="s">
        <v>74</v>
      </c>
      <c r="AF270" t="s">
        <v>74</v>
      </c>
      <c r="AG270" t="s">
        <v>74</v>
      </c>
      <c r="AH270" t="s">
        <v>74</v>
      </c>
      <c r="AI270" t="s">
        <v>74</v>
      </c>
      <c r="AJ270" t="s">
        <v>74</v>
      </c>
      <c r="AK270" t="s">
        <v>74</v>
      </c>
      <c r="AL270" t="s">
        <v>74</v>
      </c>
      <c r="AM270" t="s">
        <v>74</v>
      </c>
      <c r="AN270" t="s">
        <v>74</v>
      </c>
      <c r="AO270" t="s">
        <v>2548</v>
      </c>
      <c r="AP270" t="s">
        <v>2549</v>
      </c>
      <c r="AQ270" t="s">
        <v>74</v>
      </c>
      <c r="AR270" t="s">
        <v>74</v>
      </c>
      <c r="AS270" t="s">
        <v>74</v>
      </c>
      <c r="AT270" t="s">
        <v>465</v>
      </c>
      <c r="AU270">
        <v>2022</v>
      </c>
      <c r="AV270">
        <v>174</v>
      </c>
      <c r="AW270" t="s">
        <v>74</v>
      </c>
      <c r="AX270" t="s">
        <v>74</v>
      </c>
      <c r="AY270" t="s">
        <v>74</v>
      </c>
      <c r="AZ270" t="s">
        <v>74</v>
      </c>
      <c r="BA270" t="s">
        <v>74</v>
      </c>
      <c r="BB270" t="s">
        <v>74</v>
      </c>
      <c r="BC270" t="s">
        <v>74</v>
      </c>
      <c r="BD270">
        <v>108773</v>
      </c>
      <c r="BE270" t="s">
        <v>2550</v>
      </c>
      <c r="BF270" t="str">
        <f>HYPERLINK("http://dx.doi.org/10.1016/j.cie.2022.108773","http://dx.doi.org/10.1016/j.cie.2022.108773")</f>
        <v>http://dx.doi.org/10.1016/j.cie.2022.108773</v>
      </c>
      <c r="BG270" t="s">
        <v>74</v>
      </c>
      <c r="BH270" t="s">
        <v>683</v>
      </c>
      <c r="BI270" t="s">
        <v>74</v>
      </c>
      <c r="BJ270" t="s">
        <v>74</v>
      </c>
      <c r="BK270" t="s">
        <v>74</v>
      </c>
      <c r="BL270" t="s">
        <v>74</v>
      </c>
      <c r="BM270" t="s">
        <v>74</v>
      </c>
      <c r="BN270" t="s">
        <v>74</v>
      </c>
      <c r="BO270" t="s">
        <v>74</v>
      </c>
      <c r="BP270" t="s">
        <v>74</v>
      </c>
      <c r="BQ270" t="s">
        <v>74</v>
      </c>
      <c r="BR270" t="s">
        <v>74</v>
      </c>
      <c r="BS270" t="s">
        <v>2551</v>
      </c>
      <c r="BT270" t="str">
        <f>HYPERLINK("https%3A%2F%2Fwww.webofscience.com%2Fwos%2Fwoscc%2Ffull-record%2FWOS:000899939200012","View Full Record in Web of Science")</f>
        <v>View Full Record in Web of Science</v>
      </c>
    </row>
    <row r="271" spans="1:72" x14ac:dyDescent="0.25">
      <c r="A271" t="s">
        <v>72</v>
      </c>
      <c r="B271" t="s">
        <v>2552</v>
      </c>
      <c r="C271" t="s">
        <v>74</v>
      </c>
      <c r="D271" t="s">
        <v>74</v>
      </c>
      <c r="E271" t="s">
        <v>74</v>
      </c>
      <c r="F271" t="s">
        <v>2553</v>
      </c>
      <c r="G271" t="s">
        <v>74</v>
      </c>
      <c r="H271" t="s">
        <v>74</v>
      </c>
      <c r="I271" t="s">
        <v>2554</v>
      </c>
      <c r="J271" t="s">
        <v>421</v>
      </c>
      <c r="K271" t="s">
        <v>74</v>
      </c>
      <c r="L271" t="s">
        <v>74</v>
      </c>
      <c r="M271" t="s">
        <v>74</v>
      </c>
      <c r="N271" t="s">
        <v>74</v>
      </c>
      <c r="O271" t="s">
        <v>74</v>
      </c>
      <c r="P271" t="s">
        <v>74</v>
      </c>
      <c r="Q271" t="s">
        <v>74</v>
      </c>
      <c r="R271" t="s">
        <v>74</v>
      </c>
      <c r="S271" t="s">
        <v>74</v>
      </c>
      <c r="T271" t="s">
        <v>74</v>
      </c>
      <c r="U271" t="s">
        <v>74</v>
      </c>
      <c r="V271" t="s">
        <v>2555</v>
      </c>
      <c r="W271" t="s">
        <v>74</v>
      </c>
      <c r="X271" t="s">
        <v>74</v>
      </c>
      <c r="Y271" t="s">
        <v>74</v>
      </c>
      <c r="Z271" t="s">
        <v>74</v>
      </c>
      <c r="AA271" t="s">
        <v>74</v>
      </c>
      <c r="AB271" t="s">
        <v>74</v>
      </c>
      <c r="AC271" t="s">
        <v>74</v>
      </c>
      <c r="AD271" t="s">
        <v>74</v>
      </c>
      <c r="AE271" t="s">
        <v>74</v>
      </c>
      <c r="AF271" t="s">
        <v>74</v>
      </c>
      <c r="AG271" t="s">
        <v>74</v>
      </c>
      <c r="AH271" t="s">
        <v>74</v>
      </c>
      <c r="AI271" t="s">
        <v>74</v>
      </c>
      <c r="AJ271" t="s">
        <v>74</v>
      </c>
      <c r="AK271" t="s">
        <v>74</v>
      </c>
      <c r="AL271" t="s">
        <v>74</v>
      </c>
      <c r="AM271" t="s">
        <v>74</v>
      </c>
      <c r="AN271" t="s">
        <v>74</v>
      </c>
      <c r="AO271" t="s">
        <v>423</v>
      </c>
      <c r="AP271" t="s">
        <v>424</v>
      </c>
      <c r="AQ271" t="s">
        <v>74</v>
      </c>
      <c r="AR271" t="s">
        <v>74</v>
      </c>
      <c r="AS271" t="s">
        <v>74</v>
      </c>
      <c r="AT271" t="s">
        <v>74</v>
      </c>
      <c r="AU271" t="s">
        <v>74</v>
      </c>
      <c r="AV271" t="s">
        <v>74</v>
      </c>
      <c r="AW271" t="s">
        <v>74</v>
      </c>
      <c r="AX271" t="s">
        <v>74</v>
      </c>
      <c r="AY271" t="s">
        <v>74</v>
      </c>
      <c r="AZ271" t="s">
        <v>74</v>
      </c>
      <c r="BA271" t="s">
        <v>74</v>
      </c>
      <c r="BB271" t="s">
        <v>74</v>
      </c>
      <c r="BC271" t="s">
        <v>74</v>
      </c>
      <c r="BD271" t="s">
        <v>74</v>
      </c>
      <c r="BE271" t="s">
        <v>2556</v>
      </c>
      <c r="BF271" t="str">
        <f>HYPERLINK("http://dx.doi.org/10.1109/TSMC.2022.3230830","http://dx.doi.org/10.1109/TSMC.2022.3230830")</f>
        <v>http://dx.doi.org/10.1109/TSMC.2022.3230830</v>
      </c>
      <c r="BG271" t="s">
        <v>74</v>
      </c>
      <c r="BH271" t="s">
        <v>151</v>
      </c>
      <c r="BI271" t="s">
        <v>74</v>
      </c>
      <c r="BJ271" t="s">
        <v>74</v>
      </c>
      <c r="BK271" t="s">
        <v>74</v>
      </c>
      <c r="BL271" t="s">
        <v>74</v>
      </c>
      <c r="BM271" t="s">
        <v>74</v>
      </c>
      <c r="BN271" t="s">
        <v>74</v>
      </c>
      <c r="BO271" t="s">
        <v>74</v>
      </c>
      <c r="BP271" t="s">
        <v>74</v>
      </c>
      <c r="BQ271" t="s">
        <v>74</v>
      </c>
      <c r="BR271" t="s">
        <v>74</v>
      </c>
      <c r="BS271" t="s">
        <v>2557</v>
      </c>
      <c r="BT271" t="str">
        <f>HYPERLINK("https%3A%2F%2Fwww.webofscience.com%2Fwos%2Fwoscc%2Ffull-record%2FWOS:000910583400001","View Full Record in Web of Science")</f>
        <v>View Full Record in Web of Science</v>
      </c>
    </row>
    <row r="272" spans="1:72" x14ac:dyDescent="0.25">
      <c r="A272" t="s">
        <v>72</v>
      </c>
      <c r="B272" t="s">
        <v>2558</v>
      </c>
      <c r="C272" t="s">
        <v>74</v>
      </c>
      <c r="D272" t="s">
        <v>74</v>
      </c>
      <c r="E272" t="s">
        <v>74</v>
      </c>
      <c r="F272" t="s">
        <v>2559</v>
      </c>
      <c r="G272" t="s">
        <v>74</v>
      </c>
      <c r="H272" t="s">
        <v>74</v>
      </c>
      <c r="I272" t="s">
        <v>2560</v>
      </c>
      <c r="J272" t="s">
        <v>709</v>
      </c>
      <c r="K272" t="s">
        <v>74</v>
      </c>
      <c r="L272" t="s">
        <v>74</v>
      </c>
      <c r="M272" t="s">
        <v>74</v>
      </c>
      <c r="N272" t="s">
        <v>74</v>
      </c>
      <c r="O272" t="s">
        <v>74</v>
      </c>
      <c r="P272" t="s">
        <v>74</v>
      </c>
      <c r="Q272" t="s">
        <v>74</v>
      </c>
      <c r="R272" t="s">
        <v>74</v>
      </c>
      <c r="S272" t="s">
        <v>74</v>
      </c>
      <c r="T272" t="s">
        <v>74</v>
      </c>
      <c r="U272" t="s">
        <v>74</v>
      </c>
      <c r="V272" t="s">
        <v>2561</v>
      </c>
      <c r="W272" t="s">
        <v>74</v>
      </c>
      <c r="X272" t="s">
        <v>74</v>
      </c>
      <c r="Y272" t="s">
        <v>74</v>
      </c>
      <c r="Z272" t="s">
        <v>74</v>
      </c>
      <c r="AA272" t="s">
        <v>2562</v>
      </c>
      <c r="AB272" t="s">
        <v>2563</v>
      </c>
      <c r="AC272" t="s">
        <v>74</v>
      </c>
      <c r="AD272" t="s">
        <v>74</v>
      </c>
      <c r="AE272" t="s">
        <v>74</v>
      </c>
      <c r="AF272" t="s">
        <v>74</v>
      </c>
      <c r="AG272" t="s">
        <v>74</v>
      </c>
      <c r="AH272" t="s">
        <v>74</v>
      </c>
      <c r="AI272" t="s">
        <v>74</v>
      </c>
      <c r="AJ272" t="s">
        <v>74</v>
      </c>
      <c r="AK272" t="s">
        <v>74</v>
      </c>
      <c r="AL272" t="s">
        <v>74</v>
      </c>
      <c r="AM272" t="s">
        <v>74</v>
      </c>
      <c r="AN272" t="s">
        <v>74</v>
      </c>
      <c r="AO272" t="s">
        <v>74</v>
      </c>
      <c r="AP272" t="s">
        <v>711</v>
      </c>
      <c r="AQ272" t="s">
        <v>74</v>
      </c>
      <c r="AR272" t="s">
        <v>74</v>
      </c>
      <c r="AS272" t="s">
        <v>74</v>
      </c>
      <c r="AT272" t="s">
        <v>465</v>
      </c>
      <c r="AU272">
        <v>2022</v>
      </c>
      <c r="AV272">
        <v>12</v>
      </c>
      <c r="AW272">
        <v>24</v>
      </c>
      <c r="AX272" t="s">
        <v>74</v>
      </c>
      <c r="AY272" t="s">
        <v>74</v>
      </c>
      <c r="AZ272" t="s">
        <v>74</v>
      </c>
      <c r="BA272" t="s">
        <v>74</v>
      </c>
      <c r="BB272" t="s">
        <v>74</v>
      </c>
      <c r="BC272" t="s">
        <v>74</v>
      </c>
      <c r="BD272">
        <v>12600</v>
      </c>
      <c r="BE272" t="s">
        <v>2564</v>
      </c>
      <c r="BF272" t="str">
        <f>HYPERLINK("http://dx.doi.org/10.3390/app122412600","http://dx.doi.org/10.3390/app122412600")</f>
        <v>http://dx.doi.org/10.3390/app122412600</v>
      </c>
      <c r="BG272" t="s">
        <v>74</v>
      </c>
      <c r="BH272" t="s">
        <v>74</v>
      </c>
      <c r="BI272" t="s">
        <v>74</v>
      </c>
      <c r="BJ272" t="s">
        <v>74</v>
      </c>
      <c r="BK272" t="s">
        <v>74</v>
      </c>
      <c r="BL272" t="s">
        <v>74</v>
      </c>
      <c r="BM272" t="s">
        <v>74</v>
      </c>
      <c r="BN272" t="s">
        <v>74</v>
      </c>
      <c r="BO272" t="s">
        <v>74</v>
      </c>
      <c r="BP272" t="s">
        <v>74</v>
      </c>
      <c r="BQ272" t="s">
        <v>74</v>
      </c>
      <c r="BR272" t="s">
        <v>74</v>
      </c>
      <c r="BS272" t="s">
        <v>2565</v>
      </c>
      <c r="BT272" t="str">
        <f>HYPERLINK("https%3A%2F%2Fwww.webofscience.com%2Fwos%2Fwoscc%2Ffull-record%2FWOS:000900285900001","View Full Record in Web of Science")</f>
        <v>View Full Record in Web of Science</v>
      </c>
    </row>
    <row r="273" spans="1:72" x14ac:dyDescent="0.25">
      <c r="A273" t="s">
        <v>72</v>
      </c>
      <c r="B273" t="s">
        <v>2566</v>
      </c>
      <c r="C273" t="s">
        <v>74</v>
      </c>
      <c r="D273" t="s">
        <v>74</v>
      </c>
      <c r="E273" t="s">
        <v>74</v>
      </c>
      <c r="F273" t="s">
        <v>2567</v>
      </c>
      <c r="G273" t="s">
        <v>74</v>
      </c>
      <c r="H273" t="s">
        <v>74</v>
      </c>
      <c r="I273" t="s">
        <v>2568</v>
      </c>
      <c r="J273" t="s">
        <v>2569</v>
      </c>
      <c r="K273" t="s">
        <v>74</v>
      </c>
      <c r="L273" t="s">
        <v>74</v>
      </c>
      <c r="M273" t="s">
        <v>74</v>
      </c>
      <c r="N273" t="s">
        <v>74</v>
      </c>
      <c r="O273" t="s">
        <v>74</v>
      </c>
      <c r="P273" t="s">
        <v>74</v>
      </c>
      <c r="Q273" t="s">
        <v>74</v>
      </c>
      <c r="R273" t="s">
        <v>74</v>
      </c>
      <c r="S273" t="s">
        <v>74</v>
      </c>
      <c r="T273" t="s">
        <v>74</v>
      </c>
      <c r="U273" t="s">
        <v>74</v>
      </c>
      <c r="V273" t="s">
        <v>2570</v>
      </c>
      <c r="W273" t="s">
        <v>74</v>
      </c>
      <c r="X273" t="s">
        <v>74</v>
      </c>
      <c r="Y273" t="s">
        <v>74</v>
      </c>
      <c r="Z273" t="s">
        <v>74</v>
      </c>
      <c r="AA273" t="s">
        <v>1091</v>
      </c>
      <c r="AB273" t="s">
        <v>74</v>
      </c>
      <c r="AC273" t="s">
        <v>74</v>
      </c>
      <c r="AD273" t="s">
        <v>74</v>
      </c>
      <c r="AE273" t="s">
        <v>74</v>
      </c>
      <c r="AF273" t="s">
        <v>74</v>
      </c>
      <c r="AG273" t="s">
        <v>74</v>
      </c>
      <c r="AH273" t="s">
        <v>74</v>
      </c>
      <c r="AI273" t="s">
        <v>74</v>
      </c>
      <c r="AJ273" t="s">
        <v>74</v>
      </c>
      <c r="AK273" t="s">
        <v>74</v>
      </c>
      <c r="AL273" t="s">
        <v>74</v>
      </c>
      <c r="AM273" t="s">
        <v>74</v>
      </c>
      <c r="AN273" t="s">
        <v>74</v>
      </c>
      <c r="AO273" t="s">
        <v>2571</v>
      </c>
      <c r="AP273" t="s">
        <v>2572</v>
      </c>
      <c r="AQ273" t="s">
        <v>74</v>
      </c>
      <c r="AR273" t="s">
        <v>74</v>
      </c>
      <c r="AS273" t="s">
        <v>74</v>
      </c>
      <c r="AT273" t="s">
        <v>2573</v>
      </c>
      <c r="AU273">
        <v>2022</v>
      </c>
      <c r="AV273">
        <v>2022</v>
      </c>
      <c r="AW273" t="s">
        <v>74</v>
      </c>
      <c r="AX273" t="s">
        <v>74</v>
      </c>
      <c r="AY273" t="s">
        <v>74</v>
      </c>
      <c r="AZ273" t="s">
        <v>74</v>
      </c>
      <c r="BA273" t="s">
        <v>74</v>
      </c>
      <c r="BB273" t="s">
        <v>74</v>
      </c>
      <c r="BC273" t="s">
        <v>74</v>
      </c>
      <c r="BD273">
        <v>2750712</v>
      </c>
      <c r="BE273" t="s">
        <v>2574</v>
      </c>
      <c r="BF273" t="str">
        <f>HYPERLINK("http://dx.doi.org/10.1155/2022/2750712","http://dx.doi.org/10.1155/2022/2750712")</f>
        <v>http://dx.doi.org/10.1155/2022/2750712</v>
      </c>
      <c r="BG273" t="s">
        <v>74</v>
      </c>
      <c r="BH273" t="s">
        <v>74</v>
      </c>
      <c r="BI273" t="s">
        <v>74</v>
      </c>
      <c r="BJ273" t="s">
        <v>74</v>
      </c>
      <c r="BK273" t="s">
        <v>74</v>
      </c>
      <c r="BL273" t="s">
        <v>74</v>
      </c>
      <c r="BM273" t="s">
        <v>74</v>
      </c>
      <c r="BN273">
        <v>35755886</v>
      </c>
      <c r="BO273" t="s">
        <v>74</v>
      </c>
      <c r="BP273" t="s">
        <v>74</v>
      </c>
      <c r="BQ273" t="s">
        <v>74</v>
      </c>
      <c r="BR273" t="s">
        <v>74</v>
      </c>
      <c r="BS273" t="s">
        <v>2575</v>
      </c>
      <c r="BT273" t="str">
        <f>HYPERLINK("https%3A%2F%2Fwww.webofscience.com%2Fwos%2Fwoscc%2Ffull-record%2FWOS:000817564000001","View Full Record in Web of Science")</f>
        <v>View Full Record in Web of Science</v>
      </c>
    </row>
    <row r="274" spans="1:72" x14ac:dyDescent="0.25">
      <c r="A274" t="s">
        <v>72</v>
      </c>
      <c r="B274" t="s">
        <v>2576</v>
      </c>
      <c r="C274" t="s">
        <v>74</v>
      </c>
      <c r="D274" t="s">
        <v>74</v>
      </c>
      <c r="E274" t="s">
        <v>74</v>
      </c>
      <c r="F274" t="s">
        <v>2577</v>
      </c>
      <c r="G274" t="s">
        <v>74</v>
      </c>
      <c r="H274" t="s">
        <v>74</v>
      </c>
      <c r="I274" t="s">
        <v>2578</v>
      </c>
      <c r="J274" t="s">
        <v>2579</v>
      </c>
      <c r="K274" t="s">
        <v>74</v>
      </c>
      <c r="L274" t="s">
        <v>74</v>
      </c>
      <c r="M274" t="s">
        <v>74</v>
      </c>
      <c r="N274" t="s">
        <v>74</v>
      </c>
      <c r="O274" t="s">
        <v>74</v>
      </c>
      <c r="P274" t="s">
        <v>74</v>
      </c>
      <c r="Q274" t="s">
        <v>74</v>
      </c>
      <c r="R274" t="s">
        <v>74</v>
      </c>
      <c r="S274" t="s">
        <v>74</v>
      </c>
      <c r="T274" t="s">
        <v>74</v>
      </c>
      <c r="U274" t="s">
        <v>74</v>
      </c>
      <c r="V274" t="s">
        <v>2580</v>
      </c>
      <c r="W274" t="s">
        <v>74</v>
      </c>
      <c r="X274" t="s">
        <v>74</v>
      </c>
      <c r="Y274" t="s">
        <v>74</v>
      </c>
      <c r="Z274" t="s">
        <v>74</v>
      </c>
      <c r="AA274" t="s">
        <v>2581</v>
      </c>
      <c r="AB274" t="s">
        <v>2582</v>
      </c>
      <c r="AC274" t="s">
        <v>74</v>
      </c>
      <c r="AD274" t="s">
        <v>74</v>
      </c>
      <c r="AE274" t="s">
        <v>74</v>
      </c>
      <c r="AF274" t="s">
        <v>74</v>
      </c>
      <c r="AG274" t="s">
        <v>74</v>
      </c>
      <c r="AH274" t="s">
        <v>74</v>
      </c>
      <c r="AI274" t="s">
        <v>74</v>
      </c>
      <c r="AJ274" t="s">
        <v>74</v>
      </c>
      <c r="AK274" t="s">
        <v>74</v>
      </c>
      <c r="AL274" t="s">
        <v>74</v>
      </c>
      <c r="AM274" t="s">
        <v>74</v>
      </c>
      <c r="AN274" t="s">
        <v>74</v>
      </c>
      <c r="AO274" t="s">
        <v>2583</v>
      </c>
      <c r="AP274" t="s">
        <v>2584</v>
      </c>
      <c r="AQ274" t="s">
        <v>74</v>
      </c>
      <c r="AR274" t="s">
        <v>74</v>
      </c>
      <c r="AS274" t="s">
        <v>74</v>
      </c>
      <c r="AT274" t="s">
        <v>74</v>
      </c>
      <c r="AU274" t="s">
        <v>74</v>
      </c>
      <c r="AV274" t="s">
        <v>74</v>
      </c>
      <c r="AW274" t="s">
        <v>74</v>
      </c>
      <c r="AX274" t="s">
        <v>74</v>
      </c>
      <c r="AY274" t="s">
        <v>74</v>
      </c>
      <c r="AZ274" t="s">
        <v>74</v>
      </c>
      <c r="BA274" t="s">
        <v>74</v>
      </c>
      <c r="BB274" t="s">
        <v>74</v>
      </c>
      <c r="BC274" t="s">
        <v>74</v>
      </c>
      <c r="BD274" t="s">
        <v>74</v>
      </c>
      <c r="BE274" t="s">
        <v>2585</v>
      </c>
      <c r="BF274" t="str">
        <f>HYPERLINK("http://dx.doi.org/10.1007/s10845-022-02027-7","http://dx.doi.org/10.1007/s10845-022-02027-7")</f>
        <v>http://dx.doi.org/10.1007/s10845-022-02027-7</v>
      </c>
      <c r="BG274" t="s">
        <v>74</v>
      </c>
      <c r="BH274" t="s">
        <v>683</v>
      </c>
      <c r="BI274" t="s">
        <v>74</v>
      </c>
      <c r="BJ274" t="s">
        <v>74</v>
      </c>
      <c r="BK274" t="s">
        <v>74</v>
      </c>
      <c r="BL274" t="s">
        <v>74</v>
      </c>
      <c r="BM274" t="s">
        <v>74</v>
      </c>
      <c r="BN274" t="s">
        <v>74</v>
      </c>
      <c r="BO274" t="s">
        <v>74</v>
      </c>
      <c r="BP274" t="s">
        <v>74</v>
      </c>
      <c r="BQ274" t="s">
        <v>74</v>
      </c>
      <c r="BR274" t="s">
        <v>74</v>
      </c>
      <c r="BS274" t="s">
        <v>2586</v>
      </c>
      <c r="BT274" t="str">
        <f>HYPERLINK("https%3A%2F%2Fwww.webofscience.com%2Fwos%2Fwoscc%2Ffull-record%2FWOS:000877402500001","View Full Record in Web of Science")</f>
        <v>View Full Record in Web of Science</v>
      </c>
    </row>
    <row r="275" spans="1:72" x14ac:dyDescent="0.25">
      <c r="A275" t="s">
        <v>72</v>
      </c>
      <c r="B275" t="s">
        <v>2587</v>
      </c>
      <c r="C275" t="s">
        <v>74</v>
      </c>
      <c r="D275" t="s">
        <v>74</v>
      </c>
      <c r="E275" t="s">
        <v>74</v>
      </c>
      <c r="F275" t="s">
        <v>2588</v>
      </c>
      <c r="G275" t="s">
        <v>74</v>
      </c>
      <c r="H275" t="s">
        <v>74</v>
      </c>
      <c r="I275" t="s">
        <v>2589</v>
      </c>
      <c r="J275" t="s">
        <v>2590</v>
      </c>
      <c r="K275" t="s">
        <v>74</v>
      </c>
      <c r="L275" t="s">
        <v>74</v>
      </c>
      <c r="M275" t="s">
        <v>74</v>
      </c>
      <c r="N275" t="s">
        <v>74</v>
      </c>
      <c r="O275" t="s">
        <v>74</v>
      </c>
      <c r="P275" t="s">
        <v>74</v>
      </c>
      <c r="Q275" t="s">
        <v>74</v>
      </c>
      <c r="R275" t="s">
        <v>74</v>
      </c>
      <c r="S275" t="s">
        <v>74</v>
      </c>
      <c r="T275" t="s">
        <v>74</v>
      </c>
      <c r="U275" t="s">
        <v>74</v>
      </c>
      <c r="V275" t="s">
        <v>2591</v>
      </c>
      <c r="W275" t="s">
        <v>74</v>
      </c>
      <c r="X275" t="s">
        <v>74</v>
      </c>
      <c r="Y275" t="s">
        <v>74</v>
      </c>
      <c r="Z275" t="s">
        <v>74</v>
      </c>
      <c r="AA275" t="s">
        <v>2592</v>
      </c>
      <c r="AB275" t="s">
        <v>2593</v>
      </c>
      <c r="AC275" t="s">
        <v>74</v>
      </c>
      <c r="AD275" t="s">
        <v>74</v>
      </c>
      <c r="AE275" t="s">
        <v>74</v>
      </c>
      <c r="AF275" t="s">
        <v>74</v>
      </c>
      <c r="AG275" t="s">
        <v>74</v>
      </c>
      <c r="AH275" t="s">
        <v>74</v>
      </c>
      <c r="AI275" t="s">
        <v>74</v>
      </c>
      <c r="AJ275" t="s">
        <v>74</v>
      </c>
      <c r="AK275" t="s">
        <v>74</v>
      </c>
      <c r="AL275" t="s">
        <v>74</v>
      </c>
      <c r="AM275" t="s">
        <v>74</v>
      </c>
      <c r="AN275" t="s">
        <v>74</v>
      </c>
      <c r="AO275" t="s">
        <v>74</v>
      </c>
      <c r="AP275" t="s">
        <v>2594</v>
      </c>
      <c r="AQ275" t="s">
        <v>74</v>
      </c>
      <c r="AR275" t="s">
        <v>74</v>
      </c>
      <c r="AS275" t="s">
        <v>74</v>
      </c>
      <c r="AT275" t="s">
        <v>2595</v>
      </c>
      <c r="AU275">
        <v>2022</v>
      </c>
      <c r="AV275">
        <v>13</v>
      </c>
      <c r="AW275">
        <v>1</v>
      </c>
      <c r="AX275" t="s">
        <v>74</v>
      </c>
      <c r="AY275" t="s">
        <v>74</v>
      </c>
      <c r="AZ275" t="s">
        <v>74</v>
      </c>
      <c r="BA275" t="s">
        <v>74</v>
      </c>
      <c r="BB275" t="s">
        <v>74</v>
      </c>
      <c r="BC275" t="s">
        <v>74</v>
      </c>
      <c r="BD275">
        <v>5224</v>
      </c>
      <c r="BE275" t="s">
        <v>2596</v>
      </c>
      <c r="BF275" t="str">
        <f>HYPERLINK("http://dx.doi.org/10.1038/s41467-022-32745-8","http://dx.doi.org/10.1038/s41467-022-32745-8")</f>
        <v>http://dx.doi.org/10.1038/s41467-022-32745-8</v>
      </c>
      <c r="BG275" t="s">
        <v>74</v>
      </c>
      <c r="BH275" t="s">
        <v>74</v>
      </c>
      <c r="BI275" t="s">
        <v>74</v>
      </c>
      <c r="BJ275" t="s">
        <v>74</v>
      </c>
      <c r="BK275" t="s">
        <v>74</v>
      </c>
      <c r="BL275" t="s">
        <v>74</v>
      </c>
      <c r="BM275" t="s">
        <v>74</v>
      </c>
      <c r="BN275">
        <v>36064838</v>
      </c>
      <c r="BO275" t="s">
        <v>74</v>
      </c>
      <c r="BP275" t="s">
        <v>74</v>
      </c>
      <c r="BQ275" t="s">
        <v>74</v>
      </c>
      <c r="BR275" t="s">
        <v>74</v>
      </c>
      <c r="BS275" t="s">
        <v>2597</v>
      </c>
      <c r="BT275" t="str">
        <f>HYPERLINK("https%3A%2F%2Fwww.webofscience.com%2Fwos%2Fwoscc%2Ffull-record%2FWOS:000850348400009","View Full Record in Web of Science")</f>
        <v>View Full Record in Web of Science</v>
      </c>
    </row>
    <row r="276" spans="1:72" x14ac:dyDescent="0.25">
      <c r="A276" t="s">
        <v>72</v>
      </c>
      <c r="B276" t="s">
        <v>2598</v>
      </c>
      <c r="C276" t="s">
        <v>74</v>
      </c>
      <c r="D276" t="s">
        <v>74</v>
      </c>
      <c r="E276" t="s">
        <v>74</v>
      </c>
      <c r="F276" t="s">
        <v>2599</v>
      </c>
      <c r="G276" t="s">
        <v>74</v>
      </c>
      <c r="H276" t="s">
        <v>74</v>
      </c>
      <c r="I276" t="s">
        <v>2600</v>
      </c>
      <c r="J276" t="s">
        <v>2401</v>
      </c>
      <c r="K276" t="s">
        <v>74</v>
      </c>
      <c r="L276" t="s">
        <v>74</v>
      </c>
      <c r="M276" t="s">
        <v>74</v>
      </c>
      <c r="N276" t="s">
        <v>74</v>
      </c>
      <c r="O276" t="s">
        <v>74</v>
      </c>
      <c r="P276" t="s">
        <v>74</v>
      </c>
      <c r="Q276" t="s">
        <v>74</v>
      </c>
      <c r="R276" t="s">
        <v>74</v>
      </c>
      <c r="S276" t="s">
        <v>74</v>
      </c>
      <c r="T276" t="s">
        <v>74</v>
      </c>
      <c r="U276" t="s">
        <v>74</v>
      </c>
      <c r="V276" t="s">
        <v>2601</v>
      </c>
      <c r="W276" t="s">
        <v>74</v>
      </c>
      <c r="X276" t="s">
        <v>74</v>
      </c>
      <c r="Y276" t="s">
        <v>74</v>
      </c>
      <c r="Z276" t="s">
        <v>74</v>
      </c>
      <c r="AA276" t="s">
        <v>74</v>
      </c>
      <c r="AB276" t="s">
        <v>74</v>
      </c>
      <c r="AC276" t="s">
        <v>74</v>
      </c>
      <c r="AD276" t="s">
        <v>74</v>
      </c>
      <c r="AE276" t="s">
        <v>74</v>
      </c>
      <c r="AF276" t="s">
        <v>74</v>
      </c>
      <c r="AG276" t="s">
        <v>74</v>
      </c>
      <c r="AH276" t="s">
        <v>74</v>
      </c>
      <c r="AI276" t="s">
        <v>74</v>
      </c>
      <c r="AJ276" t="s">
        <v>74</v>
      </c>
      <c r="AK276" t="s">
        <v>74</v>
      </c>
      <c r="AL276" t="s">
        <v>74</v>
      </c>
      <c r="AM276" t="s">
        <v>74</v>
      </c>
      <c r="AN276" t="s">
        <v>74</v>
      </c>
      <c r="AO276" t="s">
        <v>2404</v>
      </c>
      <c r="AP276" t="s">
        <v>2405</v>
      </c>
      <c r="AQ276" t="s">
        <v>74</v>
      </c>
      <c r="AR276" t="s">
        <v>74</v>
      </c>
      <c r="AS276" t="s">
        <v>74</v>
      </c>
      <c r="AT276" t="s">
        <v>309</v>
      </c>
      <c r="AU276">
        <v>2022</v>
      </c>
      <c r="AV276">
        <v>37</v>
      </c>
      <c r="AW276">
        <v>6</v>
      </c>
      <c r="AX276" t="s">
        <v>74</v>
      </c>
      <c r="AY276" t="s">
        <v>74</v>
      </c>
      <c r="AZ276" t="s">
        <v>74</v>
      </c>
      <c r="BA276" t="s">
        <v>74</v>
      </c>
      <c r="BB276">
        <v>77</v>
      </c>
      <c r="BC276">
        <v>82</v>
      </c>
      <c r="BD276" t="s">
        <v>74</v>
      </c>
      <c r="BE276" t="s">
        <v>2602</v>
      </c>
      <c r="BF276" t="str">
        <f>HYPERLINK("http://dx.doi.org/10.1109/MIS.2022.3221342","http://dx.doi.org/10.1109/MIS.2022.3221342")</f>
        <v>http://dx.doi.org/10.1109/MIS.2022.3221342</v>
      </c>
      <c r="BG276" t="s">
        <v>74</v>
      </c>
      <c r="BH276" t="s">
        <v>74</v>
      </c>
      <c r="BI276" t="s">
        <v>74</v>
      </c>
      <c r="BJ276" t="s">
        <v>74</v>
      </c>
      <c r="BK276" t="s">
        <v>74</v>
      </c>
      <c r="BL276" t="s">
        <v>74</v>
      </c>
      <c r="BM276" t="s">
        <v>74</v>
      </c>
      <c r="BN276" t="s">
        <v>74</v>
      </c>
      <c r="BO276" t="s">
        <v>74</v>
      </c>
      <c r="BP276" t="s">
        <v>74</v>
      </c>
      <c r="BQ276" t="s">
        <v>74</v>
      </c>
      <c r="BR276" t="s">
        <v>74</v>
      </c>
      <c r="BS276" t="s">
        <v>2603</v>
      </c>
      <c r="BT276" t="str">
        <f>HYPERLINK("https%3A%2F%2Fwww.webofscience.com%2Fwos%2Fwoscc%2Ffull-record%2FWOS:000944152000010","View Full Record in Web of Science")</f>
        <v>View Full Record in Web of Science</v>
      </c>
    </row>
    <row r="277" spans="1:72" x14ac:dyDescent="0.25">
      <c r="A277" t="s">
        <v>72</v>
      </c>
      <c r="B277" t="s">
        <v>2604</v>
      </c>
      <c r="C277" t="s">
        <v>74</v>
      </c>
      <c r="D277" t="s">
        <v>74</v>
      </c>
      <c r="E277" t="s">
        <v>74</v>
      </c>
      <c r="F277" t="s">
        <v>2605</v>
      </c>
      <c r="G277" t="s">
        <v>74</v>
      </c>
      <c r="H277" t="s">
        <v>74</v>
      </c>
      <c r="I277" t="s">
        <v>2606</v>
      </c>
      <c r="J277" t="s">
        <v>2607</v>
      </c>
      <c r="K277" t="s">
        <v>74</v>
      </c>
      <c r="L277" t="s">
        <v>74</v>
      </c>
      <c r="M277" t="s">
        <v>74</v>
      </c>
      <c r="N277" t="s">
        <v>74</v>
      </c>
      <c r="O277" t="s">
        <v>74</v>
      </c>
      <c r="P277" t="s">
        <v>74</v>
      </c>
      <c r="Q277" t="s">
        <v>74</v>
      </c>
      <c r="R277" t="s">
        <v>74</v>
      </c>
      <c r="S277" t="s">
        <v>74</v>
      </c>
      <c r="T277" t="s">
        <v>74</v>
      </c>
      <c r="U277" t="s">
        <v>74</v>
      </c>
      <c r="V277" t="s">
        <v>2608</v>
      </c>
      <c r="W277" t="s">
        <v>74</v>
      </c>
      <c r="X277" t="s">
        <v>74</v>
      </c>
      <c r="Y277" t="s">
        <v>74</v>
      </c>
      <c r="Z277" t="s">
        <v>74</v>
      </c>
      <c r="AA277" t="s">
        <v>2609</v>
      </c>
      <c r="AB277" t="s">
        <v>2610</v>
      </c>
      <c r="AC277" t="s">
        <v>74</v>
      </c>
      <c r="AD277" t="s">
        <v>74</v>
      </c>
      <c r="AE277" t="s">
        <v>74</v>
      </c>
      <c r="AF277" t="s">
        <v>74</v>
      </c>
      <c r="AG277" t="s">
        <v>74</v>
      </c>
      <c r="AH277" t="s">
        <v>74</v>
      </c>
      <c r="AI277" t="s">
        <v>74</v>
      </c>
      <c r="AJ277" t="s">
        <v>74</v>
      </c>
      <c r="AK277" t="s">
        <v>74</v>
      </c>
      <c r="AL277" t="s">
        <v>74</v>
      </c>
      <c r="AM277" t="s">
        <v>74</v>
      </c>
      <c r="AN277" t="s">
        <v>74</v>
      </c>
      <c r="AO277" t="s">
        <v>2611</v>
      </c>
      <c r="AP277" t="s">
        <v>2612</v>
      </c>
      <c r="AQ277" t="s">
        <v>74</v>
      </c>
      <c r="AR277" t="s">
        <v>74</v>
      </c>
      <c r="AS277" t="s">
        <v>74</v>
      </c>
      <c r="AT277" t="s">
        <v>74</v>
      </c>
      <c r="AU277" t="s">
        <v>74</v>
      </c>
      <c r="AV277" t="s">
        <v>74</v>
      </c>
      <c r="AW277" t="s">
        <v>74</v>
      </c>
      <c r="AX277" t="s">
        <v>74</v>
      </c>
      <c r="AY277" t="s">
        <v>74</v>
      </c>
      <c r="AZ277" t="s">
        <v>74</v>
      </c>
      <c r="BA277" t="s">
        <v>74</v>
      </c>
      <c r="BB277" t="s">
        <v>74</v>
      </c>
      <c r="BC277" t="s">
        <v>74</v>
      </c>
      <c r="BD277" t="s">
        <v>74</v>
      </c>
      <c r="BE277" t="s">
        <v>2613</v>
      </c>
      <c r="BF277" t="str">
        <f>HYPERLINK("http://dx.doi.org/10.1007/s10796-022-10244-x","http://dx.doi.org/10.1007/s10796-022-10244-x")</f>
        <v>http://dx.doi.org/10.1007/s10796-022-10244-x</v>
      </c>
      <c r="BG277" t="s">
        <v>74</v>
      </c>
      <c r="BH277" t="s">
        <v>2614</v>
      </c>
      <c r="BI277" t="s">
        <v>74</v>
      </c>
      <c r="BJ277" t="s">
        <v>74</v>
      </c>
      <c r="BK277" t="s">
        <v>74</v>
      </c>
      <c r="BL277" t="s">
        <v>74</v>
      </c>
      <c r="BM277" t="s">
        <v>74</v>
      </c>
      <c r="BN277">
        <v>35194390</v>
      </c>
      <c r="BO277" t="s">
        <v>74</v>
      </c>
      <c r="BP277" t="s">
        <v>74</v>
      </c>
      <c r="BQ277" t="s">
        <v>74</v>
      </c>
      <c r="BR277" t="s">
        <v>74</v>
      </c>
      <c r="BS277" t="s">
        <v>2615</v>
      </c>
      <c r="BT277" t="str">
        <f>HYPERLINK("https%3A%2F%2Fwww.webofscience.com%2Fwos%2Fwoscc%2Ffull-record%2FWOS:000754128600001","View Full Record in Web of Science")</f>
        <v>View Full Record in Web of Science</v>
      </c>
    </row>
    <row r="278" spans="1:72" x14ac:dyDescent="0.25">
      <c r="A278" t="s">
        <v>72</v>
      </c>
      <c r="B278" t="s">
        <v>2616</v>
      </c>
      <c r="C278" t="s">
        <v>74</v>
      </c>
      <c r="D278" t="s">
        <v>74</v>
      </c>
      <c r="E278" t="s">
        <v>74</v>
      </c>
      <c r="F278" t="s">
        <v>2617</v>
      </c>
      <c r="G278" t="s">
        <v>74</v>
      </c>
      <c r="H278" t="s">
        <v>74</v>
      </c>
      <c r="I278" t="s">
        <v>2618</v>
      </c>
      <c r="J278" t="s">
        <v>2430</v>
      </c>
      <c r="K278" t="s">
        <v>74</v>
      </c>
      <c r="L278" t="s">
        <v>74</v>
      </c>
      <c r="M278" t="s">
        <v>74</v>
      </c>
      <c r="N278" t="s">
        <v>74</v>
      </c>
      <c r="O278" t="s">
        <v>74</v>
      </c>
      <c r="P278" t="s">
        <v>74</v>
      </c>
      <c r="Q278" t="s">
        <v>74</v>
      </c>
      <c r="R278" t="s">
        <v>74</v>
      </c>
      <c r="S278" t="s">
        <v>74</v>
      </c>
      <c r="T278" t="s">
        <v>74</v>
      </c>
      <c r="U278" t="s">
        <v>74</v>
      </c>
      <c r="V278" t="s">
        <v>2619</v>
      </c>
      <c r="W278" t="s">
        <v>74</v>
      </c>
      <c r="X278" t="s">
        <v>74</v>
      </c>
      <c r="Y278" t="s">
        <v>74</v>
      </c>
      <c r="Z278" t="s">
        <v>74</v>
      </c>
      <c r="AA278" t="s">
        <v>2620</v>
      </c>
      <c r="AB278" t="s">
        <v>2621</v>
      </c>
      <c r="AC278" t="s">
        <v>74</v>
      </c>
      <c r="AD278" t="s">
        <v>74</v>
      </c>
      <c r="AE278" t="s">
        <v>74</v>
      </c>
      <c r="AF278" t="s">
        <v>74</v>
      </c>
      <c r="AG278" t="s">
        <v>74</v>
      </c>
      <c r="AH278" t="s">
        <v>74</v>
      </c>
      <c r="AI278" t="s">
        <v>74</v>
      </c>
      <c r="AJ278" t="s">
        <v>74</v>
      </c>
      <c r="AK278" t="s">
        <v>74</v>
      </c>
      <c r="AL278" t="s">
        <v>74</v>
      </c>
      <c r="AM278" t="s">
        <v>74</v>
      </c>
      <c r="AN278" t="s">
        <v>74</v>
      </c>
      <c r="AO278" t="s">
        <v>2434</v>
      </c>
      <c r="AP278" t="s">
        <v>2435</v>
      </c>
      <c r="AQ278" t="s">
        <v>74</v>
      </c>
      <c r="AR278" t="s">
        <v>74</v>
      </c>
      <c r="AS278" t="s">
        <v>74</v>
      </c>
      <c r="AT278" t="s">
        <v>74</v>
      </c>
      <c r="AU278">
        <v>2022</v>
      </c>
      <c r="AV278">
        <v>72</v>
      </c>
      <c r="AW278">
        <v>3</v>
      </c>
      <c r="AX278" t="s">
        <v>74</v>
      </c>
      <c r="AY278" t="s">
        <v>74</v>
      </c>
      <c r="AZ278" t="s">
        <v>74</v>
      </c>
      <c r="BA278" t="s">
        <v>74</v>
      </c>
      <c r="BB278">
        <v>4983</v>
      </c>
      <c r="BC278">
        <v>4997</v>
      </c>
      <c r="BD278" t="s">
        <v>74</v>
      </c>
      <c r="BE278" t="s">
        <v>2622</v>
      </c>
      <c r="BF278" t="str">
        <f>HYPERLINK("http://dx.doi.org/10.32604/cmc.2022.027943","http://dx.doi.org/10.32604/cmc.2022.027943")</f>
        <v>http://dx.doi.org/10.32604/cmc.2022.027943</v>
      </c>
      <c r="BG278" t="s">
        <v>74</v>
      </c>
      <c r="BH278" t="s">
        <v>74</v>
      </c>
      <c r="BI278" t="s">
        <v>74</v>
      </c>
      <c r="BJ278" t="s">
        <v>74</v>
      </c>
      <c r="BK278" t="s">
        <v>74</v>
      </c>
      <c r="BL278" t="s">
        <v>74</v>
      </c>
      <c r="BM278" t="s">
        <v>74</v>
      </c>
      <c r="BN278" t="s">
        <v>74</v>
      </c>
      <c r="BO278" t="s">
        <v>74</v>
      </c>
      <c r="BP278" t="s">
        <v>74</v>
      </c>
      <c r="BQ278" t="s">
        <v>74</v>
      </c>
      <c r="BR278" t="s">
        <v>74</v>
      </c>
      <c r="BS278" t="s">
        <v>2623</v>
      </c>
      <c r="BT278" t="str">
        <f>HYPERLINK("https%3A%2F%2Fwww.webofscience.com%2Fwos%2Fwoscc%2Ffull-record%2FWOS:000799234000009","View Full Record in Web of Science")</f>
        <v>View Full Record in Web of Science</v>
      </c>
    </row>
    <row r="279" spans="1:72" x14ac:dyDescent="0.25">
      <c r="A279" t="s">
        <v>72</v>
      </c>
      <c r="B279" t="s">
        <v>2624</v>
      </c>
      <c r="C279" t="s">
        <v>74</v>
      </c>
      <c r="D279" t="s">
        <v>74</v>
      </c>
      <c r="E279" t="s">
        <v>74</v>
      </c>
      <c r="F279" t="s">
        <v>2625</v>
      </c>
      <c r="G279" t="s">
        <v>74</v>
      </c>
      <c r="H279" t="s">
        <v>74</v>
      </c>
      <c r="I279" t="s">
        <v>2626</v>
      </c>
      <c r="J279" t="s">
        <v>873</v>
      </c>
      <c r="K279" t="s">
        <v>74</v>
      </c>
      <c r="L279" t="s">
        <v>74</v>
      </c>
      <c r="M279" t="s">
        <v>74</v>
      </c>
      <c r="N279" t="s">
        <v>74</v>
      </c>
      <c r="O279" t="s">
        <v>74</v>
      </c>
      <c r="P279" t="s">
        <v>74</v>
      </c>
      <c r="Q279" t="s">
        <v>74</v>
      </c>
      <c r="R279" t="s">
        <v>74</v>
      </c>
      <c r="S279" t="s">
        <v>74</v>
      </c>
      <c r="T279" t="s">
        <v>74</v>
      </c>
      <c r="U279" t="s">
        <v>74</v>
      </c>
      <c r="V279" t="s">
        <v>2627</v>
      </c>
      <c r="W279" t="s">
        <v>74</v>
      </c>
      <c r="X279" t="s">
        <v>74</v>
      </c>
      <c r="Y279" t="s">
        <v>74</v>
      </c>
      <c r="Z279" t="s">
        <v>74</v>
      </c>
      <c r="AA279" t="s">
        <v>74</v>
      </c>
      <c r="AB279" t="s">
        <v>2628</v>
      </c>
      <c r="AC279" t="s">
        <v>74</v>
      </c>
      <c r="AD279" t="s">
        <v>74</v>
      </c>
      <c r="AE279" t="s">
        <v>74</v>
      </c>
      <c r="AF279" t="s">
        <v>74</v>
      </c>
      <c r="AG279" t="s">
        <v>74</v>
      </c>
      <c r="AH279" t="s">
        <v>74</v>
      </c>
      <c r="AI279" t="s">
        <v>74</v>
      </c>
      <c r="AJ279" t="s">
        <v>74</v>
      </c>
      <c r="AK279" t="s">
        <v>74</v>
      </c>
      <c r="AL279" t="s">
        <v>74</v>
      </c>
      <c r="AM279" t="s">
        <v>74</v>
      </c>
      <c r="AN279" t="s">
        <v>74</v>
      </c>
      <c r="AO279" t="s">
        <v>74</v>
      </c>
      <c r="AP279" t="s">
        <v>877</v>
      </c>
      <c r="AQ279" t="s">
        <v>74</v>
      </c>
      <c r="AR279" t="s">
        <v>74</v>
      </c>
      <c r="AS279" t="s">
        <v>74</v>
      </c>
      <c r="AT279" t="s">
        <v>175</v>
      </c>
      <c r="AU279">
        <v>2023</v>
      </c>
      <c r="AV279">
        <v>23</v>
      </c>
      <c r="AW279">
        <v>1</v>
      </c>
      <c r="AX279" t="s">
        <v>74</v>
      </c>
      <c r="AY279" t="s">
        <v>74</v>
      </c>
      <c r="AZ279" t="s">
        <v>74</v>
      </c>
      <c r="BA279" t="s">
        <v>74</v>
      </c>
      <c r="BB279" t="s">
        <v>74</v>
      </c>
      <c r="BC279" t="s">
        <v>74</v>
      </c>
      <c r="BD279">
        <v>15</v>
      </c>
      <c r="BE279" t="s">
        <v>2629</v>
      </c>
      <c r="BF279" t="str">
        <f>HYPERLINK("http://dx.doi.org/10.3390/s23010015","http://dx.doi.org/10.3390/s23010015")</f>
        <v>http://dx.doi.org/10.3390/s23010015</v>
      </c>
      <c r="BG279" t="s">
        <v>74</v>
      </c>
      <c r="BH279" t="s">
        <v>74</v>
      </c>
      <c r="BI279" t="s">
        <v>74</v>
      </c>
      <c r="BJ279" t="s">
        <v>74</v>
      </c>
      <c r="BK279" t="s">
        <v>74</v>
      </c>
      <c r="BL279" t="s">
        <v>74</v>
      </c>
      <c r="BM279" t="s">
        <v>74</v>
      </c>
      <c r="BN279">
        <v>36616614</v>
      </c>
      <c r="BO279" t="s">
        <v>74</v>
      </c>
      <c r="BP279" t="s">
        <v>74</v>
      </c>
      <c r="BQ279" t="s">
        <v>74</v>
      </c>
      <c r="BR279" t="s">
        <v>74</v>
      </c>
      <c r="BS279" t="s">
        <v>2630</v>
      </c>
      <c r="BT279" t="str">
        <f>HYPERLINK("https%3A%2F%2Fwww.webofscience.com%2Fwos%2Fwoscc%2Ffull-record%2FWOS:000910464400001","View Full Record in Web of Science")</f>
        <v>View Full Record in Web of Science</v>
      </c>
    </row>
    <row r="280" spans="1:72" x14ac:dyDescent="0.25">
      <c r="A280" t="s">
        <v>72</v>
      </c>
      <c r="B280" t="s">
        <v>2631</v>
      </c>
      <c r="C280" t="s">
        <v>74</v>
      </c>
      <c r="D280" t="s">
        <v>74</v>
      </c>
      <c r="E280" t="s">
        <v>74</v>
      </c>
      <c r="F280" t="s">
        <v>2632</v>
      </c>
      <c r="G280" t="s">
        <v>74</v>
      </c>
      <c r="H280" t="s">
        <v>74</v>
      </c>
      <c r="I280" t="s">
        <v>2633</v>
      </c>
      <c r="J280" t="s">
        <v>460</v>
      </c>
      <c r="K280" t="s">
        <v>74</v>
      </c>
      <c r="L280" t="s">
        <v>74</v>
      </c>
      <c r="M280" t="s">
        <v>74</v>
      </c>
      <c r="N280" t="s">
        <v>74</v>
      </c>
      <c r="O280" t="s">
        <v>74</v>
      </c>
      <c r="P280" t="s">
        <v>74</v>
      </c>
      <c r="Q280" t="s">
        <v>74</v>
      </c>
      <c r="R280" t="s">
        <v>74</v>
      </c>
      <c r="S280" t="s">
        <v>74</v>
      </c>
      <c r="T280" t="s">
        <v>74</v>
      </c>
      <c r="U280" t="s">
        <v>74</v>
      </c>
      <c r="V280" t="s">
        <v>2634</v>
      </c>
      <c r="W280" t="s">
        <v>74</v>
      </c>
      <c r="X280" t="s">
        <v>74</v>
      </c>
      <c r="Y280" t="s">
        <v>74</v>
      </c>
      <c r="Z280" t="s">
        <v>74</v>
      </c>
      <c r="AA280" t="s">
        <v>74</v>
      </c>
      <c r="AB280" t="s">
        <v>74</v>
      </c>
      <c r="AC280" t="s">
        <v>74</v>
      </c>
      <c r="AD280" t="s">
        <v>74</v>
      </c>
      <c r="AE280" t="s">
        <v>74</v>
      </c>
      <c r="AF280" t="s">
        <v>74</v>
      </c>
      <c r="AG280" t="s">
        <v>74</v>
      </c>
      <c r="AH280" t="s">
        <v>74</v>
      </c>
      <c r="AI280" t="s">
        <v>74</v>
      </c>
      <c r="AJ280" t="s">
        <v>74</v>
      </c>
      <c r="AK280" t="s">
        <v>74</v>
      </c>
      <c r="AL280" t="s">
        <v>74</v>
      </c>
      <c r="AM280" t="s">
        <v>74</v>
      </c>
      <c r="AN280" t="s">
        <v>74</v>
      </c>
      <c r="AO280" t="s">
        <v>74</v>
      </c>
      <c r="AP280" t="s">
        <v>464</v>
      </c>
      <c r="AQ280" t="s">
        <v>74</v>
      </c>
      <c r="AR280" t="s">
        <v>74</v>
      </c>
      <c r="AS280" t="s">
        <v>74</v>
      </c>
      <c r="AT280" t="s">
        <v>1202</v>
      </c>
      <c r="AU280">
        <v>2022</v>
      </c>
      <c r="AV280">
        <v>14</v>
      </c>
      <c r="AW280">
        <v>8</v>
      </c>
      <c r="AX280" t="s">
        <v>74</v>
      </c>
      <c r="AY280" t="s">
        <v>74</v>
      </c>
      <c r="AZ280" t="s">
        <v>74</v>
      </c>
      <c r="BA280" t="s">
        <v>74</v>
      </c>
      <c r="BB280" t="s">
        <v>74</v>
      </c>
      <c r="BC280" t="s">
        <v>74</v>
      </c>
      <c r="BD280">
        <v>4786</v>
      </c>
      <c r="BE280" t="s">
        <v>2635</v>
      </c>
      <c r="BF280" t="str">
        <f>HYPERLINK("http://dx.doi.org/10.3390/su14084786","http://dx.doi.org/10.3390/su14084786")</f>
        <v>http://dx.doi.org/10.3390/su14084786</v>
      </c>
      <c r="BG280" t="s">
        <v>74</v>
      </c>
      <c r="BH280" t="s">
        <v>74</v>
      </c>
      <c r="BI280" t="s">
        <v>74</v>
      </c>
      <c r="BJ280" t="s">
        <v>74</v>
      </c>
      <c r="BK280" t="s">
        <v>74</v>
      </c>
      <c r="BL280" t="s">
        <v>74</v>
      </c>
      <c r="BM280" t="s">
        <v>74</v>
      </c>
      <c r="BN280" t="s">
        <v>74</v>
      </c>
      <c r="BO280" t="s">
        <v>74</v>
      </c>
      <c r="BP280" t="s">
        <v>74</v>
      </c>
      <c r="BQ280" t="s">
        <v>74</v>
      </c>
      <c r="BR280" t="s">
        <v>74</v>
      </c>
      <c r="BS280" t="s">
        <v>2636</v>
      </c>
      <c r="BT280" t="str">
        <f>HYPERLINK("https%3A%2F%2Fwww.webofscience.com%2Fwos%2Fwoscc%2Ffull-record%2FWOS:000785348400001","View Full Record in Web of Science")</f>
        <v>View Full Record in Web of Science</v>
      </c>
    </row>
    <row r="281" spans="1:72" x14ac:dyDescent="0.25">
      <c r="A281" t="s">
        <v>72</v>
      </c>
      <c r="B281" t="s">
        <v>2637</v>
      </c>
      <c r="C281" t="s">
        <v>74</v>
      </c>
      <c r="D281" t="s">
        <v>74</v>
      </c>
      <c r="E281" t="s">
        <v>74</v>
      </c>
      <c r="F281" t="s">
        <v>2638</v>
      </c>
      <c r="G281" t="s">
        <v>74</v>
      </c>
      <c r="H281" t="s">
        <v>74</v>
      </c>
      <c r="I281" t="s">
        <v>2639</v>
      </c>
      <c r="J281" t="s">
        <v>2640</v>
      </c>
      <c r="K281" t="s">
        <v>74</v>
      </c>
      <c r="L281" t="s">
        <v>74</v>
      </c>
      <c r="M281" t="s">
        <v>74</v>
      </c>
      <c r="N281" t="s">
        <v>74</v>
      </c>
      <c r="O281" t="s">
        <v>74</v>
      </c>
      <c r="P281" t="s">
        <v>74</v>
      </c>
      <c r="Q281" t="s">
        <v>74</v>
      </c>
      <c r="R281" t="s">
        <v>74</v>
      </c>
      <c r="S281" t="s">
        <v>74</v>
      </c>
      <c r="T281" t="s">
        <v>74</v>
      </c>
      <c r="U281" t="s">
        <v>74</v>
      </c>
      <c r="V281" t="s">
        <v>2641</v>
      </c>
      <c r="W281" t="s">
        <v>74</v>
      </c>
      <c r="X281" t="s">
        <v>74</v>
      </c>
      <c r="Y281" t="s">
        <v>74</v>
      </c>
      <c r="Z281" t="s">
        <v>74</v>
      </c>
      <c r="AA281" t="s">
        <v>2642</v>
      </c>
      <c r="AB281" t="s">
        <v>2643</v>
      </c>
      <c r="AC281" t="s">
        <v>74</v>
      </c>
      <c r="AD281" t="s">
        <v>74</v>
      </c>
      <c r="AE281" t="s">
        <v>74</v>
      </c>
      <c r="AF281" t="s">
        <v>74</v>
      </c>
      <c r="AG281" t="s">
        <v>74</v>
      </c>
      <c r="AH281" t="s">
        <v>74</v>
      </c>
      <c r="AI281" t="s">
        <v>74</v>
      </c>
      <c r="AJ281" t="s">
        <v>74</v>
      </c>
      <c r="AK281" t="s">
        <v>74</v>
      </c>
      <c r="AL281" t="s">
        <v>74</v>
      </c>
      <c r="AM281" t="s">
        <v>74</v>
      </c>
      <c r="AN281" t="s">
        <v>74</v>
      </c>
      <c r="AO281" t="s">
        <v>2644</v>
      </c>
      <c r="AP281" t="s">
        <v>2645</v>
      </c>
      <c r="AQ281" t="s">
        <v>74</v>
      </c>
      <c r="AR281" t="s">
        <v>74</v>
      </c>
      <c r="AS281" t="s">
        <v>74</v>
      </c>
      <c r="AT281" t="s">
        <v>465</v>
      </c>
      <c r="AU281">
        <v>2022</v>
      </c>
      <c r="AV281">
        <v>16</v>
      </c>
      <c r="AW281">
        <v>3</v>
      </c>
      <c r="AX281" t="s">
        <v>74</v>
      </c>
      <c r="AY281" t="s">
        <v>74</v>
      </c>
      <c r="AZ281" t="s">
        <v>1366</v>
      </c>
      <c r="BA281" t="s">
        <v>74</v>
      </c>
      <c r="BB281">
        <v>257</v>
      </c>
      <c r="BC281">
        <v>270</v>
      </c>
      <c r="BD281" t="s">
        <v>74</v>
      </c>
      <c r="BE281" t="s">
        <v>2646</v>
      </c>
      <c r="BF281" t="str">
        <f>HYPERLINK("http://dx.doi.org/10.1007/s11569-022-00426-x","http://dx.doi.org/10.1007/s11569-022-00426-x")</f>
        <v>http://dx.doi.org/10.1007/s11569-022-00426-x</v>
      </c>
      <c r="BG281" t="s">
        <v>74</v>
      </c>
      <c r="BH281" t="s">
        <v>683</v>
      </c>
      <c r="BI281" t="s">
        <v>74</v>
      </c>
      <c r="BJ281" t="s">
        <v>74</v>
      </c>
      <c r="BK281" t="s">
        <v>74</v>
      </c>
      <c r="BL281" t="s">
        <v>74</v>
      </c>
      <c r="BM281" t="s">
        <v>74</v>
      </c>
      <c r="BN281" t="s">
        <v>74</v>
      </c>
      <c r="BO281" t="s">
        <v>74</v>
      </c>
      <c r="BP281" t="s">
        <v>74</v>
      </c>
      <c r="BQ281" t="s">
        <v>74</v>
      </c>
      <c r="BR281" t="s">
        <v>74</v>
      </c>
      <c r="BS281" t="s">
        <v>2647</v>
      </c>
      <c r="BT281" t="str">
        <f>HYPERLINK("https%3A%2F%2Fwww.webofscience.com%2Fwos%2Fwoscc%2Ffull-record%2FWOS:000884939800001","View Full Record in Web of Science")</f>
        <v>View Full Record in Web of Science</v>
      </c>
    </row>
    <row r="282" spans="1:72" x14ac:dyDescent="0.25">
      <c r="A282" t="s">
        <v>72</v>
      </c>
      <c r="B282" t="s">
        <v>2648</v>
      </c>
      <c r="C282" t="s">
        <v>74</v>
      </c>
      <c r="D282" t="s">
        <v>74</v>
      </c>
      <c r="E282" t="s">
        <v>74</v>
      </c>
      <c r="F282" t="s">
        <v>2649</v>
      </c>
      <c r="G282" t="s">
        <v>74</v>
      </c>
      <c r="H282" t="s">
        <v>74</v>
      </c>
      <c r="I282" t="s">
        <v>2650</v>
      </c>
      <c r="J282" t="s">
        <v>2651</v>
      </c>
      <c r="K282" t="s">
        <v>74</v>
      </c>
      <c r="L282" t="s">
        <v>74</v>
      </c>
      <c r="M282" t="s">
        <v>74</v>
      </c>
      <c r="N282" t="s">
        <v>74</v>
      </c>
      <c r="O282" t="s">
        <v>74</v>
      </c>
      <c r="P282" t="s">
        <v>74</v>
      </c>
      <c r="Q282" t="s">
        <v>74</v>
      </c>
      <c r="R282" t="s">
        <v>74</v>
      </c>
      <c r="S282" t="s">
        <v>74</v>
      </c>
      <c r="T282" t="s">
        <v>74</v>
      </c>
      <c r="U282" t="s">
        <v>74</v>
      </c>
      <c r="V282" t="s">
        <v>2652</v>
      </c>
      <c r="W282" t="s">
        <v>74</v>
      </c>
      <c r="X282" t="s">
        <v>74</v>
      </c>
      <c r="Y282" t="s">
        <v>74</v>
      </c>
      <c r="Z282" t="s">
        <v>74</v>
      </c>
      <c r="AA282" t="s">
        <v>74</v>
      </c>
      <c r="AB282" t="s">
        <v>2653</v>
      </c>
      <c r="AC282" t="s">
        <v>74</v>
      </c>
      <c r="AD282" t="s">
        <v>74</v>
      </c>
      <c r="AE282" t="s">
        <v>74</v>
      </c>
      <c r="AF282" t="s">
        <v>74</v>
      </c>
      <c r="AG282" t="s">
        <v>74</v>
      </c>
      <c r="AH282" t="s">
        <v>74</v>
      </c>
      <c r="AI282" t="s">
        <v>74</v>
      </c>
      <c r="AJ282" t="s">
        <v>74</v>
      </c>
      <c r="AK282" t="s">
        <v>74</v>
      </c>
      <c r="AL282" t="s">
        <v>74</v>
      </c>
      <c r="AM282" t="s">
        <v>74</v>
      </c>
      <c r="AN282" t="s">
        <v>74</v>
      </c>
      <c r="AO282" t="s">
        <v>74</v>
      </c>
      <c r="AP282" t="s">
        <v>2654</v>
      </c>
      <c r="AQ282" t="s">
        <v>74</v>
      </c>
      <c r="AR282" t="s">
        <v>74</v>
      </c>
      <c r="AS282" t="s">
        <v>74</v>
      </c>
      <c r="AT282" t="s">
        <v>465</v>
      </c>
      <c r="AU282">
        <v>2022</v>
      </c>
      <c r="AV282">
        <v>12</v>
      </c>
      <c r="AW282">
        <v>12</v>
      </c>
      <c r="AX282" t="s">
        <v>74</v>
      </c>
      <c r="AY282" t="s">
        <v>74</v>
      </c>
      <c r="AZ282" t="s">
        <v>74</v>
      </c>
      <c r="BA282" t="s">
        <v>74</v>
      </c>
      <c r="BB282" t="s">
        <v>74</v>
      </c>
      <c r="BC282" t="s">
        <v>74</v>
      </c>
      <c r="BD282">
        <v>1692</v>
      </c>
      <c r="BE282" t="s">
        <v>2655</v>
      </c>
      <c r="BF282" t="str">
        <f>HYPERLINK("http://dx.doi.org/10.3390/brainsci12121692","http://dx.doi.org/10.3390/brainsci12121692")</f>
        <v>http://dx.doi.org/10.3390/brainsci12121692</v>
      </c>
      <c r="BG282" t="s">
        <v>74</v>
      </c>
      <c r="BH282" t="s">
        <v>74</v>
      </c>
      <c r="BI282" t="s">
        <v>74</v>
      </c>
      <c r="BJ282" t="s">
        <v>74</v>
      </c>
      <c r="BK282" t="s">
        <v>74</v>
      </c>
      <c r="BL282" t="s">
        <v>74</v>
      </c>
      <c r="BM282" t="s">
        <v>74</v>
      </c>
      <c r="BN282">
        <v>36552152</v>
      </c>
      <c r="BO282" t="s">
        <v>74</v>
      </c>
      <c r="BP282" t="s">
        <v>74</v>
      </c>
      <c r="BQ282" t="s">
        <v>74</v>
      </c>
      <c r="BR282" t="s">
        <v>74</v>
      </c>
      <c r="BS282" t="s">
        <v>2656</v>
      </c>
      <c r="BT282" t="str">
        <f>HYPERLINK("https%3A%2F%2Fwww.webofscience.com%2Fwos%2Fwoscc%2Ffull-record%2FWOS:000902277700001","View Full Record in Web of Science")</f>
        <v>View Full Record in Web of Science</v>
      </c>
    </row>
    <row r="283" spans="1:72" x14ac:dyDescent="0.25">
      <c r="A283" t="s">
        <v>72</v>
      </c>
      <c r="B283" t="s">
        <v>2657</v>
      </c>
      <c r="C283" t="s">
        <v>74</v>
      </c>
      <c r="D283" t="s">
        <v>74</v>
      </c>
      <c r="E283" t="s">
        <v>74</v>
      </c>
      <c r="F283" t="s">
        <v>2658</v>
      </c>
      <c r="G283" t="s">
        <v>74</v>
      </c>
      <c r="H283" t="s">
        <v>74</v>
      </c>
      <c r="I283" t="s">
        <v>2659</v>
      </c>
      <c r="J283" t="s">
        <v>250</v>
      </c>
      <c r="K283" t="s">
        <v>74</v>
      </c>
      <c r="L283" t="s">
        <v>74</v>
      </c>
      <c r="M283" t="s">
        <v>74</v>
      </c>
      <c r="N283" t="s">
        <v>74</v>
      </c>
      <c r="O283" t="s">
        <v>74</v>
      </c>
      <c r="P283" t="s">
        <v>74</v>
      </c>
      <c r="Q283" t="s">
        <v>74</v>
      </c>
      <c r="R283" t="s">
        <v>74</v>
      </c>
      <c r="S283" t="s">
        <v>74</v>
      </c>
      <c r="T283" t="s">
        <v>74</v>
      </c>
      <c r="U283" t="s">
        <v>74</v>
      </c>
      <c r="V283" t="s">
        <v>2660</v>
      </c>
      <c r="W283" t="s">
        <v>74</v>
      </c>
      <c r="X283" t="s">
        <v>74</v>
      </c>
      <c r="Y283" t="s">
        <v>74</v>
      </c>
      <c r="Z283" t="s">
        <v>74</v>
      </c>
      <c r="AA283" t="s">
        <v>74</v>
      </c>
      <c r="AB283" t="s">
        <v>2661</v>
      </c>
      <c r="AC283" t="s">
        <v>74</v>
      </c>
      <c r="AD283" t="s">
        <v>74</v>
      </c>
      <c r="AE283" t="s">
        <v>74</v>
      </c>
      <c r="AF283" t="s">
        <v>74</v>
      </c>
      <c r="AG283" t="s">
        <v>74</v>
      </c>
      <c r="AH283" t="s">
        <v>74</v>
      </c>
      <c r="AI283" t="s">
        <v>74</v>
      </c>
      <c r="AJ283" t="s">
        <v>74</v>
      </c>
      <c r="AK283" t="s">
        <v>74</v>
      </c>
      <c r="AL283" t="s">
        <v>74</v>
      </c>
      <c r="AM283" t="s">
        <v>74</v>
      </c>
      <c r="AN283" t="s">
        <v>74</v>
      </c>
      <c r="AO283" t="s">
        <v>252</v>
      </c>
      <c r="AP283" t="s">
        <v>74</v>
      </c>
      <c r="AQ283" t="s">
        <v>74</v>
      </c>
      <c r="AR283" t="s">
        <v>74</v>
      </c>
      <c r="AS283" t="s">
        <v>74</v>
      </c>
      <c r="AT283" t="s">
        <v>74</v>
      </c>
      <c r="AU283" t="s">
        <v>74</v>
      </c>
      <c r="AV283" t="s">
        <v>74</v>
      </c>
      <c r="AW283" t="s">
        <v>74</v>
      </c>
      <c r="AX283" t="s">
        <v>74</v>
      </c>
      <c r="AY283" t="s">
        <v>74</v>
      </c>
      <c r="AZ283" t="s">
        <v>74</v>
      </c>
      <c r="BA283" t="s">
        <v>74</v>
      </c>
      <c r="BB283" t="s">
        <v>74</v>
      </c>
      <c r="BC283" t="s">
        <v>74</v>
      </c>
      <c r="BD283" t="s">
        <v>74</v>
      </c>
      <c r="BE283" t="s">
        <v>2662</v>
      </c>
      <c r="BF283" t="str">
        <f>HYPERLINK("http://dx.doi.org/10.1108/INTR-08-2022-0666","http://dx.doi.org/10.1108/INTR-08-2022-0666")</f>
        <v>http://dx.doi.org/10.1108/INTR-08-2022-0666</v>
      </c>
      <c r="BG283" t="s">
        <v>74</v>
      </c>
      <c r="BH283" t="s">
        <v>611</v>
      </c>
      <c r="BI283" t="s">
        <v>74</v>
      </c>
      <c r="BJ283" t="s">
        <v>74</v>
      </c>
      <c r="BK283" t="s">
        <v>74</v>
      </c>
      <c r="BL283" t="s">
        <v>74</v>
      </c>
      <c r="BM283" t="s">
        <v>74</v>
      </c>
      <c r="BN283" t="s">
        <v>74</v>
      </c>
      <c r="BO283" t="s">
        <v>74</v>
      </c>
      <c r="BP283" t="s">
        <v>74</v>
      </c>
      <c r="BQ283" t="s">
        <v>74</v>
      </c>
      <c r="BR283" t="s">
        <v>74</v>
      </c>
      <c r="BS283" t="s">
        <v>2663</v>
      </c>
      <c r="BT283" t="str">
        <f>HYPERLINK("https%3A%2F%2Fwww.webofscience.com%2Fwos%2Fwoscc%2Ffull-record%2FWOS:000966667300001","View Full Record in Web of Science")</f>
        <v>View Full Record in Web of Science</v>
      </c>
    </row>
    <row r="284" spans="1:72" x14ac:dyDescent="0.25">
      <c r="A284" t="s">
        <v>72</v>
      </c>
      <c r="B284" t="s">
        <v>428</v>
      </c>
      <c r="C284" t="s">
        <v>74</v>
      </c>
      <c r="D284" t="s">
        <v>74</v>
      </c>
      <c r="E284" t="s">
        <v>74</v>
      </c>
      <c r="F284" t="s">
        <v>429</v>
      </c>
      <c r="G284" t="s">
        <v>74</v>
      </c>
      <c r="H284" t="s">
        <v>74</v>
      </c>
      <c r="I284" t="s">
        <v>2664</v>
      </c>
      <c r="J284" t="s">
        <v>431</v>
      </c>
      <c r="K284" t="s">
        <v>74</v>
      </c>
      <c r="L284" t="s">
        <v>74</v>
      </c>
      <c r="M284" t="s">
        <v>74</v>
      </c>
      <c r="N284" t="s">
        <v>74</v>
      </c>
      <c r="O284" t="s">
        <v>74</v>
      </c>
      <c r="P284" t="s">
        <v>74</v>
      </c>
      <c r="Q284" t="s">
        <v>74</v>
      </c>
      <c r="R284" t="s">
        <v>74</v>
      </c>
      <c r="S284" t="s">
        <v>74</v>
      </c>
      <c r="T284" t="s">
        <v>74</v>
      </c>
      <c r="U284" t="s">
        <v>74</v>
      </c>
      <c r="V284" t="s">
        <v>2665</v>
      </c>
      <c r="W284" t="s">
        <v>74</v>
      </c>
      <c r="X284" t="s">
        <v>74</v>
      </c>
      <c r="Y284" t="s">
        <v>74</v>
      </c>
      <c r="Z284" t="s">
        <v>74</v>
      </c>
      <c r="AA284" t="s">
        <v>74</v>
      </c>
      <c r="AB284" t="s">
        <v>74</v>
      </c>
      <c r="AC284" t="s">
        <v>74</v>
      </c>
      <c r="AD284" t="s">
        <v>74</v>
      </c>
      <c r="AE284" t="s">
        <v>74</v>
      </c>
      <c r="AF284" t="s">
        <v>74</v>
      </c>
      <c r="AG284" t="s">
        <v>74</v>
      </c>
      <c r="AH284" t="s">
        <v>74</v>
      </c>
      <c r="AI284" t="s">
        <v>74</v>
      </c>
      <c r="AJ284" t="s">
        <v>74</v>
      </c>
      <c r="AK284" t="s">
        <v>74</v>
      </c>
      <c r="AL284" t="s">
        <v>74</v>
      </c>
      <c r="AM284" t="s">
        <v>74</v>
      </c>
      <c r="AN284" t="s">
        <v>74</v>
      </c>
      <c r="AO284" t="s">
        <v>433</v>
      </c>
      <c r="AP284" t="s">
        <v>434</v>
      </c>
      <c r="AQ284" t="s">
        <v>74</v>
      </c>
      <c r="AR284" t="s">
        <v>74</v>
      </c>
      <c r="AS284" t="s">
        <v>74</v>
      </c>
      <c r="AT284" t="s">
        <v>465</v>
      </c>
      <c r="AU284">
        <v>2022</v>
      </c>
      <c r="AV284">
        <v>55</v>
      </c>
      <c r="AW284">
        <v>12</v>
      </c>
      <c r="AX284" t="s">
        <v>74</v>
      </c>
      <c r="AY284" t="s">
        <v>74</v>
      </c>
      <c r="AZ284" t="s">
        <v>74</v>
      </c>
      <c r="BA284" t="s">
        <v>74</v>
      </c>
      <c r="BB284">
        <v>150</v>
      </c>
      <c r="BC284">
        <v>155</v>
      </c>
      <c r="BD284" t="s">
        <v>74</v>
      </c>
      <c r="BE284" t="s">
        <v>2666</v>
      </c>
      <c r="BF284" t="str">
        <f>HYPERLINK("http://dx.doi.org/10.1109/MC.2022.3204978","http://dx.doi.org/10.1109/MC.2022.3204978")</f>
        <v>http://dx.doi.org/10.1109/MC.2022.3204978</v>
      </c>
      <c r="BG284" t="s">
        <v>74</v>
      </c>
      <c r="BH284" t="s">
        <v>74</v>
      </c>
      <c r="BI284" t="s">
        <v>74</v>
      </c>
      <c r="BJ284" t="s">
        <v>74</v>
      </c>
      <c r="BK284" t="s">
        <v>74</v>
      </c>
      <c r="BL284" t="s">
        <v>74</v>
      </c>
      <c r="BM284" t="s">
        <v>74</v>
      </c>
      <c r="BN284" t="s">
        <v>74</v>
      </c>
      <c r="BO284" t="s">
        <v>74</v>
      </c>
      <c r="BP284" t="s">
        <v>74</v>
      </c>
      <c r="BQ284" t="s">
        <v>74</v>
      </c>
      <c r="BR284" t="s">
        <v>74</v>
      </c>
      <c r="BS284" t="s">
        <v>2667</v>
      </c>
      <c r="BT284" t="str">
        <f>HYPERLINK("https%3A%2F%2Fwww.webofscience.com%2Fwos%2Fwoscc%2Ffull-record%2FWOS:000898941900017","View Full Record in Web of Science")</f>
        <v>View Full Record in Web of Science</v>
      </c>
    </row>
    <row r="285" spans="1:72" x14ac:dyDescent="0.25">
      <c r="A285" t="s">
        <v>72</v>
      </c>
      <c r="B285" t="s">
        <v>2668</v>
      </c>
      <c r="C285" t="s">
        <v>74</v>
      </c>
      <c r="D285" t="s">
        <v>74</v>
      </c>
      <c r="E285" t="s">
        <v>74</v>
      </c>
      <c r="F285" t="s">
        <v>2669</v>
      </c>
      <c r="G285" t="s">
        <v>74</v>
      </c>
      <c r="H285" t="s">
        <v>74</v>
      </c>
      <c r="I285" t="s">
        <v>2670</v>
      </c>
      <c r="J285" t="s">
        <v>616</v>
      </c>
      <c r="K285" t="s">
        <v>74</v>
      </c>
      <c r="L285" t="s">
        <v>74</v>
      </c>
      <c r="M285" t="s">
        <v>74</v>
      </c>
      <c r="N285" t="s">
        <v>74</v>
      </c>
      <c r="O285" t="s">
        <v>74</v>
      </c>
      <c r="P285" t="s">
        <v>74</v>
      </c>
      <c r="Q285" t="s">
        <v>74</v>
      </c>
      <c r="R285" t="s">
        <v>74</v>
      </c>
      <c r="S285" t="s">
        <v>74</v>
      </c>
      <c r="T285" t="s">
        <v>74</v>
      </c>
      <c r="U285" t="s">
        <v>74</v>
      </c>
      <c r="V285" t="s">
        <v>2671</v>
      </c>
      <c r="W285" t="s">
        <v>74</v>
      </c>
      <c r="X285" t="s">
        <v>74</v>
      </c>
      <c r="Y285" t="s">
        <v>74</v>
      </c>
      <c r="Z285" t="s">
        <v>74</v>
      </c>
      <c r="AA285" t="s">
        <v>74</v>
      </c>
      <c r="AB285" t="s">
        <v>74</v>
      </c>
      <c r="AC285" t="s">
        <v>74</v>
      </c>
      <c r="AD285" t="s">
        <v>74</v>
      </c>
      <c r="AE285" t="s">
        <v>74</v>
      </c>
      <c r="AF285" t="s">
        <v>74</v>
      </c>
      <c r="AG285" t="s">
        <v>74</v>
      </c>
      <c r="AH285" t="s">
        <v>74</v>
      </c>
      <c r="AI285" t="s">
        <v>74</v>
      </c>
      <c r="AJ285" t="s">
        <v>74</v>
      </c>
      <c r="AK285" t="s">
        <v>74</v>
      </c>
      <c r="AL285" t="s">
        <v>74</v>
      </c>
      <c r="AM285" t="s">
        <v>74</v>
      </c>
      <c r="AN285" t="s">
        <v>74</v>
      </c>
      <c r="AO285" t="s">
        <v>619</v>
      </c>
      <c r="AP285" t="s">
        <v>620</v>
      </c>
      <c r="AQ285" t="s">
        <v>74</v>
      </c>
      <c r="AR285" t="s">
        <v>74</v>
      </c>
      <c r="AS285" t="s">
        <v>74</v>
      </c>
      <c r="AT285" t="s">
        <v>1409</v>
      </c>
      <c r="AU285">
        <v>2023</v>
      </c>
      <c r="AV285">
        <v>143</v>
      </c>
      <c r="AW285" t="s">
        <v>74</v>
      </c>
      <c r="AX285" t="s">
        <v>74</v>
      </c>
      <c r="AY285" t="s">
        <v>74</v>
      </c>
      <c r="AZ285" t="s">
        <v>74</v>
      </c>
      <c r="BA285" t="s">
        <v>74</v>
      </c>
      <c r="BB285">
        <v>51</v>
      </c>
      <c r="BC285">
        <v>60</v>
      </c>
      <c r="BD285" t="s">
        <v>74</v>
      </c>
      <c r="BE285" t="s">
        <v>2672</v>
      </c>
      <c r="BF285" t="str">
        <f>HYPERLINK("http://dx.doi.org/10.1016/j.future.2022.12.043","http://dx.doi.org/10.1016/j.future.2022.12.043")</f>
        <v>http://dx.doi.org/10.1016/j.future.2022.12.043</v>
      </c>
      <c r="BG285" t="s">
        <v>74</v>
      </c>
      <c r="BH285" t="s">
        <v>218</v>
      </c>
      <c r="BI285" t="s">
        <v>74</v>
      </c>
      <c r="BJ285" t="s">
        <v>74</v>
      </c>
      <c r="BK285" t="s">
        <v>74</v>
      </c>
      <c r="BL285" t="s">
        <v>74</v>
      </c>
      <c r="BM285" t="s">
        <v>74</v>
      </c>
      <c r="BN285" t="s">
        <v>74</v>
      </c>
      <c r="BO285" t="s">
        <v>74</v>
      </c>
      <c r="BP285" t="s">
        <v>74</v>
      </c>
      <c r="BQ285" t="s">
        <v>74</v>
      </c>
      <c r="BR285" t="s">
        <v>74</v>
      </c>
      <c r="BS285" t="s">
        <v>2673</v>
      </c>
      <c r="BT285" t="str">
        <f>HYPERLINK("https%3A%2F%2Fwww.webofscience.com%2Fwos%2Fwoscc%2Ffull-record%2FWOS:000927863900001","View Full Record in Web of Science")</f>
        <v>View Full Record in Web of Science</v>
      </c>
    </row>
    <row r="286" spans="1:72" x14ac:dyDescent="0.25">
      <c r="A286" t="s">
        <v>84</v>
      </c>
      <c r="B286" t="s">
        <v>2460</v>
      </c>
      <c r="C286" t="s">
        <v>74</v>
      </c>
      <c r="D286" t="s">
        <v>74</v>
      </c>
      <c r="E286" t="s">
        <v>86</v>
      </c>
      <c r="F286" t="s">
        <v>2461</v>
      </c>
      <c r="G286" t="s">
        <v>74</v>
      </c>
      <c r="H286" t="s">
        <v>74</v>
      </c>
      <c r="I286" t="s">
        <v>2674</v>
      </c>
      <c r="J286" t="s">
        <v>2463</v>
      </c>
      <c r="K286" t="s">
        <v>2464</v>
      </c>
      <c r="L286" t="s">
        <v>74</v>
      </c>
      <c r="M286" t="s">
        <v>74</v>
      </c>
      <c r="N286" t="s">
        <v>74</v>
      </c>
      <c r="O286" t="s">
        <v>1165</v>
      </c>
      <c r="P286" t="s">
        <v>1166</v>
      </c>
      <c r="Q286" t="s">
        <v>1167</v>
      </c>
      <c r="R286" t="s">
        <v>1168</v>
      </c>
      <c r="S286" t="s">
        <v>74</v>
      </c>
      <c r="T286" t="s">
        <v>74</v>
      </c>
      <c r="U286" t="s">
        <v>74</v>
      </c>
      <c r="V286" t="s">
        <v>2675</v>
      </c>
      <c r="W286" t="s">
        <v>74</v>
      </c>
      <c r="X286" t="s">
        <v>74</v>
      </c>
      <c r="Y286" t="s">
        <v>74</v>
      </c>
      <c r="Z286" t="s">
        <v>74</v>
      </c>
      <c r="AA286" t="s">
        <v>2676</v>
      </c>
      <c r="AB286" t="s">
        <v>2677</v>
      </c>
      <c r="AC286" t="s">
        <v>74</v>
      </c>
      <c r="AD286" t="s">
        <v>74</v>
      </c>
      <c r="AE286" t="s">
        <v>74</v>
      </c>
      <c r="AF286" t="s">
        <v>74</v>
      </c>
      <c r="AG286" t="s">
        <v>74</v>
      </c>
      <c r="AH286" t="s">
        <v>74</v>
      </c>
      <c r="AI286" t="s">
        <v>74</v>
      </c>
      <c r="AJ286" t="s">
        <v>74</v>
      </c>
      <c r="AK286" t="s">
        <v>74</v>
      </c>
      <c r="AL286" t="s">
        <v>74</v>
      </c>
      <c r="AM286" t="s">
        <v>74</v>
      </c>
      <c r="AN286" t="s">
        <v>74</v>
      </c>
      <c r="AO286" t="s">
        <v>2468</v>
      </c>
      <c r="AP286" t="s">
        <v>74</v>
      </c>
      <c r="AQ286" t="s">
        <v>2469</v>
      </c>
      <c r="AR286" t="s">
        <v>74</v>
      </c>
      <c r="AS286" t="s">
        <v>74</v>
      </c>
      <c r="AT286" t="s">
        <v>74</v>
      </c>
      <c r="AU286">
        <v>2022</v>
      </c>
      <c r="AV286" t="s">
        <v>74</v>
      </c>
      <c r="AW286" t="s">
        <v>74</v>
      </c>
      <c r="AX286" t="s">
        <v>74</v>
      </c>
      <c r="AY286" t="s">
        <v>74</v>
      </c>
      <c r="AZ286" t="s">
        <v>74</v>
      </c>
      <c r="BA286" t="s">
        <v>74</v>
      </c>
      <c r="BB286" t="s">
        <v>74</v>
      </c>
      <c r="BC286" t="s">
        <v>74</v>
      </c>
      <c r="BD286" t="s">
        <v>74</v>
      </c>
      <c r="BE286" t="s">
        <v>2678</v>
      </c>
      <c r="BF286" t="str">
        <f>HYPERLINK("http://dx.doi.org/10.1109/IJCNN55064.2022.9892657","http://dx.doi.org/10.1109/IJCNN55064.2022.9892657")</f>
        <v>http://dx.doi.org/10.1109/IJCNN55064.2022.9892657</v>
      </c>
      <c r="BG286" t="s">
        <v>74</v>
      </c>
      <c r="BH286" t="s">
        <v>74</v>
      </c>
      <c r="BI286" t="s">
        <v>74</v>
      </c>
      <c r="BJ286" t="s">
        <v>74</v>
      </c>
      <c r="BK286" t="s">
        <v>74</v>
      </c>
      <c r="BL286" t="s">
        <v>74</v>
      </c>
      <c r="BM286" t="s">
        <v>74</v>
      </c>
      <c r="BN286" t="s">
        <v>74</v>
      </c>
      <c r="BO286" t="s">
        <v>74</v>
      </c>
      <c r="BP286" t="s">
        <v>74</v>
      </c>
      <c r="BQ286" t="s">
        <v>74</v>
      </c>
      <c r="BR286" t="s">
        <v>74</v>
      </c>
      <c r="BS286" t="s">
        <v>2679</v>
      </c>
      <c r="BT286" t="str">
        <f>HYPERLINK("https%3A%2F%2Fwww.webofscience.com%2Fwos%2Fwoscc%2Ffull-record%2FWOS:000867070906041","View Full Record in Web of Science")</f>
        <v>View Full Record in Web of Science</v>
      </c>
    </row>
    <row r="287" spans="1:72" x14ac:dyDescent="0.25">
      <c r="A287" t="s">
        <v>84</v>
      </c>
      <c r="B287" t="s">
        <v>2680</v>
      </c>
      <c r="C287" t="s">
        <v>74</v>
      </c>
      <c r="D287" t="s">
        <v>2681</v>
      </c>
      <c r="E287" t="s">
        <v>74</v>
      </c>
      <c r="F287" t="s">
        <v>2682</v>
      </c>
      <c r="G287" t="s">
        <v>74</v>
      </c>
      <c r="H287" t="s">
        <v>74</v>
      </c>
      <c r="I287" t="s">
        <v>2683</v>
      </c>
      <c r="J287" t="s">
        <v>2684</v>
      </c>
      <c r="K287" t="s">
        <v>2685</v>
      </c>
      <c r="L287" t="s">
        <v>74</v>
      </c>
      <c r="M287" t="s">
        <v>74</v>
      </c>
      <c r="N287" t="s">
        <v>74</v>
      </c>
      <c r="O287" t="s">
        <v>2686</v>
      </c>
      <c r="P287" t="s">
        <v>2687</v>
      </c>
      <c r="Q287" t="s">
        <v>2688</v>
      </c>
      <c r="R287" t="s">
        <v>2689</v>
      </c>
      <c r="S287" t="s">
        <v>74</v>
      </c>
      <c r="T287" t="s">
        <v>74</v>
      </c>
      <c r="U287" t="s">
        <v>74</v>
      </c>
      <c r="V287" t="s">
        <v>2690</v>
      </c>
      <c r="W287" t="s">
        <v>74</v>
      </c>
      <c r="X287" t="s">
        <v>74</v>
      </c>
      <c r="Y287" t="s">
        <v>74</v>
      </c>
      <c r="Z287" t="s">
        <v>74</v>
      </c>
      <c r="AA287" t="s">
        <v>2691</v>
      </c>
      <c r="AB287" t="s">
        <v>2692</v>
      </c>
      <c r="AC287" t="s">
        <v>74</v>
      </c>
      <c r="AD287" t="s">
        <v>74</v>
      </c>
      <c r="AE287" t="s">
        <v>74</v>
      </c>
      <c r="AF287" t="s">
        <v>74</v>
      </c>
      <c r="AG287" t="s">
        <v>74</v>
      </c>
      <c r="AH287" t="s">
        <v>74</v>
      </c>
      <c r="AI287" t="s">
        <v>74</v>
      </c>
      <c r="AJ287" t="s">
        <v>74</v>
      </c>
      <c r="AK287" t="s">
        <v>74</v>
      </c>
      <c r="AL287" t="s">
        <v>74</v>
      </c>
      <c r="AM287" t="s">
        <v>74</v>
      </c>
      <c r="AN287" t="s">
        <v>74</v>
      </c>
      <c r="AO287" t="s">
        <v>2693</v>
      </c>
      <c r="AP287" t="s">
        <v>74</v>
      </c>
      <c r="AQ287" t="s">
        <v>2694</v>
      </c>
      <c r="AR287" t="s">
        <v>74</v>
      </c>
      <c r="AS287" t="s">
        <v>74</v>
      </c>
      <c r="AT287" t="s">
        <v>74</v>
      </c>
      <c r="AU287">
        <v>2022</v>
      </c>
      <c r="AV287" t="s">
        <v>74</v>
      </c>
      <c r="AW287" t="s">
        <v>74</v>
      </c>
      <c r="AX287" t="s">
        <v>74</v>
      </c>
      <c r="AY287" t="s">
        <v>74</v>
      </c>
      <c r="AZ287" t="s">
        <v>74</v>
      </c>
      <c r="BA287" t="s">
        <v>74</v>
      </c>
      <c r="BB287">
        <v>1814</v>
      </c>
      <c r="BC287">
        <v>1821</v>
      </c>
      <c r="BD287" t="s">
        <v>74</v>
      </c>
      <c r="BE287" t="s">
        <v>2695</v>
      </c>
      <c r="BF287" t="str">
        <f>HYPERLINK("http://dx.doi.org/10.1109/EDUCON52537.2022.9766497","http://dx.doi.org/10.1109/EDUCON52537.2022.9766497")</f>
        <v>http://dx.doi.org/10.1109/EDUCON52537.2022.9766497</v>
      </c>
      <c r="BG287" t="s">
        <v>74</v>
      </c>
      <c r="BH287" t="s">
        <v>74</v>
      </c>
      <c r="BI287" t="s">
        <v>74</v>
      </c>
      <c r="BJ287" t="s">
        <v>74</v>
      </c>
      <c r="BK287" t="s">
        <v>74</v>
      </c>
      <c r="BL287" t="s">
        <v>74</v>
      </c>
      <c r="BM287" t="s">
        <v>74</v>
      </c>
      <c r="BN287" t="s">
        <v>74</v>
      </c>
      <c r="BO287" t="s">
        <v>74</v>
      </c>
      <c r="BP287" t="s">
        <v>74</v>
      </c>
      <c r="BQ287" t="s">
        <v>74</v>
      </c>
      <c r="BR287" t="s">
        <v>74</v>
      </c>
      <c r="BS287" t="s">
        <v>2696</v>
      </c>
      <c r="BT287" t="str">
        <f>HYPERLINK("https%3A%2F%2Fwww.webofscience.com%2Fwos%2Fwoscc%2Ffull-record%2FWOS:000836390500265","View Full Record in Web of Science")</f>
        <v>View Full Record in Web of Science</v>
      </c>
    </row>
    <row r="288" spans="1:72" x14ac:dyDescent="0.25">
      <c r="A288" t="s">
        <v>72</v>
      </c>
      <c r="B288" t="s">
        <v>2697</v>
      </c>
      <c r="C288" t="s">
        <v>74</v>
      </c>
      <c r="D288" t="s">
        <v>74</v>
      </c>
      <c r="E288" t="s">
        <v>74</v>
      </c>
      <c r="F288" t="s">
        <v>2698</v>
      </c>
      <c r="G288" t="s">
        <v>74</v>
      </c>
      <c r="H288" t="s">
        <v>74</v>
      </c>
      <c r="I288" t="s">
        <v>2699</v>
      </c>
      <c r="J288" t="s">
        <v>883</v>
      </c>
      <c r="K288" t="s">
        <v>74</v>
      </c>
      <c r="L288" t="s">
        <v>74</v>
      </c>
      <c r="M288" t="s">
        <v>74</v>
      </c>
      <c r="N288" t="s">
        <v>74</v>
      </c>
      <c r="O288" t="s">
        <v>74</v>
      </c>
      <c r="P288" t="s">
        <v>74</v>
      </c>
      <c r="Q288" t="s">
        <v>74</v>
      </c>
      <c r="R288" t="s">
        <v>74</v>
      </c>
      <c r="S288" t="s">
        <v>74</v>
      </c>
      <c r="T288" t="s">
        <v>74</v>
      </c>
      <c r="U288" t="s">
        <v>74</v>
      </c>
      <c r="V288" t="s">
        <v>2700</v>
      </c>
      <c r="W288" t="s">
        <v>74</v>
      </c>
      <c r="X288" t="s">
        <v>74</v>
      </c>
      <c r="Y288" t="s">
        <v>74</v>
      </c>
      <c r="Z288" t="s">
        <v>74</v>
      </c>
      <c r="AA288" t="s">
        <v>74</v>
      </c>
      <c r="AB288" t="s">
        <v>74</v>
      </c>
      <c r="AC288" t="s">
        <v>74</v>
      </c>
      <c r="AD288" t="s">
        <v>74</v>
      </c>
      <c r="AE288" t="s">
        <v>74</v>
      </c>
      <c r="AF288" t="s">
        <v>74</v>
      </c>
      <c r="AG288" t="s">
        <v>74</v>
      </c>
      <c r="AH288" t="s">
        <v>74</v>
      </c>
      <c r="AI288" t="s">
        <v>74</v>
      </c>
      <c r="AJ288" t="s">
        <v>74</v>
      </c>
      <c r="AK288" t="s">
        <v>74</v>
      </c>
      <c r="AL288" t="s">
        <v>74</v>
      </c>
      <c r="AM288" t="s">
        <v>74</v>
      </c>
      <c r="AN288" t="s">
        <v>74</v>
      </c>
      <c r="AO288" t="s">
        <v>885</v>
      </c>
      <c r="AP288" t="s">
        <v>886</v>
      </c>
      <c r="AQ288" t="s">
        <v>74</v>
      </c>
      <c r="AR288" t="s">
        <v>74</v>
      </c>
      <c r="AS288" t="s">
        <v>74</v>
      </c>
      <c r="AT288" t="s">
        <v>465</v>
      </c>
      <c r="AU288">
        <v>2022</v>
      </c>
      <c r="AV288">
        <v>26</v>
      </c>
      <c r="AW288">
        <v>4</v>
      </c>
      <c r="AX288" t="s">
        <v>74</v>
      </c>
      <c r="AY288" t="s">
        <v>74</v>
      </c>
      <c r="AZ288" t="s">
        <v>74</v>
      </c>
      <c r="BA288" t="s">
        <v>74</v>
      </c>
      <c r="BB288">
        <v>1443</v>
      </c>
      <c r="BC288">
        <v>1458</v>
      </c>
      <c r="BD288" t="s">
        <v>74</v>
      </c>
      <c r="BE288" t="s">
        <v>2701</v>
      </c>
      <c r="BF288" t="str">
        <f>HYPERLINK("http://dx.doi.org/10.1007/s10055-022-00641-7","http://dx.doi.org/10.1007/s10055-022-00641-7")</f>
        <v>http://dx.doi.org/10.1007/s10055-022-00641-7</v>
      </c>
      <c r="BG288" t="s">
        <v>74</v>
      </c>
      <c r="BH288" t="s">
        <v>2702</v>
      </c>
      <c r="BI288" t="s">
        <v>74</v>
      </c>
      <c r="BJ288" t="s">
        <v>74</v>
      </c>
      <c r="BK288" t="s">
        <v>74</v>
      </c>
      <c r="BL288" t="s">
        <v>74</v>
      </c>
      <c r="BM288" t="s">
        <v>74</v>
      </c>
      <c r="BN288" t="s">
        <v>74</v>
      </c>
      <c r="BO288" t="s">
        <v>74</v>
      </c>
      <c r="BP288" t="s">
        <v>74</v>
      </c>
      <c r="BQ288" t="s">
        <v>74</v>
      </c>
      <c r="BR288" t="s">
        <v>74</v>
      </c>
      <c r="BS288" t="s">
        <v>2703</v>
      </c>
      <c r="BT288" t="str">
        <f>HYPERLINK("https%3A%2F%2Fwww.webofscience.com%2Fwos%2Fwoscc%2Ffull-record%2FWOS:000769336000001","View Full Record in Web of Science")</f>
        <v>View Full Record in Web of Science</v>
      </c>
    </row>
    <row r="289" spans="1:72" x14ac:dyDescent="0.25">
      <c r="A289" t="s">
        <v>84</v>
      </c>
      <c r="B289" t="s">
        <v>2704</v>
      </c>
      <c r="C289" t="s">
        <v>74</v>
      </c>
      <c r="D289" t="s">
        <v>2705</v>
      </c>
      <c r="E289" t="s">
        <v>86</v>
      </c>
      <c r="F289" t="s">
        <v>2706</v>
      </c>
      <c r="G289" t="s">
        <v>74</v>
      </c>
      <c r="H289" t="s">
        <v>74</v>
      </c>
      <c r="I289" t="s">
        <v>2707</v>
      </c>
      <c r="J289" t="s">
        <v>2708</v>
      </c>
      <c r="K289" t="s">
        <v>74</v>
      </c>
      <c r="L289" t="s">
        <v>74</v>
      </c>
      <c r="M289" t="s">
        <v>74</v>
      </c>
      <c r="N289" t="s">
        <v>74</v>
      </c>
      <c r="O289" t="s">
        <v>2709</v>
      </c>
      <c r="P289" t="s">
        <v>2710</v>
      </c>
      <c r="Q289" t="s">
        <v>2711</v>
      </c>
      <c r="R289" t="s">
        <v>86</v>
      </c>
      <c r="S289" t="s">
        <v>74</v>
      </c>
      <c r="T289" t="s">
        <v>74</v>
      </c>
      <c r="U289" t="s">
        <v>74</v>
      </c>
      <c r="V289" t="s">
        <v>2712</v>
      </c>
      <c r="W289" t="s">
        <v>74</v>
      </c>
      <c r="X289" t="s">
        <v>74</v>
      </c>
      <c r="Y289" t="s">
        <v>74</v>
      </c>
      <c r="Z289" t="s">
        <v>74</v>
      </c>
      <c r="AA289" t="s">
        <v>74</v>
      </c>
      <c r="AB289" t="s">
        <v>74</v>
      </c>
      <c r="AC289" t="s">
        <v>74</v>
      </c>
      <c r="AD289" t="s">
        <v>74</v>
      </c>
      <c r="AE289" t="s">
        <v>74</v>
      </c>
      <c r="AF289" t="s">
        <v>74</v>
      </c>
      <c r="AG289" t="s">
        <v>74</v>
      </c>
      <c r="AH289" t="s">
        <v>74</v>
      </c>
      <c r="AI289" t="s">
        <v>74</v>
      </c>
      <c r="AJ289" t="s">
        <v>74</v>
      </c>
      <c r="AK289" t="s">
        <v>74</v>
      </c>
      <c r="AL289" t="s">
        <v>74</v>
      </c>
      <c r="AM289" t="s">
        <v>74</v>
      </c>
      <c r="AN289" t="s">
        <v>74</v>
      </c>
      <c r="AO289" t="s">
        <v>74</v>
      </c>
      <c r="AP289" t="s">
        <v>74</v>
      </c>
      <c r="AQ289" t="s">
        <v>2713</v>
      </c>
      <c r="AR289" t="s">
        <v>74</v>
      </c>
      <c r="AS289" t="s">
        <v>74</v>
      </c>
      <c r="AT289" t="s">
        <v>74</v>
      </c>
      <c r="AU289">
        <v>2022</v>
      </c>
      <c r="AV289" t="s">
        <v>74</v>
      </c>
      <c r="AW289" t="s">
        <v>74</v>
      </c>
      <c r="AX289" t="s">
        <v>74</v>
      </c>
      <c r="AY289" t="s">
        <v>74</v>
      </c>
      <c r="AZ289" t="s">
        <v>74</v>
      </c>
      <c r="BA289" t="s">
        <v>74</v>
      </c>
      <c r="BB289" t="s">
        <v>74</v>
      </c>
      <c r="BC289" t="s">
        <v>74</v>
      </c>
      <c r="BD289" t="s">
        <v>74</v>
      </c>
      <c r="BE289" t="s">
        <v>2714</v>
      </c>
      <c r="BF289" t="str">
        <f>HYPERLINK("http://dx.doi.org/10.1109/GEM56474.2022.10017701","http://dx.doi.org/10.1109/GEM56474.2022.10017701")</f>
        <v>http://dx.doi.org/10.1109/GEM56474.2022.10017701</v>
      </c>
      <c r="BG289" t="s">
        <v>74</v>
      </c>
      <c r="BH289" t="s">
        <v>74</v>
      </c>
      <c r="BI289" t="s">
        <v>74</v>
      </c>
      <c r="BJ289" t="s">
        <v>74</v>
      </c>
      <c r="BK289" t="s">
        <v>74</v>
      </c>
      <c r="BL289" t="s">
        <v>74</v>
      </c>
      <c r="BM289" t="s">
        <v>74</v>
      </c>
      <c r="BN289" t="s">
        <v>74</v>
      </c>
      <c r="BO289" t="s">
        <v>74</v>
      </c>
      <c r="BP289" t="s">
        <v>74</v>
      </c>
      <c r="BQ289" t="s">
        <v>74</v>
      </c>
      <c r="BR289" t="s">
        <v>74</v>
      </c>
      <c r="BS289" t="s">
        <v>2715</v>
      </c>
      <c r="BT289" t="str">
        <f>HYPERLINK("https%3A%2F%2Fwww.webofscience.com%2Fwos%2Fwoscc%2Ffull-record%2FWOS:000926890300016","View Full Record in Web of Science")</f>
        <v>View Full Record in Web of Science</v>
      </c>
    </row>
    <row r="290" spans="1:72" x14ac:dyDescent="0.25">
      <c r="A290" t="s">
        <v>72</v>
      </c>
      <c r="B290" t="s">
        <v>2716</v>
      </c>
      <c r="C290" t="s">
        <v>74</v>
      </c>
      <c r="D290" t="s">
        <v>74</v>
      </c>
      <c r="E290" t="s">
        <v>74</v>
      </c>
      <c r="F290" t="s">
        <v>2717</v>
      </c>
      <c r="G290" t="s">
        <v>74</v>
      </c>
      <c r="H290" t="s">
        <v>74</v>
      </c>
      <c r="I290" t="s">
        <v>2718</v>
      </c>
      <c r="J290" t="s">
        <v>460</v>
      </c>
      <c r="K290" t="s">
        <v>74</v>
      </c>
      <c r="L290" t="s">
        <v>74</v>
      </c>
      <c r="M290" t="s">
        <v>74</v>
      </c>
      <c r="N290" t="s">
        <v>74</v>
      </c>
      <c r="O290" t="s">
        <v>74</v>
      </c>
      <c r="P290" t="s">
        <v>74</v>
      </c>
      <c r="Q290" t="s">
        <v>74</v>
      </c>
      <c r="R290" t="s">
        <v>74</v>
      </c>
      <c r="S290" t="s">
        <v>74</v>
      </c>
      <c r="T290" t="s">
        <v>74</v>
      </c>
      <c r="U290" t="s">
        <v>74</v>
      </c>
      <c r="V290" t="s">
        <v>2719</v>
      </c>
      <c r="W290" t="s">
        <v>74</v>
      </c>
      <c r="X290" t="s">
        <v>74</v>
      </c>
      <c r="Y290" t="s">
        <v>74</v>
      </c>
      <c r="Z290" t="s">
        <v>74</v>
      </c>
      <c r="AA290" t="s">
        <v>2720</v>
      </c>
      <c r="AB290" t="s">
        <v>2721</v>
      </c>
      <c r="AC290" t="s">
        <v>74</v>
      </c>
      <c r="AD290" t="s">
        <v>74</v>
      </c>
      <c r="AE290" t="s">
        <v>74</v>
      </c>
      <c r="AF290" t="s">
        <v>74</v>
      </c>
      <c r="AG290" t="s">
        <v>74</v>
      </c>
      <c r="AH290" t="s">
        <v>74</v>
      </c>
      <c r="AI290" t="s">
        <v>74</v>
      </c>
      <c r="AJ290" t="s">
        <v>74</v>
      </c>
      <c r="AK290" t="s">
        <v>74</v>
      </c>
      <c r="AL290" t="s">
        <v>74</v>
      </c>
      <c r="AM290" t="s">
        <v>74</v>
      </c>
      <c r="AN290" t="s">
        <v>74</v>
      </c>
      <c r="AO290" t="s">
        <v>74</v>
      </c>
      <c r="AP290" t="s">
        <v>464</v>
      </c>
      <c r="AQ290" t="s">
        <v>74</v>
      </c>
      <c r="AR290" t="s">
        <v>74</v>
      </c>
      <c r="AS290" t="s">
        <v>74</v>
      </c>
      <c r="AT290" t="s">
        <v>366</v>
      </c>
      <c r="AU290">
        <v>2023</v>
      </c>
      <c r="AV290">
        <v>15</v>
      </c>
      <c r="AW290">
        <v>6</v>
      </c>
      <c r="AX290" t="s">
        <v>74</v>
      </c>
      <c r="AY290" t="s">
        <v>74</v>
      </c>
      <c r="AZ290" t="s">
        <v>74</v>
      </c>
      <c r="BA290" t="s">
        <v>74</v>
      </c>
      <c r="BB290" t="s">
        <v>74</v>
      </c>
      <c r="BC290" t="s">
        <v>74</v>
      </c>
      <c r="BD290">
        <v>5046</v>
      </c>
      <c r="BE290" t="s">
        <v>2722</v>
      </c>
      <c r="BF290" t="str">
        <f>HYPERLINK("http://dx.doi.org/10.3390/su15065046","http://dx.doi.org/10.3390/su15065046")</f>
        <v>http://dx.doi.org/10.3390/su15065046</v>
      </c>
      <c r="BG290" t="s">
        <v>74</v>
      </c>
      <c r="BH290" t="s">
        <v>74</v>
      </c>
      <c r="BI290" t="s">
        <v>74</v>
      </c>
      <c r="BJ290" t="s">
        <v>74</v>
      </c>
      <c r="BK290" t="s">
        <v>74</v>
      </c>
      <c r="BL290" t="s">
        <v>74</v>
      </c>
      <c r="BM290" t="s">
        <v>74</v>
      </c>
      <c r="BN290" t="s">
        <v>74</v>
      </c>
      <c r="BO290" t="s">
        <v>74</v>
      </c>
      <c r="BP290" t="s">
        <v>74</v>
      </c>
      <c r="BQ290" t="s">
        <v>74</v>
      </c>
      <c r="BR290" t="s">
        <v>74</v>
      </c>
      <c r="BS290" t="s">
        <v>2723</v>
      </c>
      <c r="BT290" t="str">
        <f>HYPERLINK("https%3A%2F%2Fwww.webofscience.com%2Fwos%2Fwoscc%2Ffull-record%2FWOS:000958893900001","View Full Record in Web of Science")</f>
        <v>View Full Record in Web of Science</v>
      </c>
    </row>
    <row r="291" spans="1:72" x14ac:dyDescent="0.25">
      <c r="A291" t="s">
        <v>72</v>
      </c>
      <c r="B291" t="s">
        <v>2724</v>
      </c>
      <c r="C291" t="s">
        <v>74</v>
      </c>
      <c r="D291" t="s">
        <v>74</v>
      </c>
      <c r="E291" t="s">
        <v>74</v>
      </c>
      <c r="F291" t="s">
        <v>2725</v>
      </c>
      <c r="G291" t="s">
        <v>74</v>
      </c>
      <c r="H291" t="s">
        <v>74</v>
      </c>
      <c r="I291" t="s">
        <v>2726</v>
      </c>
      <c r="J291" t="s">
        <v>817</v>
      </c>
      <c r="K291" t="s">
        <v>74</v>
      </c>
      <c r="L291" t="s">
        <v>74</v>
      </c>
      <c r="M291" t="s">
        <v>74</v>
      </c>
      <c r="N291" t="s">
        <v>74</v>
      </c>
      <c r="O291" t="s">
        <v>74</v>
      </c>
      <c r="P291" t="s">
        <v>74</v>
      </c>
      <c r="Q291" t="s">
        <v>74</v>
      </c>
      <c r="R291" t="s">
        <v>74</v>
      </c>
      <c r="S291" t="s">
        <v>74</v>
      </c>
      <c r="T291" t="s">
        <v>74</v>
      </c>
      <c r="U291" t="s">
        <v>74</v>
      </c>
      <c r="V291" t="s">
        <v>2727</v>
      </c>
      <c r="W291" t="s">
        <v>74</v>
      </c>
      <c r="X291" t="s">
        <v>74</v>
      </c>
      <c r="Y291" t="s">
        <v>74</v>
      </c>
      <c r="Z291" t="s">
        <v>74</v>
      </c>
      <c r="AA291" t="s">
        <v>74</v>
      </c>
      <c r="AB291" t="s">
        <v>2728</v>
      </c>
      <c r="AC291" t="s">
        <v>74</v>
      </c>
      <c r="AD291" t="s">
        <v>74</v>
      </c>
      <c r="AE291" t="s">
        <v>74</v>
      </c>
      <c r="AF291" t="s">
        <v>74</v>
      </c>
      <c r="AG291" t="s">
        <v>74</v>
      </c>
      <c r="AH291" t="s">
        <v>74</v>
      </c>
      <c r="AI291" t="s">
        <v>74</v>
      </c>
      <c r="AJ291" t="s">
        <v>74</v>
      </c>
      <c r="AK291" t="s">
        <v>74</v>
      </c>
      <c r="AL291" t="s">
        <v>74</v>
      </c>
      <c r="AM291" t="s">
        <v>74</v>
      </c>
      <c r="AN291" t="s">
        <v>74</v>
      </c>
      <c r="AO291" t="s">
        <v>820</v>
      </c>
      <c r="AP291" t="s">
        <v>74</v>
      </c>
      <c r="AQ291" t="s">
        <v>74</v>
      </c>
      <c r="AR291" t="s">
        <v>74</v>
      </c>
      <c r="AS291" t="s">
        <v>74</v>
      </c>
      <c r="AT291" t="s">
        <v>74</v>
      </c>
      <c r="AU291" t="s">
        <v>74</v>
      </c>
      <c r="AV291" t="s">
        <v>74</v>
      </c>
      <c r="AW291" t="s">
        <v>74</v>
      </c>
      <c r="AX291" t="s">
        <v>74</v>
      </c>
      <c r="AY291" t="s">
        <v>74</v>
      </c>
      <c r="AZ291" t="s">
        <v>74</v>
      </c>
      <c r="BA291" t="s">
        <v>74</v>
      </c>
      <c r="BB291" t="s">
        <v>74</v>
      </c>
      <c r="BC291" t="s">
        <v>74</v>
      </c>
      <c r="BD291" t="s">
        <v>74</v>
      </c>
      <c r="BE291" t="s">
        <v>2729</v>
      </c>
      <c r="BF291" t="str">
        <f>HYPERLINK("http://dx.doi.org/10.1109/TCSS.2023.3239059","http://dx.doi.org/10.1109/TCSS.2023.3239059")</f>
        <v>http://dx.doi.org/10.1109/TCSS.2023.3239059</v>
      </c>
      <c r="BG291" t="s">
        <v>74</v>
      </c>
      <c r="BH291" t="s">
        <v>151</v>
      </c>
      <c r="BI291" t="s">
        <v>74</v>
      </c>
      <c r="BJ291" t="s">
        <v>74</v>
      </c>
      <c r="BK291" t="s">
        <v>74</v>
      </c>
      <c r="BL291" t="s">
        <v>74</v>
      </c>
      <c r="BM291" t="s">
        <v>74</v>
      </c>
      <c r="BN291" t="s">
        <v>74</v>
      </c>
      <c r="BO291" t="s">
        <v>74</v>
      </c>
      <c r="BP291" t="s">
        <v>74</v>
      </c>
      <c r="BQ291" t="s">
        <v>74</v>
      </c>
      <c r="BR291" t="s">
        <v>74</v>
      </c>
      <c r="BS291" t="s">
        <v>2730</v>
      </c>
      <c r="BT291" t="str">
        <f>HYPERLINK("https%3A%2F%2Fwww.webofscience.com%2Fwos%2Fwoscc%2Ffull-record%2FWOS:000935660100001","View Full Record in Web of Science")</f>
        <v>View Full Record in Web of Science</v>
      </c>
    </row>
    <row r="292" spans="1:72" x14ac:dyDescent="0.25">
      <c r="A292" t="s">
        <v>84</v>
      </c>
      <c r="B292" t="s">
        <v>2731</v>
      </c>
      <c r="C292" t="s">
        <v>74</v>
      </c>
      <c r="D292" t="s">
        <v>74</v>
      </c>
      <c r="E292" t="s">
        <v>86</v>
      </c>
      <c r="F292" t="s">
        <v>2732</v>
      </c>
      <c r="G292" t="s">
        <v>74</v>
      </c>
      <c r="H292" t="s">
        <v>74</v>
      </c>
      <c r="I292" t="s">
        <v>2733</v>
      </c>
      <c r="J292" t="s">
        <v>2734</v>
      </c>
      <c r="K292" t="s">
        <v>74</v>
      </c>
      <c r="L292" t="s">
        <v>74</v>
      </c>
      <c r="M292" t="s">
        <v>74</v>
      </c>
      <c r="N292" t="s">
        <v>74</v>
      </c>
      <c r="O292" t="s">
        <v>2735</v>
      </c>
      <c r="P292" t="s">
        <v>2736</v>
      </c>
      <c r="Q292" t="s">
        <v>2737</v>
      </c>
      <c r="R292" t="s">
        <v>2738</v>
      </c>
      <c r="S292" t="s">
        <v>74</v>
      </c>
      <c r="T292" t="s">
        <v>74</v>
      </c>
      <c r="U292" t="s">
        <v>74</v>
      </c>
      <c r="V292" t="s">
        <v>2739</v>
      </c>
      <c r="W292" t="s">
        <v>74</v>
      </c>
      <c r="X292" t="s">
        <v>74</v>
      </c>
      <c r="Y292" t="s">
        <v>74</v>
      </c>
      <c r="Z292" t="s">
        <v>74</v>
      </c>
      <c r="AA292" t="s">
        <v>74</v>
      </c>
      <c r="AB292" t="s">
        <v>74</v>
      </c>
      <c r="AC292" t="s">
        <v>74</v>
      </c>
      <c r="AD292" t="s">
        <v>74</v>
      </c>
      <c r="AE292" t="s">
        <v>74</v>
      </c>
      <c r="AF292" t="s">
        <v>74</v>
      </c>
      <c r="AG292" t="s">
        <v>74</v>
      </c>
      <c r="AH292" t="s">
        <v>74</v>
      </c>
      <c r="AI292" t="s">
        <v>74</v>
      </c>
      <c r="AJ292" t="s">
        <v>74</v>
      </c>
      <c r="AK292" t="s">
        <v>74</v>
      </c>
      <c r="AL292" t="s">
        <v>74</v>
      </c>
      <c r="AM292" t="s">
        <v>74</v>
      </c>
      <c r="AN292" t="s">
        <v>74</v>
      </c>
      <c r="AO292" t="s">
        <v>74</v>
      </c>
      <c r="AP292" t="s">
        <v>74</v>
      </c>
      <c r="AQ292" t="s">
        <v>2740</v>
      </c>
      <c r="AR292" t="s">
        <v>74</v>
      </c>
      <c r="AS292" t="s">
        <v>74</v>
      </c>
      <c r="AT292" t="s">
        <v>74</v>
      </c>
      <c r="AU292">
        <v>2022</v>
      </c>
      <c r="AV292" t="s">
        <v>74</v>
      </c>
      <c r="AW292" t="s">
        <v>74</v>
      </c>
      <c r="AX292" t="s">
        <v>74</v>
      </c>
      <c r="AY292" t="s">
        <v>74</v>
      </c>
      <c r="AZ292" t="s">
        <v>74</v>
      </c>
      <c r="BA292" t="s">
        <v>74</v>
      </c>
      <c r="BB292" t="s">
        <v>2741</v>
      </c>
      <c r="BC292" t="s">
        <v>2741</v>
      </c>
      <c r="BD292" t="s">
        <v>74</v>
      </c>
      <c r="BE292" t="s">
        <v>74</v>
      </c>
      <c r="BF292" t="s">
        <v>74</v>
      </c>
      <c r="BG292" t="s">
        <v>74</v>
      </c>
      <c r="BH292" t="s">
        <v>74</v>
      </c>
      <c r="BI292" t="s">
        <v>74</v>
      </c>
      <c r="BJ292" t="s">
        <v>74</v>
      </c>
      <c r="BK292" t="s">
        <v>74</v>
      </c>
      <c r="BL292" t="s">
        <v>74</v>
      </c>
      <c r="BM292" t="s">
        <v>74</v>
      </c>
      <c r="BN292" t="s">
        <v>74</v>
      </c>
      <c r="BO292" t="s">
        <v>74</v>
      </c>
      <c r="BP292" t="s">
        <v>74</v>
      </c>
      <c r="BQ292" t="s">
        <v>74</v>
      </c>
      <c r="BR292" t="s">
        <v>74</v>
      </c>
      <c r="BS292" t="s">
        <v>2742</v>
      </c>
      <c r="BT292" t="str">
        <f>HYPERLINK("https%3A%2F%2Fwww.webofscience.com%2Fwos%2Fwoscc%2Ffull-record%2FWOS:000890297200004","View Full Record in Web of Science")</f>
        <v>View Full Record in Web of Science</v>
      </c>
    </row>
    <row r="293" spans="1:72" x14ac:dyDescent="0.25">
      <c r="A293" t="s">
        <v>72</v>
      </c>
      <c r="B293" t="s">
        <v>2743</v>
      </c>
      <c r="C293" t="s">
        <v>74</v>
      </c>
      <c r="D293" t="s">
        <v>74</v>
      </c>
      <c r="E293" t="s">
        <v>74</v>
      </c>
      <c r="F293" t="s">
        <v>2744</v>
      </c>
      <c r="G293" t="s">
        <v>74</v>
      </c>
      <c r="H293" t="s">
        <v>74</v>
      </c>
      <c r="I293" t="s">
        <v>2745</v>
      </c>
      <c r="J293" t="s">
        <v>431</v>
      </c>
      <c r="K293" t="s">
        <v>74</v>
      </c>
      <c r="L293" t="s">
        <v>74</v>
      </c>
      <c r="M293" t="s">
        <v>74</v>
      </c>
      <c r="N293" t="s">
        <v>74</v>
      </c>
      <c r="O293" t="s">
        <v>74</v>
      </c>
      <c r="P293" t="s">
        <v>74</v>
      </c>
      <c r="Q293" t="s">
        <v>74</v>
      </c>
      <c r="R293" t="s">
        <v>74</v>
      </c>
      <c r="S293" t="s">
        <v>74</v>
      </c>
      <c r="T293" t="s">
        <v>74</v>
      </c>
      <c r="U293" t="s">
        <v>74</v>
      </c>
      <c r="V293" t="s">
        <v>2746</v>
      </c>
      <c r="W293" t="s">
        <v>74</v>
      </c>
      <c r="X293" t="s">
        <v>74</v>
      </c>
      <c r="Y293" t="s">
        <v>74</v>
      </c>
      <c r="Z293" t="s">
        <v>74</v>
      </c>
      <c r="AA293" t="s">
        <v>74</v>
      </c>
      <c r="AB293" t="s">
        <v>2747</v>
      </c>
      <c r="AC293" t="s">
        <v>74</v>
      </c>
      <c r="AD293" t="s">
        <v>74</v>
      </c>
      <c r="AE293" t="s">
        <v>74</v>
      </c>
      <c r="AF293" t="s">
        <v>74</v>
      </c>
      <c r="AG293" t="s">
        <v>74</v>
      </c>
      <c r="AH293" t="s">
        <v>74</v>
      </c>
      <c r="AI293" t="s">
        <v>74</v>
      </c>
      <c r="AJ293" t="s">
        <v>74</v>
      </c>
      <c r="AK293" t="s">
        <v>74</v>
      </c>
      <c r="AL293" t="s">
        <v>74</v>
      </c>
      <c r="AM293" t="s">
        <v>74</v>
      </c>
      <c r="AN293" t="s">
        <v>74</v>
      </c>
      <c r="AO293" t="s">
        <v>433</v>
      </c>
      <c r="AP293" t="s">
        <v>434</v>
      </c>
      <c r="AQ293" t="s">
        <v>74</v>
      </c>
      <c r="AR293" t="s">
        <v>74</v>
      </c>
      <c r="AS293" t="s">
        <v>74</v>
      </c>
      <c r="AT293" t="s">
        <v>81</v>
      </c>
      <c r="AU293">
        <v>2022</v>
      </c>
      <c r="AV293">
        <v>55</v>
      </c>
      <c r="AW293">
        <v>10</v>
      </c>
      <c r="AX293" t="s">
        <v>74</v>
      </c>
      <c r="AY293" t="s">
        <v>74</v>
      </c>
      <c r="AZ293" t="s">
        <v>74</v>
      </c>
      <c r="BA293" t="s">
        <v>74</v>
      </c>
      <c r="BB293">
        <v>100</v>
      </c>
      <c r="BC293">
        <v>106</v>
      </c>
      <c r="BD293" t="s">
        <v>74</v>
      </c>
      <c r="BE293" t="s">
        <v>2748</v>
      </c>
      <c r="BF293" t="str">
        <f>HYPERLINK("http://dx.doi.org/10.1109/MC.2022.3192702","http://dx.doi.org/10.1109/MC.2022.3192702")</f>
        <v>http://dx.doi.org/10.1109/MC.2022.3192702</v>
      </c>
      <c r="BG293" t="s">
        <v>74</v>
      </c>
      <c r="BH293" t="s">
        <v>74</v>
      </c>
      <c r="BI293" t="s">
        <v>74</v>
      </c>
      <c r="BJ293" t="s">
        <v>74</v>
      </c>
      <c r="BK293" t="s">
        <v>74</v>
      </c>
      <c r="BL293" t="s">
        <v>74</v>
      </c>
      <c r="BM293" t="s">
        <v>74</v>
      </c>
      <c r="BN293" t="s">
        <v>74</v>
      </c>
      <c r="BO293" t="s">
        <v>74</v>
      </c>
      <c r="BP293" t="s">
        <v>74</v>
      </c>
      <c r="BQ293" t="s">
        <v>74</v>
      </c>
      <c r="BR293" t="s">
        <v>74</v>
      </c>
      <c r="BS293" t="s">
        <v>2749</v>
      </c>
      <c r="BT293" t="str">
        <f>HYPERLINK("https%3A%2F%2Fwww.webofscience.com%2Fwos%2Fwoscc%2Ffull-record%2FWOS:000861426400014","View Full Record in Web of Science")</f>
        <v>View Full Record in Web of Science</v>
      </c>
    </row>
    <row r="294" spans="1:72" x14ac:dyDescent="0.25">
      <c r="A294" t="s">
        <v>72</v>
      </c>
      <c r="B294" t="s">
        <v>2328</v>
      </c>
      <c r="C294" t="s">
        <v>74</v>
      </c>
      <c r="D294" t="s">
        <v>74</v>
      </c>
      <c r="E294" t="s">
        <v>74</v>
      </c>
      <c r="F294" t="s">
        <v>2329</v>
      </c>
      <c r="G294" t="s">
        <v>74</v>
      </c>
      <c r="H294" t="s">
        <v>74</v>
      </c>
      <c r="I294" t="s">
        <v>2750</v>
      </c>
      <c r="J294" t="s">
        <v>873</v>
      </c>
      <c r="K294" t="s">
        <v>74</v>
      </c>
      <c r="L294" t="s">
        <v>74</v>
      </c>
      <c r="M294" t="s">
        <v>74</v>
      </c>
      <c r="N294" t="s">
        <v>74</v>
      </c>
      <c r="O294" t="s">
        <v>74</v>
      </c>
      <c r="P294" t="s">
        <v>74</v>
      </c>
      <c r="Q294" t="s">
        <v>74</v>
      </c>
      <c r="R294" t="s">
        <v>74</v>
      </c>
      <c r="S294" t="s">
        <v>74</v>
      </c>
      <c r="T294" t="s">
        <v>74</v>
      </c>
      <c r="U294" t="s">
        <v>74</v>
      </c>
      <c r="V294" t="s">
        <v>2751</v>
      </c>
      <c r="W294" t="s">
        <v>74</v>
      </c>
      <c r="X294" t="s">
        <v>74</v>
      </c>
      <c r="Y294" t="s">
        <v>74</v>
      </c>
      <c r="Z294" t="s">
        <v>74</v>
      </c>
      <c r="AA294" t="s">
        <v>1091</v>
      </c>
      <c r="AB294" t="s">
        <v>2332</v>
      </c>
      <c r="AC294" t="s">
        <v>74</v>
      </c>
      <c r="AD294" t="s">
        <v>74</v>
      </c>
      <c r="AE294" t="s">
        <v>74</v>
      </c>
      <c r="AF294" t="s">
        <v>74</v>
      </c>
      <c r="AG294" t="s">
        <v>74</v>
      </c>
      <c r="AH294" t="s">
        <v>74</v>
      </c>
      <c r="AI294" t="s">
        <v>74</v>
      </c>
      <c r="AJ294" t="s">
        <v>74</v>
      </c>
      <c r="AK294" t="s">
        <v>74</v>
      </c>
      <c r="AL294" t="s">
        <v>74</v>
      </c>
      <c r="AM294" t="s">
        <v>74</v>
      </c>
      <c r="AN294" t="s">
        <v>74</v>
      </c>
      <c r="AO294" t="s">
        <v>74</v>
      </c>
      <c r="AP294" t="s">
        <v>877</v>
      </c>
      <c r="AQ294" t="s">
        <v>74</v>
      </c>
      <c r="AR294" t="s">
        <v>74</v>
      </c>
      <c r="AS294" t="s">
        <v>74</v>
      </c>
      <c r="AT294" t="s">
        <v>366</v>
      </c>
      <c r="AU294">
        <v>2021</v>
      </c>
      <c r="AV294">
        <v>21</v>
      </c>
      <c r="AW294">
        <v>6</v>
      </c>
      <c r="AX294" t="s">
        <v>74</v>
      </c>
      <c r="AY294" t="s">
        <v>74</v>
      </c>
      <c r="AZ294" t="s">
        <v>74</v>
      </c>
      <c r="BA294" t="s">
        <v>74</v>
      </c>
      <c r="BB294" t="s">
        <v>74</v>
      </c>
      <c r="BC294" t="s">
        <v>74</v>
      </c>
      <c r="BD294">
        <v>2066</v>
      </c>
      <c r="BE294" t="s">
        <v>2752</v>
      </c>
      <c r="BF294" t="str">
        <f>HYPERLINK("http://dx.doi.org/10.3390/s21062066","http://dx.doi.org/10.3390/s21062066")</f>
        <v>http://dx.doi.org/10.3390/s21062066</v>
      </c>
      <c r="BG294" t="s">
        <v>74</v>
      </c>
      <c r="BH294" t="s">
        <v>74</v>
      </c>
      <c r="BI294" t="s">
        <v>74</v>
      </c>
      <c r="BJ294" t="s">
        <v>74</v>
      </c>
      <c r="BK294" t="s">
        <v>74</v>
      </c>
      <c r="BL294" t="s">
        <v>74</v>
      </c>
      <c r="BM294" t="s">
        <v>74</v>
      </c>
      <c r="BN294">
        <v>33804253</v>
      </c>
      <c r="BO294" t="s">
        <v>74</v>
      </c>
      <c r="BP294" t="s">
        <v>74</v>
      </c>
      <c r="BQ294" t="s">
        <v>74</v>
      </c>
      <c r="BR294" t="s">
        <v>74</v>
      </c>
      <c r="BS294" t="s">
        <v>2753</v>
      </c>
      <c r="BT294" t="str">
        <f>HYPERLINK("https%3A%2F%2Fwww.webofscience.com%2Fwos%2Fwoscc%2Ffull-record%2FWOS:000652711100001","View Full Record in Web of Science")</f>
        <v>View Full Record in Web of Science</v>
      </c>
    </row>
    <row r="295" spans="1:72" x14ac:dyDescent="0.25">
      <c r="A295" t="s">
        <v>84</v>
      </c>
      <c r="B295" t="s">
        <v>2754</v>
      </c>
      <c r="C295" t="s">
        <v>74</v>
      </c>
      <c r="D295" t="s">
        <v>74</v>
      </c>
      <c r="E295" t="s">
        <v>86</v>
      </c>
      <c r="F295" t="s">
        <v>2755</v>
      </c>
      <c r="G295" t="s">
        <v>74</v>
      </c>
      <c r="H295" t="s">
        <v>74</v>
      </c>
      <c r="I295" t="s">
        <v>2756</v>
      </c>
      <c r="J295" t="s">
        <v>2757</v>
      </c>
      <c r="K295" t="s">
        <v>74</v>
      </c>
      <c r="L295" t="s">
        <v>74</v>
      </c>
      <c r="M295" t="s">
        <v>74</v>
      </c>
      <c r="N295" t="s">
        <v>74</v>
      </c>
      <c r="O295" t="s">
        <v>2758</v>
      </c>
      <c r="P295" t="s">
        <v>2759</v>
      </c>
      <c r="Q295" t="s">
        <v>2760</v>
      </c>
      <c r="R295" t="s">
        <v>2761</v>
      </c>
      <c r="S295" t="s">
        <v>74</v>
      </c>
      <c r="T295" t="s">
        <v>74</v>
      </c>
      <c r="U295" t="s">
        <v>74</v>
      </c>
      <c r="V295" t="s">
        <v>2762</v>
      </c>
      <c r="W295" t="s">
        <v>74</v>
      </c>
      <c r="X295" t="s">
        <v>74</v>
      </c>
      <c r="Y295" t="s">
        <v>74</v>
      </c>
      <c r="Z295" t="s">
        <v>74</v>
      </c>
      <c r="AA295" t="s">
        <v>74</v>
      </c>
      <c r="AB295" t="s">
        <v>2763</v>
      </c>
      <c r="AC295" t="s">
        <v>74</v>
      </c>
      <c r="AD295" t="s">
        <v>74</v>
      </c>
      <c r="AE295" t="s">
        <v>74</v>
      </c>
      <c r="AF295" t="s">
        <v>74</v>
      </c>
      <c r="AG295" t="s">
        <v>74</v>
      </c>
      <c r="AH295" t="s">
        <v>74</v>
      </c>
      <c r="AI295" t="s">
        <v>74</v>
      </c>
      <c r="AJ295" t="s">
        <v>74</v>
      </c>
      <c r="AK295" t="s">
        <v>74</v>
      </c>
      <c r="AL295" t="s">
        <v>74</v>
      </c>
      <c r="AM295" t="s">
        <v>74</v>
      </c>
      <c r="AN295" t="s">
        <v>74</v>
      </c>
      <c r="AO295" t="s">
        <v>74</v>
      </c>
      <c r="AP295" t="s">
        <v>74</v>
      </c>
      <c r="AQ295" t="s">
        <v>2764</v>
      </c>
      <c r="AR295" t="s">
        <v>74</v>
      </c>
      <c r="AS295" t="s">
        <v>74</v>
      </c>
      <c r="AT295" t="s">
        <v>74</v>
      </c>
      <c r="AU295">
        <v>2022</v>
      </c>
      <c r="AV295" t="s">
        <v>74</v>
      </c>
      <c r="AW295" t="s">
        <v>74</v>
      </c>
      <c r="AX295" t="s">
        <v>74</v>
      </c>
      <c r="AY295" t="s">
        <v>74</v>
      </c>
      <c r="AZ295" t="s">
        <v>74</v>
      </c>
      <c r="BA295" t="s">
        <v>74</v>
      </c>
      <c r="BB295">
        <v>27</v>
      </c>
      <c r="BC295">
        <v>31</v>
      </c>
      <c r="BD295" t="s">
        <v>74</v>
      </c>
      <c r="BE295" t="s">
        <v>2765</v>
      </c>
      <c r="BF295" t="str">
        <f>HYPERLINK("http://dx.doi.org/10.1109/ICIET55102.2022.9779045","http://dx.doi.org/10.1109/ICIET55102.2022.9779045")</f>
        <v>http://dx.doi.org/10.1109/ICIET55102.2022.9779045</v>
      </c>
      <c r="BG295" t="s">
        <v>74</v>
      </c>
      <c r="BH295" t="s">
        <v>74</v>
      </c>
      <c r="BI295" t="s">
        <v>74</v>
      </c>
      <c r="BJ295" t="s">
        <v>74</v>
      </c>
      <c r="BK295" t="s">
        <v>74</v>
      </c>
      <c r="BL295" t="s">
        <v>74</v>
      </c>
      <c r="BM295" t="s">
        <v>74</v>
      </c>
      <c r="BN295" t="s">
        <v>74</v>
      </c>
      <c r="BO295" t="s">
        <v>74</v>
      </c>
      <c r="BP295" t="s">
        <v>74</v>
      </c>
      <c r="BQ295" t="s">
        <v>74</v>
      </c>
      <c r="BR295" t="s">
        <v>74</v>
      </c>
      <c r="BS295" t="s">
        <v>2766</v>
      </c>
      <c r="BT295" t="str">
        <f>HYPERLINK("https%3A%2F%2Fwww.webofscience.com%2Fwos%2Fwoscc%2Ffull-record%2FWOS:000839122100006","View Full Record in Web of Science")</f>
        <v>View Full Record in Web of Science</v>
      </c>
    </row>
    <row r="296" spans="1:72" x14ac:dyDescent="0.25">
      <c r="A296" t="s">
        <v>72</v>
      </c>
      <c r="B296" t="s">
        <v>2767</v>
      </c>
      <c r="C296" t="s">
        <v>74</v>
      </c>
      <c r="D296" t="s">
        <v>74</v>
      </c>
      <c r="E296" t="s">
        <v>74</v>
      </c>
      <c r="F296" t="s">
        <v>2768</v>
      </c>
      <c r="G296" t="s">
        <v>74</v>
      </c>
      <c r="H296" t="s">
        <v>74</v>
      </c>
      <c r="I296" t="s">
        <v>2769</v>
      </c>
      <c r="J296" t="s">
        <v>2770</v>
      </c>
      <c r="K296" t="s">
        <v>74</v>
      </c>
      <c r="L296" t="s">
        <v>74</v>
      </c>
      <c r="M296" t="s">
        <v>74</v>
      </c>
      <c r="N296" t="s">
        <v>74</v>
      </c>
      <c r="O296" t="s">
        <v>74</v>
      </c>
      <c r="P296" t="s">
        <v>74</v>
      </c>
      <c r="Q296" t="s">
        <v>74</v>
      </c>
      <c r="R296" t="s">
        <v>74</v>
      </c>
      <c r="S296" t="s">
        <v>74</v>
      </c>
      <c r="T296" t="s">
        <v>74</v>
      </c>
      <c r="U296" t="s">
        <v>74</v>
      </c>
      <c r="V296" t="s">
        <v>2771</v>
      </c>
      <c r="W296" t="s">
        <v>74</v>
      </c>
      <c r="X296" t="s">
        <v>74</v>
      </c>
      <c r="Y296" t="s">
        <v>74</v>
      </c>
      <c r="Z296" t="s">
        <v>74</v>
      </c>
      <c r="AA296" t="s">
        <v>74</v>
      </c>
      <c r="AB296" t="s">
        <v>74</v>
      </c>
      <c r="AC296" t="s">
        <v>74</v>
      </c>
      <c r="AD296" t="s">
        <v>74</v>
      </c>
      <c r="AE296" t="s">
        <v>74</v>
      </c>
      <c r="AF296" t="s">
        <v>74</v>
      </c>
      <c r="AG296" t="s">
        <v>74</v>
      </c>
      <c r="AH296" t="s">
        <v>74</v>
      </c>
      <c r="AI296" t="s">
        <v>74</v>
      </c>
      <c r="AJ296" t="s">
        <v>74</v>
      </c>
      <c r="AK296" t="s">
        <v>74</v>
      </c>
      <c r="AL296" t="s">
        <v>74</v>
      </c>
      <c r="AM296" t="s">
        <v>74</v>
      </c>
      <c r="AN296" t="s">
        <v>74</v>
      </c>
      <c r="AO296" t="s">
        <v>2772</v>
      </c>
      <c r="AP296" t="s">
        <v>2773</v>
      </c>
      <c r="AQ296" t="s">
        <v>74</v>
      </c>
      <c r="AR296" t="s">
        <v>74</v>
      </c>
      <c r="AS296" t="s">
        <v>74</v>
      </c>
      <c r="AT296" t="s">
        <v>1586</v>
      </c>
      <c r="AU296">
        <v>2023</v>
      </c>
      <c r="AV296">
        <v>526</v>
      </c>
      <c r="AW296" t="s">
        <v>74</v>
      </c>
      <c r="AX296" t="s">
        <v>74</v>
      </c>
      <c r="AY296" t="s">
        <v>74</v>
      </c>
      <c r="AZ296" t="s">
        <v>74</v>
      </c>
      <c r="BA296" t="s">
        <v>74</v>
      </c>
      <c r="BB296" t="s">
        <v>74</v>
      </c>
      <c r="BC296" t="s">
        <v>74</v>
      </c>
      <c r="BD296">
        <v>128894</v>
      </c>
      <c r="BE296" t="s">
        <v>2774</v>
      </c>
      <c r="BF296" t="str">
        <f>HYPERLINK("http://dx.doi.org/10.1016/j.optcom.2022.128894","http://dx.doi.org/10.1016/j.optcom.2022.128894")</f>
        <v>http://dx.doi.org/10.1016/j.optcom.2022.128894</v>
      </c>
      <c r="BG296" t="s">
        <v>74</v>
      </c>
      <c r="BH296" t="s">
        <v>74</v>
      </c>
      <c r="BI296" t="s">
        <v>74</v>
      </c>
      <c r="BJ296" t="s">
        <v>74</v>
      </c>
      <c r="BK296" t="s">
        <v>74</v>
      </c>
      <c r="BL296" t="s">
        <v>74</v>
      </c>
      <c r="BM296" t="s">
        <v>74</v>
      </c>
      <c r="BN296" t="s">
        <v>74</v>
      </c>
      <c r="BO296" t="s">
        <v>74</v>
      </c>
      <c r="BP296" t="s">
        <v>74</v>
      </c>
      <c r="BQ296" t="s">
        <v>74</v>
      </c>
      <c r="BR296" t="s">
        <v>74</v>
      </c>
      <c r="BS296" t="s">
        <v>2775</v>
      </c>
      <c r="BT296" t="str">
        <f>HYPERLINK("https%3A%2F%2Fwww.webofscience.com%2Fwos%2Fwoscc%2Ffull-record%2FWOS:000877424700004","View Full Record in Web of Science")</f>
        <v>View Full Record in Web of Science</v>
      </c>
    </row>
    <row r="297" spans="1:72" x14ac:dyDescent="0.25">
      <c r="A297" t="s">
        <v>72</v>
      </c>
      <c r="B297" t="s">
        <v>2776</v>
      </c>
      <c r="C297" t="s">
        <v>74</v>
      </c>
      <c r="D297" t="s">
        <v>74</v>
      </c>
      <c r="E297" t="s">
        <v>74</v>
      </c>
      <c r="F297" t="s">
        <v>2777</v>
      </c>
      <c r="G297" t="s">
        <v>74</v>
      </c>
      <c r="H297" t="s">
        <v>74</v>
      </c>
      <c r="I297" t="s">
        <v>2778</v>
      </c>
      <c r="J297" t="s">
        <v>2779</v>
      </c>
      <c r="K297" t="s">
        <v>74</v>
      </c>
      <c r="L297" t="s">
        <v>74</v>
      </c>
      <c r="M297" t="s">
        <v>74</v>
      </c>
      <c r="N297" t="s">
        <v>74</v>
      </c>
      <c r="O297" t="s">
        <v>74</v>
      </c>
      <c r="P297" t="s">
        <v>74</v>
      </c>
      <c r="Q297" t="s">
        <v>74</v>
      </c>
      <c r="R297" t="s">
        <v>74</v>
      </c>
      <c r="S297" t="s">
        <v>74</v>
      </c>
      <c r="T297" t="s">
        <v>74</v>
      </c>
      <c r="U297" t="s">
        <v>74</v>
      </c>
      <c r="V297" t="s">
        <v>2780</v>
      </c>
      <c r="W297" t="s">
        <v>74</v>
      </c>
      <c r="X297" t="s">
        <v>74</v>
      </c>
      <c r="Y297" t="s">
        <v>74</v>
      </c>
      <c r="Z297" t="s">
        <v>74</v>
      </c>
      <c r="AA297" t="s">
        <v>2781</v>
      </c>
      <c r="AB297" t="s">
        <v>74</v>
      </c>
      <c r="AC297" t="s">
        <v>74</v>
      </c>
      <c r="AD297" t="s">
        <v>74</v>
      </c>
      <c r="AE297" t="s">
        <v>74</v>
      </c>
      <c r="AF297" t="s">
        <v>74</v>
      </c>
      <c r="AG297" t="s">
        <v>74</v>
      </c>
      <c r="AH297" t="s">
        <v>74</v>
      </c>
      <c r="AI297" t="s">
        <v>74</v>
      </c>
      <c r="AJ297" t="s">
        <v>74</v>
      </c>
      <c r="AK297" t="s">
        <v>74</v>
      </c>
      <c r="AL297" t="s">
        <v>74</v>
      </c>
      <c r="AM297" t="s">
        <v>74</v>
      </c>
      <c r="AN297" t="s">
        <v>74</v>
      </c>
      <c r="AO297" t="s">
        <v>74</v>
      </c>
      <c r="AP297" t="s">
        <v>2782</v>
      </c>
      <c r="AQ297" t="s">
        <v>74</v>
      </c>
      <c r="AR297" t="s">
        <v>74</v>
      </c>
      <c r="AS297" t="s">
        <v>74</v>
      </c>
      <c r="AT297" t="s">
        <v>1046</v>
      </c>
      <c r="AU297">
        <v>2022</v>
      </c>
      <c r="AV297">
        <v>11</v>
      </c>
      <c r="AW297">
        <v>3</v>
      </c>
      <c r="AX297" t="s">
        <v>74</v>
      </c>
      <c r="AY297" t="s">
        <v>74</v>
      </c>
      <c r="AZ297" t="s">
        <v>74</v>
      </c>
      <c r="BA297" t="s">
        <v>74</v>
      </c>
      <c r="BB297">
        <v>237</v>
      </c>
      <c r="BC297">
        <v>246</v>
      </c>
      <c r="BD297" t="s">
        <v>74</v>
      </c>
      <c r="BE297" t="s">
        <v>2783</v>
      </c>
      <c r="BF297" t="str">
        <f>HYPERLINK("http://dx.doi.org/10.1097/APO.0000000000000537","http://dx.doi.org/10.1097/APO.0000000000000537")</f>
        <v>http://dx.doi.org/10.1097/APO.0000000000000537</v>
      </c>
      <c r="BG297" t="s">
        <v>74</v>
      </c>
      <c r="BH297" t="s">
        <v>74</v>
      </c>
      <c r="BI297" t="s">
        <v>74</v>
      </c>
      <c r="BJ297" t="s">
        <v>74</v>
      </c>
      <c r="BK297" t="s">
        <v>74</v>
      </c>
      <c r="BL297" t="s">
        <v>74</v>
      </c>
      <c r="BM297" t="s">
        <v>74</v>
      </c>
      <c r="BN297">
        <v>35772084</v>
      </c>
      <c r="BO297" t="s">
        <v>74</v>
      </c>
      <c r="BP297" t="s">
        <v>74</v>
      </c>
      <c r="BQ297" t="s">
        <v>74</v>
      </c>
      <c r="BR297" t="s">
        <v>74</v>
      </c>
      <c r="BS297" t="s">
        <v>2784</v>
      </c>
      <c r="BT297" t="str">
        <f>HYPERLINK("https%3A%2F%2Fwww.webofscience.com%2Fwos%2Fwoscc%2Ffull-record%2FWOS:000814305000008","View Full Record in Web of Science")</f>
        <v>View Full Record in Web of Science</v>
      </c>
    </row>
    <row r="298" spans="1:72" x14ac:dyDescent="0.25">
      <c r="A298" t="s">
        <v>72</v>
      </c>
      <c r="B298" t="s">
        <v>2785</v>
      </c>
      <c r="C298" t="s">
        <v>74</v>
      </c>
      <c r="D298" t="s">
        <v>74</v>
      </c>
      <c r="E298" t="s">
        <v>74</v>
      </c>
      <c r="F298" t="s">
        <v>2786</v>
      </c>
      <c r="G298" t="s">
        <v>74</v>
      </c>
      <c r="H298" t="s">
        <v>74</v>
      </c>
      <c r="I298" t="s">
        <v>2787</v>
      </c>
      <c r="J298" t="s">
        <v>77</v>
      </c>
      <c r="K298" t="s">
        <v>74</v>
      </c>
      <c r="L298" t="s">
        <v>74</v>
      </c>
      <c r="M298" t="s">
        <v>74</v>
      </c>
      <c r="N298" t="s">
        <v>74</v>
      </c>
      <c r="O298" t="s">
        <v>74</v>
      </c>
      <c r="P298" t="s">
        <v>74</v>
      </c>
      <c r="Q298" t="s">
        <v>74</v>
      </c>
      <c r="R298" t="s">
        <v>74</v>
      </c>
      <c r="S298" t="s">
        <v>74</v>
      </c>
      <c r="T298" t="s">
        <v>74</v>
      </c>
      <c r="U298" t="s">
        <v>74</v>
      </c>
      <c r="V298" t="s">
        <v>2788</v>
      </c>
      <c r="W298" t="s">
        <v>74</v>
      </c>
      <c r="X298" t="s">
        <v>74</v>
      </c>
      <c r="Y298" t="s">
        <v>74</v>
      </c>
      <c r="Z298" t="s">
        <v>74</v>
      </c>
      <c r="AA298" t="s">
        <v>74</v>
      </c>
      <c r="AB298" t="s">
        <v>74</v>
      </c>
      <c r="AC298" t="s">
        <v>74</v>
      </c>
      <c r="AD298" t="s">
        <v>74</v>
      </c>
      <c r="AE298" t="s">
        <v>74</v>
      </c>
      <c r="AF298" t="s">
        <v>74</v>
      </c>
      <c r="AG298" t="s">
        <v>74</v>
      </c>
      <c r="AH298" t="s">
        <v>74</v>
      </c>
      <c r="AI298" t="s">
        <v>74</v>
      </c>
      <c r="AJ298" t="s">
        <v>74</v>
      </c>
      <c r="AK298" t="s">
        <v>74</v>
      </c>
      <c r="AL298" t="s">
        <v>74</v>
      </c>
      <c r="AM298" t="s">
        <v>74</v>
      </c>
      <c r="AN298" t="s">
        <v>74</v>
      </c>
      <c r="AO298" t="s">
        <v>74</v>
      </c>
      <c r="AP298" t="s">
        <v>80</v>
      </c>
      <c r="AQ298" t="s">
        <v>74</v>
      </c>
      <c r="AR298" t="s">
        <v>74</v>
      </c>
      <c r="AS298" t="s">
        <v>74</v>
      </c>
      <c r="AT298" t="s">
        <v>175</v>
      </c>
      <c r="AU298">
        <v>2023</v>
      </c>
      <c r="AV298">
        <v>20</v>
      </c>
      <c r="AW298">
        <v>2</v>
      </c>
      <c r="AX298" t="s">
        <v>74</v>
      </c>
      <c r="AY298" t="s">
        <v>74</v>
      </c>
      <c r="AZ298" t="s">
        <v>74</v>
      </c>
      <c r="BA298" t="s">
        <v>74</v>
      </c>
      <c r="BB298" t="s">
        <v>74</v>
      </c>
      <c r="BC298" t="s">
        <v>74</v>
      </c>
      <c r="BD298">
        <v>1578</v>
      </c>
      <c r="BE298" t="s">
        <v>2789</v>
      </c>
      <c r="BF298" t="str">
        <f>HYPERLINK("http://dx.doi.org/10.3390/ijerph20021578","http://dx.doi.org/10.3390/ijerph20021578")</f>
        <v>http://dx.doi.org/10.3390/ijerph20021578</v>
      </c>
      <c r="BG298" t="s">
        <v>74</v>
      </c>
      <c r="BH298" t="s">
        <v>74</v>
      </c>
      <c r="BI298" t="s">
        <v>74</v>
      </c>
      <c r="BJ298" t="s">
        <v>74</v>
      </c>
      <c r="BK298" t="s">
        <v>74</v>
      </c>
      <c r="BL298" t="s">
        <v>74</v>
      </c>
      <c r="BM298" t="s">
        <v>74</v>
      </c>
      <c r="BN298">
        <v>36674332</v>
      </c>
      <c r="BO298" t="s">
        <v>74</v>
      </c>
      <c r="BP298" t="s">
        <v>74</v>
      </c>
      <c r="BQ298" t="s">
        <v>74</v>
      </c>
      <c r="BR298" t="s">
        <v>74</v>
      </c>
      <c r="BS298" t="s">
        <v>2790</v>
      </c>
      <c r="BT298" t="str">
        <f>HYPERLINK("https%3A%2F%2Fwww.webofscience.com%2Fwos%2Fwoscc%2Ffull-record%2FWOS:000915180100001","View Full Record in Web of Science")</f>
        <v>View Full Record in Web of Science</v>
      </c>
    </row>
    <row r="299" spans="1:72" x14ac:dyDescent="0.25">
      <c r="A299" t="s">
        <v>72</v>
      </c>
      <c r="B299" t="s">
        <v>2791</v>
      </c>
      <c r="C299" t="s">
        <v>74</v>
      </c>
      <c r="D299" t="s">
        <v>74</v>
      </c>
      <c r="E299" t="s">
        <v>74</v>
      </c>
      <c r="F299" t="s">
        <v>2792</v>
      </c>
      <c r="G299" t="s">
        <v>74</v>
      </c>
      <c r="H299" t="s">
        <v>74</v>
      </c>
      <c r="I299" t="s">
        <v>2793</v>
      </c>
      <c r="J299" t="s">
        <v>2794</v>
      </c>
      <c r="K299" t="s">
        <v>74</v>
      </c>
      <c r="L299" t="s">
        <v>74</v>
      </c>
      <c r="M299" t="s">
        <v>74</v>
      </c>
      <c r="N299" t="s">
        <v>74</v>
      </c>
      <c r="O299" t="s">
        <v>74</v>
      </c>
      <c r="P299" t="s">
        <v>74</v>
      </c>
      <c r="Q299" t="s">
        <v>74</v>
      </c>
      <c r="R299" t="s">
        <v>74</v>
      </c>
      <c r="S299" t="s">
        <v>74</v>
      </c>
      <c r="T299" t="s">
        <v>74</v>
      </c>
      <c r="U299" t="s">
        <v>74</v>
      </c>
      <c r="V299" t="s">
        <v>2795</v>
      </c>
      <c r="W299" t="s">
        <v>74</v>
      </c>
      <c r="X299" t="s">
        <v>74</v>
      </c>
      <c r="Y299" t="s">
        <v>74</v>
      </c>
      <c r="Z299" t="s">
        <v>74</v>
      </c>
      <c r="AA299" t="s">
        <v>2796</v>
      </c>
      <c r="AB299" t="s">
        <v>2797</v>
      </c>
      <c r="AC299" t="s">
        <v>74</v>
      </c>
      <c r="AD299" t="s">
        <v>74</v>
      </c>
      <c r="AE299" t="s">
        <v>74</v>
      </c>
      <c r="AF299" t="s">
        <v>74</v>
      </c>
      <c r="AG299" t="s">
        <v>74</v>
      </c>
      <c r="AH299" t="s">
        <v>74</v>
      </c>
      <c r="AI299" t="s">
        <v>74</v>
      </c>
      <c r="AJ299" t="s">
        <v>74</v>
      </c>
      <c r="AK299" t="s">
        <v>74</v>
      </c>
      <c r="AL299" t="s">
        <v>74</v>
      </c>
      <c r="AM299" t="s">
        <v>74</v>
      </c>
      <c r="AN299" t="s">
        <v>74</v>
      </c>
      <c r="AO299" t="s">
        <v>2798</v>
      </c>
      <c r="AP299" t="s">
        <v>2799</v>
      </c>
      <c r="AQ299" t="s">
        <v>74</v>
      </c>
      <c r="AR299" t="s">
        <v>74</v>
      </c>
      <c r="AS299" t="s">
        <v>74</v>
      </c>
      <c r="AT299" t="s">
        <v>1409</v>
      </c>
      <c r="AU299">
        <v>2022</v>
      </c>
      <c r="AV299">
        <v>162</v>
      </c>
      <c r="AW299" t="s">
        <v>74</v>
      </c>
      <c r="AX299" t="s">
        <v>74</v>
      </c>
      <c r="AY299" t="s">
        <v>74</v>
      </c>
      <c r="AZ299" t="s">
        <v>74</v>
      </c>
      <c r="BA299" t="s">
        <v>74</v>
      </c>
      <c r="BB299" t="s">
        <v>74</v>
      </c>
      <c r="BC299" t="s">
        <v>74</v>
      </c>
      <c r="BD299">
        <v>102791</v>
      </c>
      <c r="BE299" t="s">
        <v>2800</v>
      </c>
      <c r="BF299" t="str">
        <f>HYPERLINK("http://dx.doi.org/10.1016/j.ijhcs.2022.102791","http://dx.doi.org/10.1016/j.ijhcs.2022.102791")</f>
        <v>http://dx.doi.org/10.1016/j.ijhcs.2022.102791</v>
      </c>
      <c r="BG299" t="s">
        <v>74</v>
      </c>
      <c r="BH299" t="s">
        <v>2614</v>
      </c>
      <c r="BI299" t="s">
        <v>74</v>
      </c>
      <c r="BJ299" t="s">
        <v>74</v>
      </c>
      <c r="BK299" t="s">
        <v>74</v>
      </c>
      <c r="BL299" t="s">
        <v>74</v>
      </c>
      <c r="BM299" t="s">
        <v>74</v>
      </c>
      <c r="BN299" t="s">
        <v>74</v>
      </c>
      <c r="BO299" t="s">
        <v>74</v>
      </c>
      <c r="BP299" t="s">
        <v>74</v>
      </c>
      <c r="BQ299" t="s">
        <v>74</v>
      </c>
      <c r="BR299" t="s">
        <v>74</v>
      </c>
      <c r="BS299" t="s">
        <v>2801</v>
      </c>
      <c r="BT299" t="str">
        <f>HYPERLINK("https%3A%2F%2Fwww.webofscience.com%2Fwos%2Fwoscc%2Ffull-record%2FWOS:000792963200003","View Full Record in Web of Science")</f>
        <v>View Full Record in Web of Science</v>
      </c>
    </row>
    <row r="300" spans="1:72" x14ac:dyDescent="0.25">
      <c r="A300" t="s">
        <v>72</v>
      </c>
      <c r="B300" t="s">
        <v>2802</v>
      </c>
      <c r="C300" t="s">
        <v>74</v>
      </c>
      <c r="D300" t="s">
        <v>74</v>
      </c>
      <c r="E300" t="s">
        <v>74</v>
      </c>
      <c r="F300" t="s">
        <v>2803</v>
      </c>
      <c r="G300" t="s">
        <v>74</v>
      </c>
      <c r="H300" t="s">
        <v>74</v>
      </c>
      <c r="I300" t="s">
        <v>2804</v>
      </c>
      <c r="J300" t="s">
        <v>77</v>
      </c>
      <c r="K300" t="s">
        <v>74</v>
      </c>
      <c r="L300" t="s">
        <v>74</v>
      </c>
      <c r="M300" t="s">
        <v>74</v>
      </c>
      <c r="N300" t="s">
        <v>74</v>
      </c>
      <c r="O300" t="s">
        <v>74</v>
      </c>
      <c r="P300" t="s">
        <v>74</v>
      </c>
      <c r="Q300" t="s">
        <v>74</v>
      </c>
      <c r="R300" t="s">
        <v>74</v>
      </c>
      <c r="S300" t="s">
        <v>74</v>
      </c>
      <c r="T300" t="s">
        <v>74</v>
      </c>
      <c r="U300" t="s">
        <v>74</v>
      </c>
      <c r="V300" t="s">
        <v>2805</v>
      </c>
      <c r="W300" t="s">
        <v>74</v>
      </c>
      <c r="X300" t="s">
        <v>74</v>
      </c>
      <c r="Y300" t="s">
        <v>74</v>
      </c>
      <c r="Z300" t="s">
        <v>74</v>
      </c>
      <c r="AA300" t="s">
        <v>74</v>
      </c>
      <c r="AB300" t="s">
        <v>2806</v>
      </c>
      <c r="AC300" t="s">
        <v>74</v>
      </c>
      <c r="AD300" t="s">
        <v>74</v>
      </c>
      <c r="AE300" t="s">
        <v>74</v>
      </c>
      <c r="AF300" t="s">
        <v>74</v>
      </c>
      <c r="AG300" t="s">
        <v>74</v>
      </c>
      <c r="AH300" t="s">
        <v>74</v>
      </c>
      <c r="AI300" t="s">
        <v>74</v>
      </c>
      <c r="AJ300" t="s">
        <v>74</v>
      </c>
      <c r="AK300" t="s">
        <v>74</v>
      </c>
      <c r="AL300" t="s">
        <v>74</v>
      </c>
      <c r="AM300" t="s">
        <v>74</v>
      </c>
      <c r="AN300" t="s">
        <v>74</v>
      </c>
      <c r="AO300" t="s">
        <v>74</v>
      </c>
      <c r="AP300" t="s">
        <v>80</v>
      </c>
      <c r="AQ300" t="s">
        <v>74</v>
      </c>
      <c r="AR300" t="s">
        <v>74</v>
      </c>
      <c r="AS300" t="s">
        <v>74</v>
      </c>
      <c r="AT300" t="s">
        <v>536</v>
      </c>
      <c r="AU300">
        <v>2022</v>
      </c>
      <c r="AV300">
        <v>19</v>
      </c>
      <c r="AW300">
        <v>14</v>
      </c>
      <c r="AX300" t="s">
        <v>74</v>
      </c>
      <c r="AY300" t="s">
        <v>74</v>
      </c>
      <c r="AZ300" t="s">
        <v>74</v>
      </c>
      <c r="BA300" t="s">
        <v>74</v>
      </c>
      <c r="BB300" t="s">
        <v>74</v>
      </c>
      <c r="BC300" t="s">
        <v>74</v>
      </c>
      <c r="BD300">
        <v>8551</v>
      </c>
      <c r="BE300" t="s">
        <v>2807</v>
      </c>
      <c r="BF300" t="str">
        <f>HYPERLINK("http://dx.doi.org/10.3390/ijerph19148551","http://dx.doi.org/10.3390/ijerph19148551")</f>
        <v>http://dx.doi.org/10.3390/ijerph19148551</v>
      </c>
      <c r="BG300" t="s">
        <v>74</v>
      </c>
      <c r="BH300" t="s">
        <v>74</v>
      </c>
      <c r="BI300" t="s">
        <v>74</v>
      </c>
      <c r="BJ300" t="s">
        <v>74</v>
      </c>
      <c r="BK300" t="s">
        <v>74</v>
      </c>
      <c r="BL300" t="s">
        <v>74</v>
      </c>
      <c r="BM300" t="s">
        <v>74</v>
      </c>
      <c r="BN300">
        <v>35886402</v>
      </c>
      <c r="BO300" t="s">
        <v>74</v>
      </c>
      <c r="BP300" t="s">
        <v>74</v>
      </c>
      <c r="BQ300" t="s">
        <v>74</v>
      </c>
      <c r="BR300" t="s">
        <v>74</v>
      </c>
      <c r="BS300" t="s">
        <v>2808</v>
      </c>
      <c r="BT300" t="str">
        <f>HYPERLINK("https%3A%2F%2Fwww.webofscience.com%2Fwos%2Fwoscc%2Ffull-record%2FWOS:000831632700001","View Full Record in Web of Science")</f>
        <v>View Full Record in Web of Science</v>
      </c>
    </row>
    <row r="301" spans="1:72" x14ac:dyDescent="0.25">
      <c r="A301" t="s">
        <v>72</v>
      </c>
      <c r="B301" t="s">
        <v>2809</v>
      </c>
      <c r="C301" t="s">
        <v>74</v>
      </c>
      <c r="D301" t="s">
        <v>74</v>
      </c>
      <c r="E301" t="s">
        <v>74</v>
      </c>
      <c r="F301" t="s">
        <v>2810</v>
      </c>
      <c r="G301" t="s">
        <v>74</v>
      </c>
      <c r="H301" t="s">
        <v>74</v>
      </c>
      <c r="I301" t="s">
        <v>2811</v>
      </c>
      <c r="J301" t="s">
        <v>1089</v>
      </c>
      <c r="K301" t="s">
        <v>74</v>
      </c>
      <c r="L301" t="s">
        <v>74</v>
      </c>
      <c r="M301" t="s">
        <v>74</v>
      </c>
      <c r="N301" t="s">
        <v>74</v>
      </c>
      <c r="O301" t="s">
        <v>74</v>
      </c>
      <c r="P301" t="s">
        <v>74</v>
      </c>
      <c r="Q301" t="s">
        <v>74</v>
      </c>
      <c r="R301" t="s">
        <v>74</v>
      </c>
      <c r="S301" t="s">
        <v>74</v>
      </c>
      <c r="T301" t="s">
        <v>74</v>
      </c>
      <c r="U301" t="s">
        <v>74</v>
      </c>
      <c r="V301" t="s">
        <v>2812</v>
      </c>
      <c r="W301" t="s">
        <v>74</v>
      </c>
      <c r="X301" t="s">
        <v>74</v>
      </c>
      <c r="Y301" t="s">
        <v>74</v>
      </c>
      <c r="Z301" t="s">
        <v>74</v>
      </c>
      <c r="AA301" t="s">
        <v>74</v>
      </c>
      <c r="AB301" t="s">
        <v>74</v>
      </c>
      <c r="AC301" t="s">
        <v>74</v>
      </c>
      <c r="AD301" t="s">
        <v>74</v>
      </c>
      <c r="AE301" t="s">
        <v>74</v>
      </c>
      <c r="AF301" t="s">
        <v>74</v>
      </c>
      <c r="AG301" t="s">
        <v>74</v>
      </c>
      <c r="AH301" t="s">
        <v>74</v>
      </c>
      <c r="AI301" t="s">
        <v>74</v>
      </c>
      <c r="AJ301" t="s">
        <v>74</v>
      </c>
      <c r="AK301" t="s">
        <v>74</v>
      </c>
      <c r="AL301" t="s">
        <v>74</v>
      </c>
      <c r="AM301" t="s">
        <v>74</v>
      </c>
      <c r="AN301" t="s">
        <v>74</v>
      </c>
      <c r="AO301" t="s">
        <v>1092</v>
      </c>
      <c r="AP301" t="s">
        <v>1093</v>
      </c>
      <c r="AQ301" t="s">
        <v>74</v>
      </c>
      <c r="AR301" t="s">
        <v>74</v>
      </c>
      <c r="AS301" t="s">
        <v>74</v>
      </c>
      <c r="AT301" t="s">
        <v>2813</v>
      </c>
      <c r="AU301">
        <v>2022</v>
      </c>
      <c r="AV301">
        <v>2022</v>
      </c>
      <c r="AW301" t="s">
        <v>74</v>
      </c>
      <c r="AX301" t="s">
        <v>74</v>
      </c>
      <c r="AY301" t="s">
        <v>74</v>
      </c>
      <c r="AZ301" t="s">
        <v>74</v>
      </c>
      <c r="BA301" t="s">
        <v>74</v>
      </c>
      <c r="BB301" t="s">
        <v>74</v>
      </c>
      <c r="BC301" t="s">
        <v>74</v>
      </c>
      <c r="BD301">
        <v>2455782</v>
      </c>
      <c r="BE301" t="s">
        <v>2814</v>
      </c>
      <c r="BF301" t="str">
        <f>HYPERLINK("http://dx.doi.org/10.1155/2022/2455782","http://dx.doi.org/10.1155/2022/2455782")</f>
        <v>http://dx.doi.org/10.1155/2022/2455782</v>
      </c>
      <c r="BG301" t="s">
        <v>74</v>
      </c>
      <c r="BH301" t="s">
        <v>74</v>
      </c>
      <c r="BI301" t="s">
        <v>74</v>
      </c>
      <c r="BJ301" t="s">
        <v>74</v>
      </c>
      <c r="BK301" t="s">
        <v>74</v>
      </c>
      <c r="BL301" t="s">
        <v>74</v>
      </c>
      <c r="BM301" t="s">
        <v>74</v>
      </c>
      <c r="BN301" t="s">
        <v>74</v>
      </c>
      <c r="BO301" t="s">
        <v>74</v>
      </c>
      <c r="BP301" t="s">
        <v>74</v>
      </c>
      <c r="BQ301" t="s">
        <v>74</v>
      </c>
      <c r="BR301" t="s">
        <v>74</v>
      </c>
      <c r="BS301" t="s">
        <v>2815</v>
      </c>
      <c r="BT301" t="str">
        <f>HYPERLINK("https%3A%2F%2Fwww.webofscience.com%2Fwos%2Fwoscc%2Ffull-record%2FWOS:000791247300001","View Full Record in Web of Science")</f>
        <v>View Full Record in Web of Science</v>
      </c>
    </row>
    <row r="302" spans="1:72" x14ac:dyDescent="0.25">
      <c r="A302" t="s">
        <v>84</v>
      </c>
      <c r="B302" t="s">
        <v>2816</v>
      </c>
      <c r="C302" t="s">
        <v>74</v>
      </c>
      <c r="D302" t="s">
        <v>74</v>
      </c>
      <c r="E302" t="s">
        <v>233</v>
      </c>
      <c r="F302" t="s">
        <v>2817</v>
      </c>
      <c r="G302" t="s">
        <v>74</v>
      </c>
      <c r="H302" t="s">
        <v>74</v>
      </c>
      <c r="I302" t="s">
        <v>2818</v>
      </c>
      <c r="J302" t="s">
        <v>798</v>
      </c>
      <c r="K302" t="s">
        <v>74</v>
      </c>
      <c r="L302" t="s">
        <v>74</v>
      </c>
      <c r="M302" t="s">
        <v>74</v>
      </c>
      <c r="N302" t="s">
        <v>74</v>
      </c>
      <c r="O302" t="s">
        <v>799</v>
      </c>
      <c r="P302" t="s">
        <v>800</v>
      </c>
      <c r="Q302" t="s">
        <v>108</v>
      </c>
      <c r="R302" t="s">
        <v>801</v>
      </c>
      <c r="S302" t="s">
        <v>74</v>
      </c>
      <c r="T302" t="s">
        <v>74</v>
      </c>
      <c r="U302" t="s">
        <v>74</v>
      </c>
      <c r="V302" t="s">
        <v>2819</v>
      </c>
      <c r="W302" t="s">
        <v>74</v>
      </c>
      <c r="X302" t="s">
        <v>74</v>
      </c>
      <c r="Y302" t="s">
        <v>74</v>
      </c>
      <c r="Z302" t="s">
        <v>74</v>
      </c>
      <c r="AA302" t="s">
        <v>2820</v>
      </c>
      <c r="AB302" t="s">
        <v>2821</v>
      </c>
      <c r="AC302" t="s">
        <v>74</v>
      </c>
      <c r="AD302" t="s">
        <v>74</v>
      </c>
      <c r="AE302" t="s">
        <v>74</v>
      </c>
      <c r="AF302" t="s">
        <v>74</v>
      </c>
      <c r="AG302" t="s">
        <v>74</v>
      </c>
      <c r="AH302" t="s">
        <v>74</v>
      </c>
      <c r="AI302" t="s">
        <v>74</v>
      </c>
      <c r="AJ302" t="s">
        <v>74</v>
      </c>
      <c r="AK302" t="s">
        <v>74</v>
      </c>
      <c r="AL302" t="s">
        <v>74</v>
      </c>
      <c r="AM302" t="s">
        <v>74</v>
      </c>
      <c r="AN302" t="s">
        <v>74</v>
      </c>
      <c r="AO302" t="s">
        <v>74</v>
      </c>
      <c r="AP302" t="s">
        <v>74</v>
      </c>
      <c r="AQ302" t="s">
        <v>804</v>
      </c>
      <c r="AR302" t="s">
        <v>74</v>
      </c>
      <c r="AS302" t="s">
        <v>74</v>
      </c>
      <c r="AT302" t="s">
        <v>74</v>
      </c>
      <c r="AU302">
        <v>2022</v>
      </c>
      <c r="AV302" t="s">
        <v>74</v>
      </c>
      <c r="AW302" t="s">
        <v>74</v>
      </c>
      <c r="AX302" t="s">
        <v>74</v>
      </c>
      <c r="AY302" t="s">
        <v>74</v>
      </c>
      <c r="AZ302" t="s">
        <v>74</v>
      </c>
      <c r="BA302" t="s">
        <v>74</v>
      </c>
      <c r="BB302">
        <v>307</v>
      </c>
      <c r="BC302">
        <v>309</v>
      </c>
      <c r="BD302" t="s">
        <v>74</v>
      </c>
      <c r="BE302" t="s">
        <v>2822</v>
      </c>
      <c r="BF302" t="str">
        <f>HYPERLINK("http://dx.doi.org/10.1109/VRW55335.2022.00071","http://dx.doi.org/10.1109/VRW55335.2022.00071")</f>
        <v>http://dx.doi.org/10.1109/VRW55335.2022.00071</v>
      </c>
      <c r="BG302" t="s">
        <v>74</v>
      </c>
      <c r="BH302" t="s">
        <v>74</v>
      </c>
      <c r="BI302" t="s">
        <v>74</v>
      </c>
      <c r="BJ302" t="s">
        <v>74</v>
      </c>
      <c r="BK302" t="s">
        <v>74</v>
      </c>
      <c r="BL302" t="s">
        <v>74</v>
      </c>
      <c r="BM302" t="s">
        <v>74</v>
      </c>
      <c r="BN302" t="s">
        <v>74</v>
      </c>
      <c r="BO302" t="s">
        <v>74</v>
      </c>
      <c r="BP302" t="s">
        <v>74</v>
      </c>
      <c r="BQ302" t="s">
        <v>74</v>
      </c>
      <c r="BR302" t="s">
        <v>74</v>
      </c>
      <c r="BS302" t="s">
        <v>2823</v>
      </c>
      <c r="BT302" t="str">
        <f>HYPERLINK("https%3A%2F%2Fwww.webofscience.com%2Fwos%2Fwoscc%2Ffull-record%2FWOS:000808111800062","View Full Record in Web of Science")</f>
        <v>View Full Record in Web of Science</v>
      </c>
    </row>
    <row r="303" spans="1:72" x14ac:dyDescent="0.25">
      <c r="A303" t="s">
        <v>72</v>
      </c>
      <c r="B303" t="s">
        <v>2824</v>
      </c>
      <c r="C303" t="s">
        <v>74</v>
      </c>
      <c r="D303" t="s">
        <v>74</v>
      </c>
      <c r="E303" t="s">
        <v>74</v>
      </c>
      <c r="F303" t="s">
        <v>2825</v>
      </c>
      <c r="G303" t="s">
        <v>74</v>
      </c>
      <c r="H303" t="s">
        <v>74</v>
      </c>
      <c r="I303" t="s">
        <v>2826</v>
      </c>
      <c r="J303" t="s">
        <v>1089</v>
      </c>
      <c r="K303" t="s">
        <v>74</v>
      </c>
      <c r="L303" t="s">
        <v>74</v>
      </c>
      <c r="M303" t="s">
        <v>74</v>
      </c>
      <c r="N303" t="s">
        <v>74</v>
      </c>
      <c r="O303" t="s">
        <v>74</v>
      </c>
      <c r="P303" t="s">
        <v>74</v>
      </c>
      <c r="Q303" t="s">
        <v>74</v>
      </c>
      <c r="R303" t="s">
        <v>74</v>
      </c>
      <c r="S303" t="s">
        <v>74</v>
      </c>
      <c r="T303" t="s">
        <v>74</v>
      </c>
      <c r="U303" t="s">
        <v>74</v>
      </c>
      <c r="V303" t="s">
        <v>2827</v>
      </c>
      <c r="W303" t="s">
        <v>74</v>
      </c>
      <c r="X303" t="s">
        <v>74</v>
      </c>
      <c r="Y303" t="s">
        <v>74</v>
      </c>
      <c r="Z303" t="s">
        <v>74</v>
      </c>
      <c r="AA303" t="s">
        <v>2828</v>
      </c>
      <c r="AB303" t="s">
        <v>2829</v>
      </c>
      <c r="AC303" t="s">
        <v>74</v>
      </c>
      <c r="AD303" t="s">
        <v>74</v>
      </c>
      <c r="AE303" t="s">
        <v>74</v>
      </c>
      <c r="AF303" t="s">
        <v>74</v>
      </c>
      <c r="AG303" t="s">
        <v>74</v>
      </c>
      <c r="AH303" t="s">
        <v>74</v>
      </c>
      <c r="AI303" t="s">
        <v>74</v>
      </c>
      <c r="AJ303" t="s">
        <v>74</v>
      </c>
      <c r="AK303" t="s">
        <v>74</v>
      </c>
      <c r="AL303" t="s">
        <v>74</v>
      </c>
      <c r="AM303" t="s">
        <v>74</v>
      </c>
      <c r="AN303" t="s">
        <v>74</v>
      </c>
      <c r="AO303" t="s">
        <v>1092</v>
      </c>
      <c r="AP303" t="s">
        <v>1093</v>
      </c>
      <c r="AQ303" t="s">
        <v>74</v>
      </c>
      <c r="AR303" t="s">
        <v>74</v>
      </c>
      <c r="AS303" t="s">
        <v>74</v>
      </c>
      <c r="AT303" t="s">
        <v>2830</v>
      </c>
      <c r="AU303">
        <v>2022</v>
      </c>
      <c r="AV303">
        <v>2022</v>
      </c>
      <c r="AW303" t="s">
        <v>74</v>
      </c>
      <c r="AX303" t="s">
        <v>74</v>
      </c>
      <c r="AY303" t="s">
        <v>74</v>
      </c>
      <c r="AZ303" t="s">
        <v>74</v>
      </c>
      <c r="BA303" t="s">
        <v>74</v>
      </c>
      <c r="BB303" t="s">
        <v>74</v>
      </c>
      <c r="BC303" t="s">
        <v>74</v>
      </c>
      <c r="BD303">
        <v>5479215</v>
      </c>
      <c r="BE303" t="s">
        <v>2831</v>
      </c>
      <c r="BF303" t="str">
        <f>HYPERLINK("http://dx.doi.org/10.1155/2022/5479215","http://dx.doi.org/10.1155/2022/5479215")</f>
        <v>http://dx.doi.org/10.1155/2022/5479215</v>
      </c>
      <c r="BG303" t="s">
        <v>74</v>
      </c>
      <c r="BH303" t="s">
        <v>74</v>
      </c>
      <c r="BI303" t="s">
        <v>74</v>
      </c>
      <c r="BJ303" t="s">
        <v>74</v>
      </c>
      <c r="BK303" t="s">
        <v>74</v>
      </c>
      <c r="BL303" t="s">
        <v>74</v>
      </c>
      <c r="BM303" t="s">
        <v>74</v>
      </c>
      <c r="BN303" t="s">
        <v>74</v>
      </c>
      <c r="BO303" t="s">
        <v>74</v>
      </c>
      <c r="BP303" t="s">
        <v>74</v>
      </c>
      <c r="BQ303" t="s">
        <v>74</v>
      </c>
      <c r="BR303" t="s">
        <v>74</v>
      </c>
      <c r="BS303" t="s">
        <v>2832</v>
      </c>
      <c r="BT303" t="str">
        <f>HYPERLINK("https%3A%2F%2Fwww.webofscience.com%2Fwos%2Fwoscc%2Ffull-record%2FWOS:000882711600008","View Full Record in Web of Science")</f>
        <v>View Full Record in Web of Science</v>
      </c>
    </row>
    <row r="304" spans="1:72" x14ac:dyDescent="0.25">
      <c r="A304" t="s">
        <v>72</v>
      </c>
      <c r="B304" t="s">
        <v>2833</v>
      </c>
      <c r="C304" t="s">
        <v>74</v>
      </c>
      <c r="D304" t="s">
        <v>74</v>
      </c>
      <c r="E304" t="s">
        <v>74</v>
      </c>
      <c r="F304" t="s">
        <v>2834</v>
      </c>
      <c r="G304" t="s">
        <v>74</v>
      </c>
      <c r="H304" t="s">
        <v>74</v>
      </c>
      <c r="I304" t="s">
        <v>2835</v>
      </c>
      <c r="J304" t="s">
        <v>2836</v>
      </c>
      <c r="K304" t="s">
        <v>74</v>
      </c>
      <c r="L304" t="s">
        <v>74</v>
      </c>
      <c r="M304" t="s">
        <v>74</v>
      </c>
      <c r="N304" t="s">
        <v>74</v>
      </c>
      <c r="O304" t="s">
        <v>74</v>
      </c>
      <c r="P304" t="s">
        <v>74</v>
      </c>
      <c r="Q304" t="s">
        <v>74</v>
      </c>
      <c r="R304" t="s">
        <v>74</v>
      </c>
      <c r="S304" t="s">
        <v>74</v>
      </c>
      <c r="T304" t="s">
        <v>74</v>
      </c>
      <c r="U304" t="s">
        <v>74</v>
      </c>
      <c r="V304" t="s">
        <v>2837</v>
      </c>
      <c r="W304" t="s">
        <v>74</v>
      </c>
      <c r="X304" t="s">
        <v>74</v>
      </c>
      <c r="Y304" t="s">
        <v>74</v>
      </c>
      <c r="Z304" t="s">
        <v>74</v>
      </c>
      <c r="AA304" t="s">
        <v>2838</v>
      </c>
      <c r="AB304" t="s">
        <v>2839</v>
      </c>
      <c r="AC304" t="s">
        <v>74</v>
      </c>
      <c r="AD304" t="s">
        <v>74</v>
      </c>
      <c r="AE304" t="s">
        <v>74</v>
      </c>
      <c r="AF304" t="s">
        <v>74</v>
      </c>
      <c r="AG304" t="s">
        <v>74</v>
      </c>
      <c r="AH304" t="s">
        <v>74</v>
      </c>
      <c r="AI304" t="s">
        <v>74</v>
      </c>
      <c r="AJ304" t="s">
        <v>74</v>
      </c>
      <c r="AK304" t="s">
        <v>74</v>
      </c>
      <c r="AL304" t="s">
        <v>74</v>
      </c>
      <c r="AM304" t="s">
        <v>74</v>
      </c>
      <c r="AN304" t="s">
        <v>74</v>
      </c>
      <c r="AO304" t="s">
        <v>2840</v>
      </c>
      <c r="AP304" t="s">
        <v>2841</v>
      </c>
      <c r="AQ304" t="s">
        <v>74</v>
      </c>
      <c r="AR304" t="s">
        <v>74</v>
      </c>
      <c r="AS304" t="s">
        <v>74</v>
      </c>
      <c r="AT304" t="s">
        <v>74</v>
      </c>
      <c r="AU304" t="s">
        <v>74</v>
      </c>
      <c r="AV304" t="s">
        <v>74</v>
      </c>
      <c r="AW304" t="s">
        <v>74</v>
      </c>
      <c r="AX304" t="s">
        <v>74</v>
      </c>
      <c r="AY304" t="s">
        <v>74</v>
      </c>
      <c r="AZ304" t="s">
        <v>74</v>
      </c>
      <c r="BA304" t="s">
        <v>74</v>
      </c>
      <c r="BB304" t="s">
        <v>74</v>
      </c>
      <c r="BC304" t="s">
        <v>74</v>
      </c>
      <c r="BD304" t="s">
        <v>74</v>
      </c>
      <c r="BE304" t="s">
        <v>2842</v>
      </c>
      <c r="BF304" t="str">
        <f>HYPERLINK("http://dx.doi.org/10.1109/TBC.2023.3254143","http://dx.doi.org/10.1109/TBC.2023.3254143")</f>
        <v>http://dx.doi.org/10.1109/TBC.2023.3254143</v>
      </c>
      <c r="BG304" t="s">
        <v>74</v>
      </c>
      <c r="BH304" t="s">
        <v>401</v>
      </c>
      <c r="BI304" t="s">
        <v>74</v>
      </c>
      <c r="BJ304" t="s">
        <v>74</v>
      </c>
      <c r="BK304" t="s">
        <v>74</v>
      </c>
      <c r="BL304" t="s">
        <v>74</v>
      </c>
      <c r="BM304" t="s">
        <v>74</v>
      </c>
      <c r="BN304" t="s">
        <v>74</v>
      </c>
      <c r="BO304" t="s">
        <v>74</v>
      </c>
      <c r="BP304" t="s">
        <v>74</v>
      </c>
      <c r="BQ304" t="s">
        <v>74</v>
      </c>
      <c r="BR304" t="s">
        <v>74</v>
      </c>
      <c r="BS304" t="s">
        <v>2843</v>
      </c>
      <c r="BT304" t="str">
        <f>HYPERLINK("https%3A%2F%2Fwww.webofscience.com%2Fwos%2Fwoscc%2Ffull-record%2FWOS:000953391900001","View Full Record in Web of Science")</f>
        <v>View Full Record in Web of Science</v>
      </c>
    </row>
    <row r="305" spans="1:72" x14ac:dyDescent="0.25">
      <c r="A305" t="s">
        <v>84</v>
      </c>
      <c r="B305" t="s">
        <v>2844</v>
      </c>
      <c r="C305" t="s">
        <v>74</v>
      </c>
      <c r="D305" t="s">
        <v>2845</v>
      </c>
      <c r="E305" t="s">
        <v>74</v>
      </c>
      <c r="F305" t="s">
        <v>2846</v>
      </c>
      <c r="G305" t="s">
        <v>74</v>
      </c>
      <c r="H305" t="s">
        <v>74</v>
      </c>
      <c r="I305" t="s">
        <v>2847</v>
      </c>
      <c r="J305" t="s">
        <v>2848</v>
      </c>
      <c r="K305" t="s">
        <v>2849</v>
      </c>
      <c r="L305" t="s">
        <v>74</v>
      </c>
      <c r="M305" t="s">
        <v>74</v>
      </c>
      <c r="N305" t="s">
        <v>74</v>
      </c>
      <c r="O305" t="s">
        <v>2850</v>
      </c>
      <c r="P305" t="s">
        <v>2851</v>
      </c>
      <c r="Q305" t="s">
        <v>2852</v>
      </c>
      <c r="R305" t="s">
        <v>2853</v>
      </c>
      <c r="S305" t="s">
        <v>74</v>
      </c>
      <c r="T305" t="s">
        <v>74</v>
      </c>
      <c r="U305" t="s">
        <v>74</v>
      </c>
      <c r="V305" t="s">
        <v>2854</v>
      </c>
      <c r="W305" t="s">
        <v>74</v>
      </c>
      <c r="X305" t="s">
        <v>74</v>
      </c>
      <c r="Y305" t="s">
        <v>74</v>
      </c>
      <c r="Z305" t="s">
        <v>74</v>
      </c>
      <c r="AA305" t="s">
        <v>74</v>
      </c>
      <c r="AB305" t="s">
        <v>74</v>
      </c>
      <c r="AC305" t="s">
        <v>74</v>
      </c>
      <c r="AD305" t="s">
        <v>74</v>
      </c>
      <c r="AE305" t="s">
        <v>74</v>
      </c>
      <c r="AF305" t="s">
        <v>74</v>
      </c>
      <c r="AG305" t="s">
        <v>74</v>
      </c>
      <c r="AH305" t="s">
        <v>74</v>
      </c>
      <c r="AI305" t="s">
        <v>74</v>
      </c>
      <c r="AJ305" t="s">
        <v>74</v>
      </c>
      <c r="AK305" t="s">
        <v>74</v>
      </c>
      <c r="AL305" t="s">
        <v>74</v>
      </c>
      <c r="AM305" t="s">
        <v>74</v>
      </c>
      <c r="AN305" t="s">
        <v>74</v>
      </c>
      <c r="AO305" t="s">
        <v>2855</v>
      </c>
      <c r="AP305" t="s">
        <v>2856</v>
      </c>
      <c r="AQ305" t="s">
        <v>2857</v>
      </c>
      <c r="AR305" t="s">
        <v>74</v>
      </c>
      <c r="AS305" t="s">
        <v>74</v>
      </c>
      <c r="AT305" t="s">
        <v>74</v>
      </c>
      <c r="AU305">
        <v>2023</v>
      </c>
      <c r="AV305">
        <v>26</v>
      </c>
      <c r="AW305" t="s">
        <v>74</v>
      </c>
      <c r="AX305" t="s">
        <v>74</v>
      </c>
      <c r="AY305" t="s">
        <v>74</v>
      </c>
      <c r="AZ305" t="s">
        <v>74</v>
      </c>
      <c r="BA305" t="s">
        <v>74</v>
      </c>
      <c r="BB305">
        <v>1</v>
      </c>
      <c r="BC305">
        <v>13</v>
      </c>
      <c r="BD305" t="s">
        <v>74</v>
      </c>
      <c r="BE305" t="s">
        <v>2858</v>
      </c>
      <c r="BF305" t="str">
        <f>HYPERLINK("http://dx.doi.org/10.1007/978-3-031-22731-8_1","http://dx.doi.org/10.1007/978-3-031-22731-8_1")</f>
        <v>http://dx.doi.org/10.1007/978-3-031-22731-8_1</v>
      </c>
      <c r="BG305" t="s">
        <v>74</v>
      </c>
      <c r="BH305" t="s">
        <v>74</v>
      </c>
      <c r="BI305" t="s">
        <v>74</v>
      </c>
      <c r="BJ305" t="s">
        <v>74</v>
      </c>
      <c r="BK305" t="s">
        <v>74</v>
      </c>
      <c r="BL305" t="s">
        <v>74</v>
      </c>
      <c r="BM305" t="s">
        <v>74</v>
      </c>
      <c r="BN305" t="s">
        <v>74</v>
      </c>
      <c r="BO305" t="s">
        <v>74</v>
      </c>
      <c r="BP305" t="s">
        <v>74</v>
      </c>
      <c r="BQ305" t="s">
        <v>74</v>
      </c>
      <c r="BR305" t="s">
        <v>74</v>
      </c>
      <c r="BS305" t="s">
        <v>2859</v>
      </c>
      <c r="BT305" t="str">
        <f>HYPERLINK("https%3A%2F%2Fwww.webofscience.com%2Fwos%2Fwoscc%2Ffull-record%2FWOS:000968175000001","View Full Record in Web of Science")</f>
        <v>View Full Record in Web of Science</v>
      </c>
    </row>
    <row r="306" spans="1:72" x14ac:dyDescent="0.25">
      <c r="A306" t="s">
        <v>72</v>
      </c>
      <c r="B306" t="s">
        <v>2860</v>
      </c>
      <c r="C306" t="s">
        <v>74</v>
      </c>
      <c r="D306" t="s">
        <v>74</v>
      </c>
      <c r="E306" t="s">
        <v>74</v>
      </c>
      <c r="F306" t="s">
        <v>2861</v>
      </c>
      <c r="G306" t="s">
        <v>74</v>
      </c>
      <c r="H306" t="s">
        <v>74</v>
      </c>
      <c r="I306" t="s">
        <v>2862</v>
      </c>
      <c r="J306" t="s">
        <v>883</v>
      </c>
      <c r="K306" t="s">
        <v>74</v>
      </c>
      <c r="L306" t="s">
        <v>74</v>
      </c>
      <c r="M306" t="s">
        <v>74</v>
      </c>
      <c r="N306" t="s">
        <v>74</v>
      </c>
      <c r="O306" t="s">
        <v>74</v>
      </c>
      <c r="P306" t="s">
        <v>74</v>
      </c>
      <c r="Q306" t="s">
        <v>74</v>
      </c>
      <c r="R306" t="s">
        <v>74</v>
      </c>
      <c r="S306" t="s">
        <v>74</v>
      </c>
      <c r="T306" t="s">
        <v>74</v>
      </c>
      <c r="U306" t="s">
        <v>74</v>
      </c>
      <c r="V306" t="s">
        <v>2863</v>
      </c>
      <c r="W306" t="s">
        <v>74</v>
      </c>
      <c r="X306" t="s">
        <v>74</v>
      </c>
      <c r="Y306" t="s">
        <v>74</v>
      </c>
      <c r="Z306" t="s">
        <v>74</v>
      </c>
      <c r="AA306" t="s">
        <v>74</v>
      </c>
      <c r="AB306" t="s">
        <v>74</v>
      </c>
      <c r="AC306" t="s">
        <v>74</v>
      </c>
      <c r="AD306" t="s">
        <v>74</v>
      </c>
      <c r="AE306" t="s">
        <v>74</v>
      </c>
      <c r="AF306" t="s">
        <v>74</v>
      </c>
      <c r="AG306" t="s">
        <v>74</v>
      </c>
      <c r="AH306" t="s">
        <v>74</v>
      </c>
      <c r="AI306" t="s">
        <v>74</v>
      </c>
      <c r="AJ306" t="s">
        <v>74</v>
      </c>
      <c r="AK306" t="s">
        <v>74</v>
      </c>
      <c r="AL306" t="s">
        <v>74</v>
      </c>
      <c r="AM306" t="s">
        <v>74</v>
      </c>
      <c r="AN306" t="s">
        <v>74</v>
      </c>
      <c r="AO306" t="s">
        <v>885</v>
      </c>
      <c r="AP306" t="s">
        <v>886</v>
      </c>
      <c r="AQ306" t="s">
        <v>74</v>
      </c>
      <c r="AR306" t="s">
        <v>74</v>
      </c>
      <c r="AS306" t="s">
        <v>74</v>
      </c>
      <c r="AT306" t="s">
        <v>74</v>
      </c>
      <c r="AU306" t="s">
        <v>74</v>
      </c>
      <c r="AV306" t="s">
        <v>74</v>
      </c>
      <c r="AW306" t="s">
        <v>74</v>
      </c>
      <c r="AX306" t="s">
        <v>74</v>
      </c>
      <c r="AY306" t="s">
        <v>74</v>
      </c>
      <c r="AZ306" t="s">
        <v>74</v>
      </c>
      <c r="BA306" t="s">
        <v>74</v>
      </c>
      <c r="BB306" t="s">
        <v>74</v>
      </c>
      <c r="BC306" t="s">
        <v>74</v>
      </c>
      <c r="BD306" t="s">
        <v>74</v>
      </c>
      <c r="BE306" t="s">
        <v>2864</v>
      </c>
      <c r="BF306" t="str">
        <f>HYPERLINK("http://dx.doi.org/10.1007/s10055-023-00761-8","http://dx.doi.org/10.1007/s10055-023-00761-8")</f>
        <v>http://dx.doi.org/10.1007/s10055-023-00761-8</v>
      </c>
      <c r="BG306" t="s">
        <v>74</v>
      </c>
      <c r="BH306" t="s">
        <v>218</v>
      </c>
      <c r="BI306" t="s">
        <v>74</v>
      </c>
      <c r="BJ306" t="s">
        <v>74</v>
      </c>
      <c r="BK306" t="s">
        <v>74</v>
      </c>
      <c r="BL306" t="s">
        <v>74</v>
      </c>
      <c r="BM306" t="s">
        <v>74</v>
      </c>
      <c r="BN306" t="s">
        <v>74</v>
      </c>
      <c r="BO306" t="s">
        <v>74</v>
      </c>
      <c r="BP306" t="s">
        <v>74</v>
      </c>
      <c r="BQ306" t="s">
        <v>74</v>
      </c>
      <c r="BR306" t="s">
        <v>74</v>
      </c>
      <c r="BS306" t="s">
        <v>2865</v>
      </c>
      <c r="BT306" t="str">
        <f>HYPERLINK("https%3A%2F%2Fwww.webofscience.com%2Fwos%2Fwoscc%2Ffull-record%2FWOS:000932543100001","View Full Record in Web of Science")</f>
        <v>View Full Record in Web of Science</v>
      </c>
    </row>
    <row r="307" spans="1:72" x14ac:dyDescent="0.25">
      <c r="A307" t="s">
        <v>84</v>
      </c>
      <c r="B307" t="s">
        <v>2866</v>
      </c>
      <c r="C307" t="s">
        <v>74</v>
      </c>
      <c r="D307" t="s">
        <v>2867</v>
      </c>
      <c r="E307" t="s">
        <v>74</v>
      </c>
      <c r="F307" t="s">
        <v>2868</v>
      </c>
      <c r="G307" t="s">
        <v>74</v>
      </c>
      <c r="H307" t="s">
        <v>74</v>
      </c>
      <c r="I307" t="s">
        <v>2869</v>
      </c>
      <c r="J307" t="s">
        <v>2870</v>
      </c>
      <c r="K307" t="s">
        <v>158</v>
      </c>
      <c r="L307" t="s">
        <v>74</v>
      </c>
      <c r="M307" t="s">
        <v>74</v>
      </c>
      <c r="N307" t="s">
        <v>74</v>
      </c>
      <c r="O307" t="s">
        <v>2871</v>
      </c>
      <c r="P307" t="s">
        <v>2872</v>
      </c>
      <c r="Q307" t="s">
        <v>2873</v>
      </c>
      <c r="R307" t="s">
        <v>74</v>
      </c>
      <c r="S307" t="s">
        <v>2874</v>
      </c>
      <c r="T307" t="s">
        <v>74</v>
      </c>
      <c r="U307" t="s">
        <v>74</v>
      </c>
      <c r="V307" t="s">
        <v>2875</v>
      </c>
      <c r="W307" t="s">
        <v>74</v>
      </c>
      <c r="X307" t="s">
        <v>74</v>
      </c>
      <c r="Y307" t="s">
        <v>74</v>
      </c>
      <c r="Z307" t="s">
        <v>74</v>
      </c>
      <c r="AA307" t="s">
        <v>2876</v>
      </c>
      <c r="AB307" t="s">
        <v>2877</v>
      </c>
      <c r="AC307" t="s">
        <v>74</v>
      </c>
      <c r="AD307" t="s">
        <v>74</v>
      </c>
      <c r="AE307" t="s">
        <v>74</v>
      </c>
      <c r="AF307" t="s">
        <v>74</v>
      </c>
      <c r="AG307" t="s">
        <v>74</v>
      </c>
      <c r="AH307" t="s">
        <v>74</v>
      </c>
      <c r="AI307" t="s">
        <v>74</v>
      </c>
      <c r="AJ307" t="s">
        <v>74</v>
      </c>
      <c r="AK307" t="s">
        <v>74</v>
      </c>
      <c r="AL307" t="s">
        <v>74</v>
      </c>
      <c r="AM307" t="s">
        <v>74</v>
      </c>
      <c r="AN307" t="s">
        <v>74</v>
      </c>
      <c r="AO307" t="s">
        <v>164</v>
      </c>
      <c r="AP307" t="s">
        <v>165</v>
      </c>
      <c r="AQ307" t="s">
        <v>2878</v>
      </c>
      <c r="AR307" t="s">
        <v>74</v>
      </c>
      <c r="AS307" t="s">
        <v>74</v>
      </c>
      <c r="AT307" t="s">
        <v>74</v>
      </c>
      <c r="AU307">
        <v>2022</v>
      </c>
      <c r="AV307">
        <v>13762</v>
      </c>
      <c r="AW307" t="s">
        <v>74</v>
      </c>
      <c r="AX307" t="s">
        <v>74</v>
      </c>
      <c r="AY307" t="s">
        <v>74</v>
      </c>
      <c r="AZ307" t="s">
        <v>74</v>
      </c>
      <c r="BA307" t="s">
        <v>74</v>
      </c>
      <c r="BB307">
        <v>601</v>
      </c>
      <c r="BC307">
        <v>615</v>
      </c>
      <c r="BD307" t="s">
        <v>74</v>
      </c>
      <c r="BE307" t="s">
        <v>2879</v>
      </c>
      <c r="BF307" t="str">
        <f>HYPERLINK("http://dx.doi.org/10.1007/978-3-031-22298-6_39","http://dx.doi.org/10.1007/978-3-031-22298-6_39")</f>
        <v>http://dx.doi.org/10.1007/978-3-031-22298-6_39</v>
      </c>
      <c r="BG307" t="s">
        <v>74</v>
      </c>
      <c r="BH307" t="s">
        <v>74</v>
      </c>
      <c r="BI307" t="s">
        <v>74</v>
      </c>
      <c r="BJ307" t="s">
        <v>74</v>
      </c>
      <c r="BK307" t="s">
        <v>74</v>
      </c>
      <c r="BL307" t="s">
        <v>74</v>
      </c>
      <c r="BM307" t="s">
        <v>74</v>
      </c>
      <c r="BN307" t="s">
        <v>74</v>
      </c>
      <c r="BO307" t="s">
        <v>74</v>
      </c>
      <c r="BP307" t="s">
        <v>74</v>
      </c>
      <c r="BQ307" t="s">
        <v>74</v>
      </c>
      <c r="BR307" t="s">
        <v>74</v>
      </c>
      <c r="BS307" t="s">
        <v>2880</v>
      </c>
      <c r="BT307" t="str">
        <f>HYPERLINK("https%3A%2F%2Fwww.webofscience.com%2Fwos%2Fwoscc%2Ffull-record%2FWOS:000913208900039","View Full Record in Web of Science")</f>
        <v>View Full Record in Web of Science</v>
      </c>
    </row>
    <row r="308" spans="1:72" x14ac:dyDescent="0.25">
      <c r="A308" t="s">
        <v>72</v>
      </c>
      <c r="B308" t="s">
        <v>2881</v>
      </c>
      <c r="C308" t="s">
        <v>74</v>
      </c>
      <c r="D308" t="s">
        <v>74</v>
      </c>
      <c r="E308" t="s">
        <v>74</v>
      </c>
      <c r="F308" t="s">
        <v>2882</v>
      </c>
      <c r="G308" t="s">
        <v>74</v>
      </c>
      <c r="H308" t="s">
        <v>74</v>
      </c>
      <c r="I308" t="s">
        <v>2883</v>
      </c>
      <c r="J308" t="s">
        <v>2884</v>
      </c>
      <c r="K308" t="s">
        <v>74</v>
      </c>
      <c r="L308" t="s">
        <v>74</v>
      </c>
      <c r="M308" t="s">
        <v>74</v>
      </c>
      <c r="N308" t="s">
        <v>74</v>
      </c>
      <c r="O308" t="s">
        <v>74</v>
      </c>
      <c r="P308" t="s">
        <v>74</v>
      </c>
      <c r="Q308" t="s">
        <v>74</v>
      </c>
      <c r="R308" t="s">
        <v>74</v>
      </c>
      <c r="S308" t="s">
        <v>74</v>
      </c>
      <c r="T308" t="s">
        <v>74</v>
      </c>
      <c r="U308" t="s">
        <v>74</v>
      </c>
      <c r="V308" t="s">
        <v>2885</v>
      </c>
      <c r="W308" t="s">
        <v>74</v>
      </c>
      <c r="X308" t="s">
        <v>74</v>
      </c>
      <c r="Y308" t="s">
        <v>74</v>
      </c>
      <c r="Z308" t="s">
        <v>74</v>
      </c>
      <c r="AA308" t="s">
        <v>2886</v>
      </c>
      <c r="AB308" t="s">
        <v>2887</v>
      </c>
      <c r="AC308" t="s">
        <v>74</v>
      </c>
      <c r="AD308" t="s">
        <v>74</v>
      </c>
      <c r="AE308" t="s">
        <v>74</v>
      </c>
      <c r="AF308" t="s">
        <v>74</v>
      </c>
      <c r="AG308" t="s">
        <v>74</v>
      </c>
      <c r="AH308" t="s">
        <v>74</v>
      </c>
      <c r="AI308" t="s">
        <v>74</v>
      </c>
      <c r="AJ308" t="s">
        <v>74</v>
      </c>
      <c r="AK308" t="s">
        <v>74</v>
      </c>
      <c r="AL308" t="s">
        <v>74</v>
      </c>
      <c r="AM308" t="s">
        <v>74</v>
      </c>
      <c r="AN308" t="s">
        <v>74</v>
      </c>
      <c r="AO308" t="s">
        <v>2888</v>
      </c>
      <c r="AP308" t="s">
        <v>74</v>
      </c>
      <c r="AQ308" t="s">
        <v>74</v>
      </c>
      <c r="AR308" t="s">
        <v>74</v>
      </c>
      <c r="AS308" t="s">
        <v>74</v>
      </c>
      <c r="AT308" t="s">
        <v>74</v>
      </c>
      <c r="AU308" t="s">
        <v>74</v>
      </c>
      <c r="AV308" t="s">
        <v>74</v>
      </c>
      <c r="AW308" t="s">
        <v>74</v>
      </c>
      <c r="AX308" t="s">
        <v>74</v>
      </c>
      <c r="AY308" t="s">
        <v>74</v>
      </c>
      <c r="AZ308" t="s">
        <v>74</v>
      </c>
      <c r="BA308" t="s">
        <v>74</v>
      </c>
      <c r="BB308" t="s">
        <v>74</v>
      </c>
      <c r="BC308" t="s">
        <v>74</v>
      </c>
      <c r="BD308" t="s">
        <v>74</v>
      </c>
      <c r="BE308" t="s">
        <v>2889</v>
      </c>
      <c r="BF308" t="str">
        <f>HYPERLINK("http://dx.doi.org/10.1021/acs.jpclett.2c03459","http://dx.doi.org/10.1021/acs.jpclett.2c03459")</f>
        <v>http://dx.doi.org/10.1021/acs.jpclett.2c03459</v>
      </c>
      <c r="BG308" t="s">
        <v>74</v>
      </c>
      <c r="BH308" t="s">
        <v>426</v>
      </c>
      <c r="BI308" t="s">
        <v>74</v>
      </c>
      <c r="BJ308" t="s">
        <v>74</v>
      </c>
      <c r="BK308" t="s">
        <v>74</v>
      </c>
      <c r="BL308" t="s">
        <v>74</v>
      </c>
      <c r="BM308" t="s">
        <v>74</v>
      </c>
      <c r="BN308">
        <v>36579474</v>
      </c>
      <c r="BO308" t="s">
        <v>74</v>
      </c>
      <c r="BP308" t="s">
        <v>74</v>
      </c>
      <c r="BQ308" t="s">
        <v>74</v>
      </c>
      <c r="BR308" t="s">
        <v>74</v>
      </c>
      <c r="BS308" t="s">
        <v>2890</v>
      </c>
      <c r="BT308" t="str">
        <f>HYPERLINK("https%3A%2F%2Fwww.webofscience.com%2Fwos%2Fwoscc%2Ffull-record%2FWOS:000917955400001","View Full Record in Web of Science")</f>
        <v>View Full Record in Web of Science</v>
      </c>
    </row>
    <row r="309" spans="1:72" x14ac:dyDescent="0.25">
      <c r="A309" t="s">
        <v>72</v>
      </c>
      <c r="B309" t="s">
        <v>2891</v>
      </c>
      <c r="C309" t="s">
        <v>74</v>
      </c>
      <c r="D309" t="s">
        <v>74</v>
      </c>
      <c r="E309" t="s">
        <v>74</v>
      </c>
      <c r="F309" t="s">
        <v>2892</v>
      </c>
      <c r="G309" t="s">
        <v>74</v>
      </c>
      <c r="H309" t="s">
        <v>74</v>
      </c>
      <c r="I309" t="s">
        <v>2893</v>
      </c>
      <c r="J309" t="s">
        <v>421</v>
      </c>
      <c r="K309" t="s">
        <v>74</v>
      </c>
      <c r="L309" t="s">
        <v>74</v>
      </c>
      <c r="M309" t="s">
        <v>74</v>
      </c>
      <c r="N309" t="s">
        <v>74</v>
      </c>
      <c r="O309" t="s">
        <v>74</v>
      </c>
      <c r="P309" t="s">
        <v>74</v>
      </c>
      <c r="Q309" t="s">
        <v>74</v>
      </c>
      <c r="R309" t="s">
        <v>74</v>
      </c>
      <c r="S309" t="s">
        <v>74</v>
      </c>
      <c r="T309" t="s">
        <v>74</v>
      </c>
      <c r="U309" t="s">
        <v>74</v>
      </c>
      <c r="V309" t="s">
        <v>2894</v>
      </c>
      <c r="W309" t="s">
        <v>74</v>
      </c>
      <c r="X309" t="s">
        <v>74</v>
      </c>
      <c r="Y309" t="s">
        <v>74</v>
      </c>
      <c r="Z309" t="s">
        <v>74</v>
      </c>
      <c r="AA309" t="s">
        <v>2895</v>
      </c>
      <c r="AB309" t="s">
        <v>2896</v>
      </c>
      <c r="AC309" t="s">
        <v>74</v>
      </c>
      <c r="AD309" t="s">
        <v>74</v>
      </c>
      <c r="AE309" t="s">
        <v>74</v>
      </c>
      <c r="AF309" t="s">
        <v>74</v>
      </c>
      <c r="AG309" t="s">
        <v>74</v>
      </c>
      <c r="AH309" t="s">
        <v>74</v>
      </c>
      <c r="AI309" t="s">
        <v>74</v>
      </c>
      <c r="AJ309" t="s">
        <v>74</v>
      </c>
      <c r="AK309" t="s">
        <v>74</v>
      </c>
      <c r="AL309" t="s">
        <v>74</v>
      </c>
      <c r="AM309" t="s">
        <v>74</v>
      </c>
      <c r="AN309" t="s">
        <v>74</v>
      </c>
      <c r="AO309" t="s">
        <v>423</v>
      </c>
      <c r="AP309" t="s">
        <v>424</v>
      </c>
      <c r="AQ309" t="s">
        <v>74</v>
      </c>
      <c r="AR309" t="s">
        <v>74</v>
      </c>
      <c r="AS309" t="s">
        <v>74</v>
      </c>
      <c r="AT309" t="s">
        <v>74</v>
      </c>
      <c r="AU309" t="s">
        <v>74</v>
      </c>
      <c r="AV309" t="s">
        <v>74</v>
      </c>
      <c r="AW309" t="s">
        <v>74</v>
      </c>
      <c r="AX309" t="s">
        <v>74</v>
      </c>
      <c r="AY309" t="s">
        <v>74</v>
      </c>
      <c r="AZ309" t="s">
        <v>74</v>
      </c>
      <c r="BA309" t="s">
        <v>74</v>
      </c>
      <c r="BB309" t="s">
        <v>74</v>
      </c>
      <c r="BC309" t="s">
        <v>74</v>
      </c>
      <c r="BD309" t="s">
        <v>74</v>
      </c>
      <c r="BE309" t="s">
        <v>2897</v>
      </c>
      <c r="BF309" t="str">
        <f>HYPERLINK("http://dx.doi.org/10.1109/TSMC.2022.3226901","http://dx.doi.org/10.1109/TSMC.2022.3226901")</f>
        <v>http://dx.doi.org/10.1109/TSMC.2022.3226901</v>
      </c>
      <c r="BG309" t="s">
        <v>74</v>
      </c>
      <c r="BH309" t="s">
        <v>426</v>
      </c>
      <c r="BI309" t="s">
        <v>74</v>
      </c>
      <c r="BJ309" t="s">
        <v>74</v>
      </c>
      <c r="BK309" t="s">
        <v>74</v>
      </c>
      <c r="BL309" t="s">
        <v>74</v>
      </c>
      <c r="BM309" t="s">
        <v>74</v>
      </c>
      <c r="BN309" t="s">
        <v>74</v>
      </c>
      <c r="BO309" t="s">
        <v>74</v>
      </c>
      <c r="BP309" t="s">
        <v>74</v>
      </c>
      <c r="BQ309" t="s">
        <v>74</v>
      </c>
      <c r="BR309" t="s">
        <v>74</v>
      </c>
      <c r="BS309" t="s">
        <v>2898</v>
      </c>
      <c r="BT309" t="str">
        <f>HYPERLINK("https%3A%2F%2Fwww.webofscience.com%2Fwos%2Fwoscc%2Ffull-record%2FWOS:000912902500001","View Full Record in Web of Science")</f>
        <v>View Full Record in Web of Science</v>
      </c>
    </row>
    <row r="310" spans="1:72" x14ac:dyDescent="0.25">
      <c r="A310" t="s">
        <v>84</v>
      </c>
      <c r="B310" t="s">
        <v>2899</v>
      </c>
      <c r="C310" t="s">
        <v>74</v>
      </c>
      <c r="D310" t="s">
        <v>2900</v>
      </c>
      <c r="E310" t="s">
        <v>86</v>
      </c>
      <c r="F310" t="s">
        <v>2901</v>
      </c>
      <c r="G310" t="s">
        <v>74</v>
      </c>
      <c r="H310" t="s">
        <v>74</v>
      </c>
      <c r="I310" t="s">
        <v>2902</v>
      </c>
      <c r="J310" t="s">
        <v>2903</v>
      </c>
      <c r="K310" t="s">
        <v>2904</v>
      </c>
      <c r="L310" t="s">
        <v>74</v>
      </c>
      <c r="M310" t="s">
        <v>74</v>
      </c>
      <c r="N310" t="s">
        <v>74</v>
      </c>
      <c r="O310" t="s">
        <v>2905</v>
      </c>
      <c r="P310" t="s">
        <v>2906</v>
      </c>
      <c r="Q310" t="s">
        <v>2907</v>
      </c>
      <c r="R310" t="s">
        <v>2908</v>
      </c>
      <c r="S310" t="s">
        <v>74</v>
      </c>
      <c r="T310" t="s">
        <v>74</v>
      </c>
      <c r="U310" t="s">
        <v>74</v>
      </c>
      <c r="V310" t="s">
        <v>2909</v>
      </c>
      <c r="W310" t="s">
        <v>74</v>
      </c>
      <c r="X310" t="s">
        <v>74</v>
      </c>
      <c r="Y310" t="s">
        <v>74</v>
      </c>
      <c r="Z310" t="s">
        <v>74</v>
      </c>
      <c r="AA310" t="s">
        <v>74</v>
      </c>
      <c r="AB310" t="s">
        <v>74</v>
      </c>
      <c r="AC310" t="s">
        <v>74</v>
      </c>
      <c r="AD310" t="s">
        <v>74</v>
      </c>
      <c r="AE310" t="s">
        <v>74</v>
      </c>
      <c r="AF310" t="s">
        <v>74</v>
      </c>
      <c r="AG310" t="s">
        <v>74</v>
      </c>
      <c r="AH310" t="s">
        <v>74</v>
      </c>
      <c r="AI310" t="s">
        <v>74</v>
      </c>
      <c r="AJ310" t="s">
        <v>74</v>
      </c>
      <c r="AK310" t="s">
        <v>74</v>
      </c>
      <c r="AL310" t="s">
        <v>74</v>
      </c>
      <c r="AM310" t="s">
        <v>74</v>
      </c>
      <c r="AN310" t="s">
        <v>74</v>
      </c>
      <c r="AO310" t="s">
        <v>2910</v>
      </c>
      <c r="AP310" t="s">
        <v>2911</v>
      </c>
      <c r="AQ310" t="s">
        <v>2912</v>
      </c>
      <c r="AR310" t="s">
        <v>74</v>
      </c>
      <c r="AS310" t="s">
        <v>74</v>
      </c>
      <c r="AT310" t="s">
        <v>74</v>
      </c>
      <c r="AU310">
        <v>2022</v>
      </c>
      <c r="AV310" t="s">
        <v>74</v>
      </c>
      <c r="AW310" t="s">
        <v>74</v>
      </c>
      <c r="AX310" t="s">
        <v>74</v>
      </c>
      <c r="AY310" t="s">
        <v>74</v>
      </c>
      <c r="AZ310" t="s">
        <v>74</v>
      </c>
      <c r="BA310" t="s">
        <v>74</v>
      </c>
      <c r="BB310">
        <v>305</v>
      </c>
      <c r="BC310">
        <v>309</v>
      </c>
      <c r="BD310" t="s">
        <v>74</v>
      </c>
      <c r="BE310" t="s">
        <v>2913</v>
      </c>
      <c r="BF310" t="str">
        <f>HYPERLINK("http://dx.doi.org/10.1109/SOCC56010.2022.9908135","http://dx.doi.org/10.1109/SOCC56010.2022.9908135")</f>
        <v>http://dx.doi.org/10.1109/SOCC56010.2022.9908135</v>
      </c>
      <c r="BG310" t="s">
        <v>74</v>
      </c>
      <c r="BH310" t="s">
        <v>74</v>
      </c>
      <c r="BI310" t="s">
        <v>74</v>
      </c>
      <c r="BJ310" t="s">
        <v>74</v>
      </c>
      <c r="BK310" t="s">
        <v>74</v>
      </c>
      <c r="BL310" t="s">
        <v>74</v>
      </c>
      <c r="BM310" t="s">
        <v>74</v>
      </c>
      <c r="BN310" t="s">
        <v>74</v>
      </c>
      <c r="BO310" t="s">
        <v>74</v>
      </c>
      <c r="BP310" t="s">
        <v>74</v>
      </c>
      <c r="BQ310" t="s">
        <v>74</v>
      </c>
      <c r="BR310" t="s">
        <v>74</v>
      </c>
      <c r="BS310" t="s">
        <v>2914</v>
      </c>
      <c r="BT310" t="str">
        <f>HYPERLINK("https%3A%2F%2Fwww.webofscience.com%2Fwos%2Fwoscc%2Ffull-record%2FWOS:000885041700055","View Full Record in Web of Science")</f>
        <v>View Full Record in Web of Science</v>
      </c>
    </row>
    <row r="311" spans="1:72" x14ac:dyDescent="0.25">
      <c r="A311" t="s">
        <v>72</v>
      </c>
      <c r="B311" t="s">
        <v>2915</v>
      </c>
      <c r="C311" t="s">
        <v>74</v>
      </c>
      <c r="D311" t="s">
        <v>74</v>
      </c>
      <c r="E311" t="s">
        <v>74</v>
      </c>
      <c r="F311" t="s">
        <v>2916</v>
      </c>
      <c r="G311" t="s">
        <v>74</v>
      </c>
      <c r="H311" t="s">
        <v>74</v>
      </c>
      <c r="I311" t="s">
        <v>2917</v>
      </c>
      <c r="J311" t="s">
        <v>421</v>
      </c>
      <c r="K311" t="s">
        <v>74</v>
      </c>
      <c r="L311" t="s">
        <v>74</v>
      </c>
      <c r="M311" t="s">
        <v>74</v>
      </c>
      <c r="N311" t="s">
        <v>74</v>
      </c>
      <c r="O311" t="s">
        <v>74</v>
      </c>
      <c r="P311" t="s">
        <v>74</v>
      </c>
      <c r="Q311" t="s">
        <v>74</v>
      </c>
      <c r="R311" t="s">
        <v>74</v>
      </c>
      <c r="S311" t="s">
        <v>74</v>
      </c>
      <c r="T311" t="s">
        <v>74</v>
      </c>
      <c r="U311" t="s">
        <v>74</v>
      </c>
      <c r="V311" t="s">
        <v>2918</v>
      </c>
      <c r="W311" t="s">
        <v>74</v>
      </c>
      <c r="X311" t="s">
        <v>74</v>
      </c>
      <c r="Y311" t="s">
        <v>74</v>
      </c>
      <c r="Z311" t="s">
        <v>74</v>
      </c>
      <c r="AA311" t="s">
        <v>74</v>
      </c>
      <c r="AB311" t="s">
        <v>2919</v>
      </c>
      <c r="AC311" t="s">
        <v>74</v>
      </c>
      <c r="AD311" t="s">
        <v>74</v>
      </c>
      <c r="AE311" t="s">
        <v>74</v>
      </c>
      <c r="AF311" t="s">
        <v>74</v>
      </c>
      <c r="AG311" t="s">
        <v>74</v>
      </c>
      <c r="AH311" t="s">
        <v>74</v>
      </c>
      <c r="AI311" t="s">
        <v>74</v>
      </c>
      <c r="AJ311" t="s">
        <v>74</v>
      </c>
      <c r="AK311" t="s">
        <v>74</v>
      </c>
      <c r="AL311" t="s">
        <v>74</v>
      </c>
      <c r="AM311" t="s">
        <v>74</v>
      </c>
      <c r="AN311" t="s">
        <v>74</v>
      </c>
      <c r="AO311" t="s">
        <v>423</v>
      </c>
      <c r="AP311" t="s">
        <v>424</v>
      </c>
      <c r="AQ311" t="s">
        <v>74</v>
      </c>
      <c r="AR311" t="s">
        <v>74</v>
      </c>
      <c r="AS311" t="s">
        <v>74</v>
      </c>
      <c r="AT311" t="s">
        <v>74</v>
      </c>
      <c r="AU311" t="s">
        <v>74</v>
      </c>
      <c r="AV311" t="s">
        <v>74</v>
      </c>
      <c r="AW311" t="s">
        <v>74</v>
      </c>
      <c r="AX311" t="s">
        <v>74</v>
      </c>
      <c r="AY311" t="s">
        <v>74</v>
      </c>
      <c r="AZ311" t="s">
        <v>74</v>
      </c>
      <c r="BA311" t="s">
        <v>74</v>
      </c>
      <c r="BB311" t="s">
        <v>74</v>
      </c>
      <c r="BC311" t="s">
        <v>74</v>
      </c>
      <c r="BD311" t="s">
        <v>74</v>
      </c>
      <c r="BE311" t="s">
        <v>2920</v>
      </c>
      <c r="BF311" t="str">
        <f>HYPERLINK("http://dx.doi.org/10.1109/TSMC.2022.3228530","http://dx.doi.org/10.1109/TSMC.2022.3228530")</f>
        <v>http://dx.doi.org/10.1109/TSMC.2022.3228530</v>
      </c>
      <c r="BG311" t="s">
        <v>74</v>
      </c>
      <c r="BH311" t="s">
        <v>426</v>
      </c>
      <c r="BI311" t="s">
        <v>74</v>
      </c>
      <c r="BJ311" t="s">
        <v>74</v>
      </c>
      <c r="BK311" t="s">
        <v>74</v>
      </c>
      <c r="BL311" t="s">
        <v>74</v>
      </c>
      <c r="BM311" t="s">
        <v>74</v>
      </c>
      <c r="BN311" t="s">
        <v>74</v>
      </c>
      <c r="BO311" t="s">
        <v>74</v>
      </c>
      <c r="BP311" t="s">
        <v>74</v>
      </c>
      <c r="BQ311" t="s">
        <v>74</v>
      </c>
      <c r="BR311" t="s">
        <v>74</v>
      </c>
      <c r="BS311" t="s">
        <v>2921</v>
      </c>
      <c r="BT311" t="str">
        <f>HYPERLINK("https%3A%2F%2Fwww.webofscience.com%2Fwos%2Fwoscc%2Ffull-record%2FWOS:000903547900001","View Full Record in Web of Science")</f>
        <v>View Full Record in Web of Science</v>
      </c>
    </row>
    <row r="312" spans="1:72" x14ac:dyDescent="0.25">
      <c r="A312" t="s">
        <v>84</v>
      </c>
      <c r="B312" t="s">
        <v>2922</v>
      </c>
      <c r="C312" t="s">
        <v>74</v>
      </c>
      <c r="D312" t="s">
        <v>2923</v>
      </c>
      <c r="E312" t="s">
        <v>74</v>
      </c>
      <c r="F312" t="s">
        <v>2924</v>
      </c>
      <c r="G312" t="s">
        <v>74</v>
      </c>
      <c r="H312" t="s">
        <v>74</v>
      </c>
      <c r="I312" t="s">
        <v>2925</v>
      </c>
      <c r="J312" t="s">
        <v>2926</v>
      </c>
      <c r="K312" t="s">
        <v>2927</v>
      </c>
      <c r="L312" t="s">
        <v>74</v>
      </c>
      <c r="M312" t="s">
        <v>74</v>
      </c>
      <c r="N312" t="s">
        <v>74</v>
      </c>
      <c r="O312" t="s">
        <v>2928</v>
      </c>
      <c r="P312" t="s">
        <v>2929</v>
      </c>
      <c r="Q312" t="s">
        <v>2930</v>
      </c>
      <c r="R312" t="s">
        <v>2931</v>
      </c>
      <c r="S312" t="s">
        <v>74</v>
      </c>
      <c r="T312" t="s">
        <v>74</v>
      </c>
      <c r="U312" t="s">
        <v>74</v>
      </c>
      <c r="V312" t="s">
        <v>2932</v>
      </c>
      <c r="W312" t="s">
        <v>74</v>
      </c>
      <c r="X312" t="s">
        <v>74</v>
      </c>
      <c r="Y312" t="s">
        <v>74</v>
      </c>
      <c r="Z312" t="s">
        <v>74</v>
      </c>
      <c r="AA312" t="s">
        <v>74</v>
      </c>
      <c r="AB312" t="s">
        <v>74</v>
      </c>
      <c r="AC312" t="s">
        <v>74</v>
      </c>
      <c r="AD312" t="s">
        <v>74</v>
      </c>
      <c r="AE312" t="s">
        <v>74</v>
      </c>
      <c r="AF312" t="s">
        <v>74</v>
      </c>
      <c r="AG312" t="s">
        <v>74</v>
      </c>
      <c r="AH312" t="s">
        <v>74</v>
      </c>
      <c r="AI312" t="s">
        <v>74</v>
      </c>
      <c r="AJ312" t="s">
        <v>74</v>
      </c>
      <c r="AK312" t="s">
        <v>74</v>
      </c>
      <c r="AL312" t="s">
        <v>74</v>
      </c>
      <c r="AM312" t="s">
        <v>74</v>
      </c>
      <c r="AN312" t="s">
        <v>74</v>
      </c>
      <c r="AO312" t="s">
        <v>2933</v>
      </c>
      <c r="AP312" t="s">
        <v>74</v>
      </c>
      <c r="AQ312" t="s">
        <v>2934</v>
      </c>
      <c r="AR312" t="s">
        <v>74</v>
      </c>
      <c r="AS312" t="s">
        <v>74</v>
      </c>
      <c r="AT312" t="s">
        <v>74</v>
      </c>
      <c r="AU312">
        <v>2022</v>
      </c>
      <c r="AV312" t="s">
        <v>74</v>
      </c>
      <c r="AW312" t="s">
        <v>74</v>
      </c>
      <c r="AX312" t="s">
        <v>74</v>
      </c>
      <c r="AY312" t="s">
        <v>74</v>
      </c>
      <c r="AZ312" t="s">
        <v>74</v>
      </c>
      <c r="BA312" t="s">
        <v>74</v>
      </c>
      <c r="BB312" t="s">
        <v>74</v>
      </c>
      <c r="BC312" t="s">
        <v>74</v>
      </c>
      <c r="BD312" t="s">
        <v>74</v>
      </c>
      <c r="BE312" t="s">
        <v>74</v>
      </c>
      <c r="BF312" t="s">
        <v>74</v>
      </c>
      <c r="BG312" t="s">
        <v>74</v>
      </c>
      <c r="BH312" t="s">
        <v>74</v>
      </c>
      <c r="BI312" t="s">
        <v>74</v>
      </c>
      <c r="BJ312" t="s">
        <v>74</v>
      </c>
      <c r="BK312" t="s">
        <v>74</v>
      </c>
      <c r="BL312" t="s">
        <v>74</v>
      </c>
      <c r="BM312" t="s">
        <v>74</v>
      </c>
      <c r="BN312" t="s">
        <v>74</v>
      </c>
      <c r="BO312" t="s">
        <v>74</v>
      </c>
      <c r="BP312" t="s">
        <v>74</v>
      </c>
      <c r="BQ312" t="s">
        <v>74</v>
      </c>
      <c r="BR312" t="s">
        <v>74</v>
      </c>
      <c r="BS312" t="s">
        <v>2935</v>
      </c>
      <c r="BT312" t="str">
        <f>HYPERLINK("https%3A%2F%2Fwww.webofscience.com%2Fwos%2Fwoscc%2Ffull-record%2FWOS:000848616300005","View Full Record in Web of Science")</f>
        <v>View Full Record in Web of Science</v>
      </c>
    </row>
    <row r="313" spans="1:72" x14ac:dyDescent="0.25">
      <c r="A313" t="s">
        <v>72</v>
      </c>
      <c r="B313" t="s">
        <v>2936</v>
      </c>
      <c r="C313" t="s">
        <v>74</v>
      </c>
      <c r="D313" t="s">
        <v>74</v>
      </c>
      <c r="E313" t="s">
        <v>74</v>
      </c>
      <c r="F313" t="s">
        <v>2937</v>
      </c>
      <c r="G313" t="s">
        <v>74</v>
      </c>
      <c r="H313" t="s">
        <v>74</v>
      </c>
      <c r="I313" t="s">
        <v>2938</v>
      </c>
      <c r="J313" t="s">
        <v>873</v>
      </c>
      <c r="K313" t="s">
        <v>74</v>
      </c>
      <c r="L313" t="s">
        <v>74</v>
      </c>
      <c r="M313" t="s">
        <v>74</v>
      </c>
      <c r="N313" t="s">
        <v>74</v>
      </c>
      <c r="O313" t="s">
        <v>74</v>
      </c>
      <c r="P313" t="s">
        <v>74</v>
      </c>
      <c r="Q313" t="s">
        <v>74</v>
      </c>
      <c r="R313" t="s">
        <v>74</v>
      </c>
      <c r="S313" t="s">
        <v>74</v>
      </c>
      <c r="T313" t="s">
        <v>74</v>
      </c>
      <c r="U313" t="s">
        <v>74</v>
      </c>
      <c r="V313" t="s">
        <v>2939</v>
      </c>
      <c r="W313" t="s">
        <v>74</v>
      </c>
      <c r="X313" t="s">
        <v>74</v>
      </c>
      <c r="Y313" t="s">
        <v>74</v>
      </c>
      <c r="Z313" t="s">
        <v>74</v>
      </c>
      <c r="AA313" t="s">
        <v>2940</v>
      </c>
      <c r="AB313" t="s">
        <v>2941</v>
      </c>
      <c r="AC313" t="s">
        <v>74</v>
      </c>
      <c r="AD313" t="s">
        <v>74</v>
      </c>
      <c r="AE313" t="s">
        <v>74</v>
      </c>
      <c r="AF313" t="s">
        <v>74</v>
      </c>
      <c r="AG313" t="s">
        <v>74</v>
      </c>
      <c r="AH313" t="s">
        <v>74</v>
      </c>
      <c r="AI313" t="s">
        <v>74</v>
      </c>
      <c r="AJ313" t="s">
        <v>74</v>
      </c>
      <c r="AK313" t="s">
        <v>74</v>
      </c>
      <c r="AL313" t="s">
        <v>74</v>
      </c>
      <c r="AM313" t="s">
        <v>74</v>
      </c>
      <c r="AN313" t="s">
        <v>74</v>
      </c>
      <c r="AO313" t="s">
        <v>74</v>
      </c>
      <c r="AP313" t="s">
        <v>877</v>
      </c>
      <c r="AQ313" t="s">
        <v>74</v>
      </c>
      <c r="AR313" t="s">
        <v>74</v>
      </c>
      <c r="AS313" t="s">
        <v>74</v>
      </c>
      <c r="AT313" t="s">
        <v>465</v>
      </c>
      <c r="AU313">
        <v>2022</v>
      </c>
      <c r="AV313">
        <v>22</v>
      </c>
      <c r="AW313">
        <v>24</v>
      </c>
      <c r="AX313" t="s">
        <v>74</v>
      </c>
      <c r="AY313" t="s">
        <v>74</v>
      </c>
      <c r="AZ313" t="s">
        <v>74</v>
      </c>
      <c r="BA313" t="s">
        <v>74</v>
      </c>
      <c r="BB313" t="s">
        <v>74</v>
      </c>
      <c r="BC313" t="s">
        <v>74</v>
      </c>
      <c r="BD313">
        <v>9747</v>
      </c>
      <c r="BE313" t="s">
        <v>2942</v>
      </c>
      <c r="BF313" t="str">
        <f>HYPERLINK("http://dx.doi.org/10.3390/s22249747","http://dx.doi.org/10.3390/s22249747")</f>
        <v>http://dx.doi.org/10.3390/s22249747</v>
      </c>
      <c r="BG313" t="s">
        <v>74</v>
      </c>
      <c r="BH313" t="s">
        <v>74</v>
      </c>
      <c r="BI313" t="s">
        <v>74</v>
      </c>
      <c r="BJ313" t="s">
        <v>74</v>
      </c>
      <c r="BK313" t="s">
        <v>74</v>
      </c>
      <c r="BL313" t="s">
        <v>74</v>
      </c>
      <c r="BM313" t="s">
        <v>74</v>
      </c>
      <c r="BN313">
        <v>36560115</v>
      </c>
      <c r="BO313" t="s">
        <v>74</v>
      </c>
      <c r="BP313" t="s">
        <v>74</v>
      </c>
      <c r="BQ313" t="s">
        <v>74</v>
      </c>
      <c r="BR313" t="s">
        <v>74</v>
      </c>
      <c r="BS313" t="s">
        <v>2943</v>
      </c>
      <c r="BT313" t="str">
        <f>HYPERLINK("https%3A%2F%2Fwww.webofscience.com%2Fwos%2Fwoscc%2Ffull-record%2FWOS:000903459800001","View Full Record in Web of Science")</f>
        <v>View Full Record in Web of Science</v>
      </c>
    </row>
    <row r="314" spans="1:72" x14ac:dyDescent="0.25">
      <c r="A314" t="s">
        <v>72</v>
      </c>
      <c r="B314" t="s">
        <v>2944</v>
      </c>
      <c r="C314" t="s">
        <v>74</v>
      </c>
      <c r="D314" t="s">
        <v>74</v>
      </c>
      <c r="E314" t="s">
        <v>74</v>
      </c>
      <c r="F314" t="s">
        <v>2945</v>
      </c>
      <c r="G314" t="s">
        <v>74</v>
      </c>
      <c r="H314" t="s">
        <v>74</v>
      </c>
      <c r="I314" t="s">
        <v>2946</v>
      </c>
      <c r="J314" t="s">
        <v>1052</v>
      </c>
      <c r="K314" t="s">
        <v>74</v>
      </c>
      <c r="L314" t="s">
        <v>74</v>
      </c>
      <c r="M314" t="s">
        <v>74</v>
      </c>
      <c r="N314" t="s">
        <v>74</v>
      </c>
      <c r="O314" t="s">
        <v>74</v>
      </c>
      <c r="P314" t="s">
        <v>74</v>
      </c>
      <c r="Q314" t="s">
        <v>74</v>
      </c>
      <c r="R314" t="s">
        <v>74</v>
      </c>
      <c r="S314" t="s">
        <v>74</v>
      </c>
      <c r="T314" t="s">
        <v>74</v>
      </c>
      <c r="U314" t="s">
        <v>74</v>
      </c>
      <c r="V314" t="s">
        <v>2947</v>
      </c>
      <c r="W314" t="s">
        <v>74</v>
      </c>
      <c r="X314" t="s">
        <v>74</v>
      </c>
      <c r="Y314" t="s">
        <v>74</v>
      </c>
      <c r="Z314" t="s">
        <v>74</v>
      </c>
      <c r="AA314" t="s">
        <v>74</v>
      </c>
      <c r="AB314" t="s">
        <v>2948</v>
      </c>
      <c r="AC314" t="s">
        <v>74</v>
      </c>
      <c r="AD314" t="s">
        <v>74</v>
      </c>
      <c r="AE314" t="s">
        <v>74</v>
      </c>
      <c r="AF314" t="s">
        <v>74</v>
      </c>
      <c r="AG314" t="s">
        <v>74</v>
      </c>
      <c r="AH314" t="s">
        <v>74</v>
      </c>
      <c r="AI314" t="s">
        <v>74</v>
      </c>
      <c r="AJ314" t="s">
        <v>74</v>
      </c>
      <c r="AK314" t="s">
        <v>74</v>
      </c>
      <c r="AL314" t="s">
        <v>74</v>
      </c>
      <c r="AM314" t="s">
        <v>74</v>
      </c>
      <c r="AN314" t="s">
        <v>74</v>
      </c>
      <c r="AO314" t="s">
        <v>1054</v>
      </c>
      <c r="AP314" t="s">
        <v>74</v>
      </c>
      <c r="AQ314" t="s">
        <v>74</v>
      </c>
      <c r="AR314" t="s">
        <v>74</v>
      </c>
      <c r="AS314" t="s">
        <v>74</v>
      </c>
      <c r="AT314" t="s">
        <v>2949</v>
      </c>
      <c r="AU314">
        <v>2023</v>
      </c>
      <c r="AV314">
        <v>10</v>
      </c>
      <c r="AW314">
        <v>8</v>
      </c>
      <c r="AX314" t="s">
        <v>74</v>
      </c>
      <c r="AY314" t="s">
        <v>74</v>
      </c>
      <c r="AZ314" t="s">
        <v>74</v>
      </c>
      <c r="BA314" t="s">
        <v>74</v>
      </c>
      <c r="BB314">
        <v>6673</v>
      </c>
      <c r="BC314">
        <v>6688</v>
      </c>
      <c r="BD314" t="s">
        <v>74</v>
      </c>
      <c r="BE314" t="s">
        <v>2950</v>
      </c>
      <c r="BF314" t="str">
        <f>HYPERLINK("http://dx.doi.org/10.1109/JIOT.2022.3162103","http://dx.doi.org/10.1109/JIOT.2022.3162103")</f>
        <v>http://dx.doi.org/10.1109/JIOT.2022.3162103</v>
      </c>
      <c r="BG314" t="s">
        <v>74</v>
      </c>
      <c r="BH314" t="s">
        <v>74</v>
      </c>
      <c r="BI314" t="s">
        <v>74</v>
      </c>
      <c r="BJ314" t="s">
        <v>74</v>
      </c>
      <c r="BK314" t="s">
        <v>74</v>
      </c>
      <c r="BL314" t="s">
        <v>74</v>
      </c>
      <c r="BM314" t="s">
        <v>74</v>
      </c>
      <c r="BN314" t="s">
        <v>74</v>
      </c>
      <c r="BO314" t="s">
        <v>74</v>
      </c>
      <c r="BP314" t="s">
        <v>74</v>
      </c>
      <c r="BQ314" t="s">
        <v>74</v>
      </c>
      <c r="BR314" t="s">
        <v>74</v>
      </c>
      <c r="BS314" t="s">
        <v>2951</v>
      </c>
      <c r="BT314" t="str">
        <f>HYPERLINK("https%3A%2F%2Fwww.webofscience.com%2Fwos%2Fwoscc%2Ffull-record%2FWOS:000968830500013","View Full Record in Web of Science")</f>
        <v>View Full Record in Web of Science</v>
      </c>
    </row>
    <row r="315" spans="1:72" x14ac:dyDescent="0.25">
      <c r="A315" t="s">
        <v>72</v>
      </c>
      <c r="B315" t="s">
        <v>2952</v>
      </c>
      <c r="C315" t="s">
        <v>74</v>
      </c>
      <c r="D315" t="s">
        <v>74</v>
      </c>
      <c r="E315" t="s">
        <v>74</v>
      </c>
      <c r="F315" t="s">
        <v>2953</v>
      </c>
      <c r="G315" t="s">
        <v>74</v>
      </c>
      <c r="H315" t="s">
        <v>74</v>
      </c>
      <c r="I315" t="s">
        <v>2954</v>
      </c>
      <c r="J315" t="s">
        <v>709</v>
      </c>
      <c r="K315" t="s">
        <v>74</v>
      </c>
      <c r="L315" t="s">
        <v>74</v>
      </c>
      <c r="M315" t="s">
        <v>74</v>
      </c>
      <c r="N315" t="s">
        <v>74</v>
      </c>
      <c r="O315" t="s">
        <v>74</v>
      </c>
      <c r="P315" t="s">
        <v>74</v>
      </c>
      <c r="Q315" t="s">
        <v>74</v>
      </c>
      <c r="R315" t="s">
        <v>74</v>
      </c>
      <c r="S315" t="s">
        <v>74</v>
      </c>
      <c r="T315" t="s">
        <v>74</v>
      </c>
      <c r="U315" t="s">
        <v>74</v>
      </c>
      <c r="V315" t="s">
        <v>2955</v>
      </c>
      <c r="W315" t="s">
        <v>74</v>
      </c>
      <c r="X315" t="s">
        <v>74</v>
      </c>
      <c r="Y315" t="s">
        <v>74</v>
      </c>
      <c r="Z315" t="s">
        <v>74</v>
      </c>
      <c r="AA315" t="s">
        <v>2956</v>
      </c>
      <c r="AB315" t="s">
        <v>2957</v>
      </c>
      <c r="AC315" t="s">
        <v>74</v>
      </c>
      <c r="AD315" t="s">
        <v>74</v>
      </c>
      <c r="AE315" t="s">
        <v>74</v>
      </c>
      <c r="AF315" t="s">
        <v>74</v>
      </c>
      <c r="AG315" t="s">
        <v>74</v>
      </c>
      <c r="AH315" t="s">
        <v>74</v>
      </c>
      <c r="AI315" t="s">
        <v>74</v>
      </c>
      <c r="AJ315" t="s">
        <v>74</v>
      </c>
      <c r="AK315" t="s">
        <v>74</v>
      </c>
      <c r="AL315" t="s">
        <v>74</v>
      </c>
      <c r="AM315" t="s">
        <v>74</v>
      </c>
      <c r="AN315" t="s">
        <v>74</v>
      </c>
      <c r="AO315" t="s">
        <v>74</v>
      </c>
      <c r="AP315" t="s">
        <v>711</v>
      </c>
      <c r="AQ315" t="s">
        <v>74</v>
      </c>
      <c r="AR315" t="s">
        <v>74</v>
      </c>
      <c r="AS315" t="s">
        <v>74</v>
      </c>
      <c r="AT315" t="s">
        <v>195</v>
      </c>
      <c r="AU315">
        <v>2022</v>
      </c>
      <c r="AV315">
        <v>12</v>
      </c>
      <c r="AW315">
        <v>22</v>
      </c>
      <c r="AX315" t="s">
        <v>74</v>
      </c>
      <c r="AY315" t="s">
        <v>74</v>
      </c>
      <c r="AZ315" t="s">
        <v>74</v>
      </c>
      <c r="BA315" t="s">
        <v>74</v>
      </c>
      <c r="BB315" t="s">
        <v>74</v>
      </c>
      <c r="BC315" t="s">
        <v>74</v>
      </c>
      <c r="BD315">
        <v>11804</v>
      </c>
      <c r="BE315" t="s">
        <v>2958</v>
      </c>
      <c r="BF315" t="str">
        <f>HYPERLINK("http://dx.doi.org/10.3390/app122211804","http://dx.doi.org/10.3390/app122211804")</f>
        <v>http://dx.doi.org/10.3390/app122211804</v>
      </c>
      <c r="BG315" t="s">
        <v>74</v>
      </c>
      <c r="BH315" t="s">
        <v>74</v>
      </c>
      <c r="BI315" t="s">
        <v>74</v>
      </c>
      <c r="BJ315" t="s">
        <v>74</v>
      </c>
      <c r="BK315" t="s">
        <v>74</v>
      </c>
      <c r="BL315" t="s">
        <v>74</v>
      </c>
      <c r="BM315" t="s">
        <v>74</v>
      </c>
      <c r="BN315" t="s">
        <v>74</v>
      </c>
      <c r="BO315" t="s">
        <v>74</v>
      </c>
      <c r="BP315" t="s">
        <v>74</v>
      </c>
      <c r="BQ315" t="s">
        <v>74</v>
      </c>
      <c r="BR315" t="s">
        <v>74</v>
      </c>
      <c r="BS315" t="s">
        <v>2959</v>
      </c>
      <c r="BT315" t="str">
        <f>HYPERLINK("https%3A%2F%2Fwww.webofscience.com%2Fwos%2Fwoscc%2Ffull-record%2FWOS:000887042000001","View Full Record in Web of Science")</f>
        <v>View Full Record in Web of Science</v>
      </c>
    </row>
    <row r="316" spans="1:72" x14ac:dyDescent="0.25">
      <c r="A316" t="s">
        <v>84</v>
      </c>
      <c r="B316" t="s">
        <v>2960</v>
      </c>
      <c r="C316" t="s">
        <v>74</v>
      </c>
      <c r="D316" t="s">
        <v>74</v>
      </c>
      <c r="E316" t="s">
        <v>233</v>
      </c>
      <c r="F316" t="s">
        <v>2961</v>
      </c>
      <c r="G316" t="s">
        <v>74</v>
      </c>
      <c r="H316" t="s">
        <v>74</v>
      </c>
      <c r="I316" t="s">
        <v>2962</v>
      </c>
      <c r="J316" t="s">
        <v>798</v>
      </c>
      <c r="K316" t="s">
        <v>74</v>
      </c>
      <c r="L316" t="s">
        <v>74</v>
      </c>
      <c r="M316" t="s">
        <v>74</v>
      </c>
      <c r="N316" t="s">
        <v>74</v>
      </c>
      <c r="O316" t="s">
        <v>799</v>
      </c>
      <c r="P316" t="s">
        <v>800</v>
      </c>
      <c r="Q316" t="s">
        <v>108</v>
      </c>
      <c r="R316" t="s">
        <v>801</v>
      </c>
      <c r="S316" t="s">
        <v>74</v>
      </c>
      <c r="T316" t="s">
        <v>74</v>
      </c>
      <c r="U316" t="s">
        <v>74</v>
      </c>
      <c r="V316" t="s">
        <v>2963</v>
      </c>
      <c r="W316" t="s">
        <v>74</v>
      </c>
      <c r="X316" t="s">
        <v>74</v>
      </c>
      <c r="Y316" t="s">
        <v>74</v>
      </c>
      <c r="Z316" t="s">
        <v>74</v>
      </c>
      <c r="AA316" t="s">
        <v>74</v>
      </c>
      <c r="AB316" t="s">
        <v>74</v>
      </c>
      <c r="AC316" t="s">
        <v>74</v>
      </c>
      <c r="AD316" t="s">
        <v>74</v>
      </c>
      <c r="AE316" t="s">
        <v>74</v>
      </c>
      <c r="AF316" t="s">
        <v>74</v>
      </c>
      <c r="AG316" t="s">
        <v>74</v>
      </c>
      <c r="AH316" t="s">
        <v>74</v>
      </c>
      <c r="AI316" t="s">
        <v>74</v>
      </c>
      <c r="AJ316" t="s">
        <v>74</v>
      </c>
      <c r="AK316" t="s">
        <v>74</v>
      </c>
      <c r="AL316" t="s">
        <v>74</v>
      </c>
      <c r="AM316" t="s">
        <v>74</v>
      </c>
      <c r="AN316" t="s">
        <v>74</v>
      </c>
      <c r="AO316" t="s">
        <v>74</v>
      </c>
      <c r="AP316" t="s">
        <v>74</v>
      </c>
      <c r="AQ316" t="s">
        <v>804</v>
      </c>
      <c r="AR316" t="s">
        <v>74</v>
      </c>
      <c r="AS316" t="s">
        <v>74</v>
      </c>
      <c r="AT316" t="s">
        <v>74</v>
      </c>
      <c r="AU316">
        <v>2022</v>
      </c>
      <c r="AV316" t="s">
        <v>74</v>
      </c>
      <c r="AW316" t="s">
        <v>74</v>
      </c>
      <c r="AX316" t="s">
        <v>74</v>
      </c>
      <c r="AY316" t="s">
        <v>74</v>
      </c>
      <c r="AZ316" t="s">
        <v>74</v>
      </c>
      <c r="BA316" t="s">
        <v>74</v>
      </c>
      <c r="BB316">
        <v>140</v>
      </c>
      <c r="BC316">
        <v>145</v>
      </c>
      <c r="BD316" t="s">
        <v>74</v>
      </c>
      <c r="BE316" t="s">
        <v>2964</v>
      </c>
      <c r="BF316" t="str">
        <f>HYPERLINK("http://dx.doi.org/10.1109/VRW55335.2022.00041","http://dx.doi.org/10.1109/VRW55335.2022.00041")</f>
        <v>http://dx.doi.org/10.1109/VRW55335.2022.00041</v>
      </c>
      <c r="BG316" t="s">
        <v>74</v>
      </c>
      <c r="BH316" t="s">
        <v>74</v>
      </c>
      <c r="BI316" t="s">
        <v>74</v>
      </c>
      <c r="BJ316" t="s">
        <v>74</v>
      </c>
      <c r="BK316" t="s">
        <v>74</v>
      </c>
      <c r="BL316" t="s">
        <v>74</v>
      </c>
      <c r="BM316" t="s">
        <v>74</v>
      </c>
      <c r="BN316" t="s">
        <v>74</v>
      </c>
      <c r="BO316" t="s">
        <v>74</v>
      </c>
      <c r="BP316" t="s">
        <v>74</v>
      </c>
      <c r="BQ316" t="s">
        <v>74</v>
      </c>
      <c r="BR316" t="s">
        <v>74</v>
      </c>
      <c r="BS316" t="s">
        <v>2965</v>
      </c>
      <c r="BT316" t="str">
        <f>HYPERLINK("https%3A%2F%2Fwww.webofscience.com%2Fwos%2Fwoscc%2Ffull-record%2FWOS:000808111800032","View Full Record in Web of Science")</f>
        <v>View Full Record in Web of Science</v>
      </c>
    </row>
    <row r="317" spans="1:72" x14ac:dyDescent="0.25">
      <c r="A317" t="s">
        <v>84</v>
      </c>
      <c r="B317" t="s">
        <v>2966</v>
      </c>
      <c r="C317" t="s">
        <v>74</v>
      </c>
      <c r="D317" t="s">
        <v>2967</v>
      </c>
      <c r="E317" t="s">
        <v>74</v>
      </c>
      <c r="F317" t="s">
        <v>2968</v>
      </c>
      <c r="G317" t="s">
        <v>74</v>
      </c>
      <c r="H317" t="s">
        <v>74</v>
      </c>
      <c r="I317" t="s">
        <v>2969</v>
      </c>
      <c r="J317" t="s">
        <v>2970</v>
      </c>
      <c r="K317" t="s">
        <v>2971</v>
      </c>
      <c r="L317" t="s">
        <v>74</v>
      </c>
      <c r="M317" t="s">
        <v>74</v>
      </c>
      <c r="N317" t="s">
        <v>74</v>
      </c>
      <c r="O317" t="s">
        <v>2972</v>
      </c>
      <c r="P317" t="s">
        <v>2973</v>
      </c>
      <c r="Q317" t="s">
        <v>2422</v>
      </c>
      <c r="R317" t="s">
        <v>2974</v>
      </c>
      <c r="S317" t="s">
        <v>74</v>
      </c>
      <c r="T317" t="s">
        <v>74</v>
      </c>
      <c r="U317" t="s">
        <v>74</v>
      </c>
      <c r="V317" t="s">
        <v>2975</v>
      </c>
      <c r="W317" t="s">
        <v>74</v>
      </c>
      <c r="X317" t="s">
        <v>74</v>
      </c>
      <c r="Y317" t="s">
        <v>74</v>
      </c>
      <c r="Z317" t="s">
        <v>74</v>
      </c>
      <c r="AA317" t="s">
        <v>74</v>
      </c>
      <c r="AB317" t="s">
        <v>2976</v>
      </c>
      <c r="AC317" t="s">
        <v>74</v>
      </c>
      <c r="AD317" t="s">
        <v>74</v>
      </c>
      <c r="AE317" t="s">
        <v>74</v>
      </c>
      <c r="AF317" t="s">
        <v>74</v>
      </c>
      <c r="AG317" t="s">
        <v>74</v>
      </c>
      <c r="AH317" t="s">
        <v>74</v>
      </c>
      <c r="AI317" t="s">
        <v>74</v>
      </c>
      <c r="AJ317" t="s">
        <v>74</v>
      </c>
      <c r="AK317" t="s">
        <v>74</v>
      </c>
      <c r="AL317" t="s">
        <v>74</v>
      </c>
      <c r="AM317" t="s">
        <v>74</v>
      </c>
      <c r="AN317" t="s">
        <v>74</v>
      </c>
      <c r="AO317" t="s">
        <v>164</v>
      </c>
      <c r="AP317" t="s">
        <v>165</v>
      </c>
      <c r="AQ317" t="s">
        <v>2977</v>
      </c>
      <c r="AR317" t="s">
        <v>74</v>
      </c>
      <c r="AS317" t="s">
        <v>74</v>
      </c>
      <c r="AT317" t="s">
        <v>74</v>
      </c>
      <c r="AU317">
        <v>2022</v>
      </c>
      <c r="AV317">
        <v>13395</v>
      </c>
      <c r="AW317" t="s">
        <v>74</v>
      </c>
      <c r="AX317" t="s">
        <v>74</v>
      </c>
      <c r="AY317" t="s">
        <v>74</v>
      </c>
      <c r="AZ317" t="s">
        <v>74</v>
      </c>
      <c r="BA317" t="s">
        <v>74</v>
      </c>
      <c r="BB317">
        <v>492</v>
      </c>
      <c r="BC317">
        <v>503</v>
      </c>
      <c r="BD317" t="s">
        <v>74</v>
      </c>
      <c r="BE317" t="s">
        <v>2978</v>
      </c>
      <c r="BF317" t="str">
        <f>HYPERLINK("http://dx.doi.org/10.1007/978-3-031-13832-4_41","http://dx.doi.org/10.1007/978-3-031-13832-4_41")</f>
        <v>http://dx.doi.org/10.1007/978-3-031-13832-4_41</v>
      </c>
      <c r="BG317" t="s">
        <v>74</v>
      </c>
      <c r="BH317" t="s">
        <v>74</v>
      </c>
      <c r="BI317" t="s">
        <v>74</v>
      </c>
      <c r="BJ317" t="s">
        <v>74</v>
      </c>
      <c r="BK317" t="s">
        <v>74</v>
      </c>
      <c r="BL317" t="s">
        <v>74</v>
      </c>
      <c r="BM317" t="s">
        <v>74</v>
      </c>
      <c r="BN317" t="s">
        <v>74</v>
      </c>
      <c r="BO317" t="s">
        <v>74</v>
      </c>
      <c r="BP317" t="s">
        <v>74</v>
      </c>
      <c r="BQ317" t="s">
        <v>74</v>
      </c>
      <c r="BR317" t="s">
        <v>74</v>
      </c>
      <c r="BS317" t="s">
        <v>2979</v>
      </c>
      <c r="BT317" t="str">
        <f>HYPERLINK("https%3A%2F%2Fwww.webofscience.com%2Fwos%2Fwoscc%2Ffull-record%2FWOS:000870337200041","View Full Record in Web of Science")</f>
        <v>View Full Record in Web of Science</v>
      </c>
    </row>
    <row r="318" spans="1:72" x14ac:dyDescent="0.25">
      <c r="A318" t="s">
        <v>84</v>
      </c>
      <c r="B318" t="s">
        <v>2980</v>
      </c>
      <c r="C318" t="s">
        <v>74</v>
      </c>
      <c r="D318" t="s">
        <v>74</v>
      </c>
      <c r="E318" t="s">
        <v>86</v>
      </c>
      <c r="F318" t="s">
        <v>2981</v>
      </c>
      <c r="G318" t="s">
        <v>74</v>
      </c>
      <c r="H318" t="s">
        <v>74</v>
      </c>
      <c r="I318" t="s">
        <v>2982</v>
      </c>
      <c r="J318" t="s">
        <v>2463</v>
      </c>
      <c r="K318" t="s">
        <v>2464</v>
      </c>
      <c r="L318" t="s">
        <v>74</v>
      </c>
      <c r="M318" t="s">
        <v>74</v>
      </c>
      <c r="N318" t="s">
        <v>74</v>
      </c>
      <c r="O318" t="s">
        <v>1165</v>
      </c>
      <c r="P318" t="s">
        <v>1166</v>
      </c>
      <c r="Q318" t="s">
        <v>1167</v>
      </c>
      <c r="R318" t="s">
        <v>1168</v>
      </c>
      <c r="S318" t="s">
        <v>74</v>
      </c>
      <c r="T318" t="s">
        <v>74</v>
      </c>
      <c r="U318" t="s">
        <v>74</v>
      </c>
      <c r="V318" t="s">
        <v>2983</v>
      </c>
      <c r="W318" t="s">
        <v>74</v>
      </c>
      <c r="X318" t="s">
        <v>74</v>
      </c>
      <c r="Y318" t="s">
        <v>74</v>
      </c>
      <c r="Z318" t="s">
        <v>74</v>
      </c>
      <c r="AA318" t="s">
        <v>2984</v>
      </c>
      <c r="AB318" t="s">
        <v>74</v>
      </c>
      <c r="AC318" t="s">
        <v>74</v>
      </c>
      <c r="AD318" t="s">
        <v>74</v>
      </c>
      <c r="AE318" t="s">
        <v>74</v>
      </c>
      <c r="AF318" t="s">
        <v>74</v>
      </c>
      <c r="AG318" t="s">
        <v>74</v>
      </c>
      <c r="AH318" t="s">
        <v>74</v>
      </c>
      <c r="AI318" t="s">
        <v>74</v>
      </c>
      <c r="AJ318" t="s">
        <v>74</v>
      </c>
      <c r="AK318" t="s">
        <v>74</v>
      </c>
      <c r="AL318" t="s">
        <v>74</v>
      </c>
      <c r="AM318" t="s">
        <v>74</v>
      </c>
      <c r="AN318" t="s">
        <v>74</v>
      </c>
      <c r="AO318" t="s">
        <v>2468</v>
      </c>
      <c r="AP318" t="s">
        <v>74</v>
      </c>
      <c r="AQ318" t="s">
        <v>2469</v>
      </c>
      <c r="AR318" t="s">
        <v>74</v>
      </c>
      <c r="AS318" t="s">
        <v>74</v>
      </c>
      <c r="AT318" t="s">
        <v>74</v>
      </c>
      <c r="AU318">
        <v>2022</v>
      </c>
      <c r="AV318" t="s">
        <v>74</v>
      </c>
      <c r="AW318" t="s">
        <v>74</v>
      </c>
      <c r="AX318" t="s">
        <v>74</v>
      </c>
      <c r="AY318" t="s">
        <v>74</v>
      </c>
      <c r="AZ318" t="s">
        <v>74</v>
      </c>
      <c r="BA318" t="s">
        <v>74</v>
      </c>
      <c r="BB318" t="s">
        <v>74</v>
      </c>
      <c r="BC318" t="s">
        <v>74</v>
      </c>
      <c r="BD318" t="s">
        <v>74</v>
      </c>
      <c r="BE318" t="s">
        <v>2985</v>
      </c>
      <c r="BF318" t="str">
        <f>HYPERLINK("http://dx.doi.org/10.1109/IJCNN55064.2022.9892625","http://dx.doi.org/10.1109/IJCNN55064.2022.9892625")</f>
        <v>http://dx.doi.org/10.1109/IJCNN55064.2022.9892625</v>
      </c>
      <c r="BG318" t="s">
        <v>74</v>
      </c>
      <c r="BH318" t="s">
        <v>74</v>
      </c>
      <c r="BI318" t="s">
        <v>74</v>
      </c>
      <c r="BJ318" t="s">
        <v>74</v>
      </c>
      <c r="BK318" t="s">
        <v>74</v>
      </c>
      <c r="BL318" t="s">
        <v>74</v>
      </c>
      <c r="BM318" t="s">
        <v>74</v>
      </c>
      <c r="BN318" t="s">
        <v>74</v>
      </c>
      <c r="BO318" t="s">
        <v>74</v>
      </c>
      <c r="BP318" t="s">
        <v>74</v>
      </c>
      <c r="BQ318" t="s">
        <v>74</v>
      </c>
      <c r="BR318" t="s">
        <v>74</v>
      </c>
      <c r="BS318" t="s">
        <v>2986</v>
      </c>
      <c r="BT318" t="str">
        <f>HYPERLINK("https%3A%2F%2Fwww.webofscience.com%2Fwos%2Fwoscc%2Ffull-record%2FWOS:000867070906009","View Full Record in Web of Science")</f>
        <v>View Full Record in Web of Science</v>
      </c>
    </row>
    <row r="319" spans="1:72" x14ac:dyDescent="0.25">
      <c r="A319" t="s">
        <v>72</v>
      </c>
      <c r="B319" t="s">
        <v>2987</v>
      </c>
      <c r="C319" t="s">
        <v>74</v>
      </c>
      <c r="D319" t="s">
        <v>74</v>
      </c>
      <c r="E319" t="s">
        <v>74</v>
      </c>
      <c r="F319" t="s">
        <v>2988</v>
      </c>
      <c r="G319" t="s">
        <v>74</v>
      </c>
      <c r="H319" t="s">
        <v>74</v>
      </c>
      <c r="I319" t="s">
        <v>2989</v>
      </c>
      <c r="J319" t="s">
        <v>2990</v>
      </c>
      <c r="K319" t="s">
        <v>74</v>
      </c>
      <c r="L319" t="s">
        <v>74</v>
      </c>
      <c r="M319" t="s">
        <v>74</v>
      </c>
      <c r="N319" t="s">
        <v>74</v>
      </c>
      <c r="O319" t="s">
        <v>74</v>
      </c>
      <c r="P319" t="s">
        <v>74</v>
      </c>
      <c r="Q319" t="s">
        <v>74</v>
      </c>
      <c r="R319" t="s">
        <v>74</v>
      </c>
      <c r="S319" t="s">
        <v>74</v>
      </c>
      <c r="T319" t="s">
        <v>74</v>
      </c>
      <c r="U319" t="s">
        <v>74</v>
      </c>
      <c r="V319" t="s">
        <v>2991</v>
      </c>
      <c r="W319" t="s">
        <v>74</v>
      </c>
      <c r="X319" t="s">
        <v>74</v>
      </c>
      <c r="Y319" t="s">
        <v>74</v>
      </c>
      <c r="Z319" t="s">
        <v>74</v>
      </c>
      <c r="AA319" t="s">
        <v>74</v>
      </c>
      <c r="AB319" t="s">
        <v>74</v>
      </c>
      <c r="AC319" t="s">
        <v>74</v>
      </c>
      <c r="AD319" t="s">
        <v>74</v>
      </c>
      <c r="AE319" t="s">
        <v>74</v>
      </c>
      <c r="AF319" t="s">
        <v>74</v>
      </c>
      <c r="AG319" t="s">
        <v>74</v>
      </c>
      <c r="AH319" t="s">
        <v>74</v>
      </c>
      <c r="AI319" t="s">
        <v>74</v>
      </c>
      <c r="AJ319" t="s">
        <v>74</v>
      </c>
      <c r="AK319" t="s">
        <v>74</v>
      </c>
      <c r="AL319" t="s">
        <v>74</v>
      </c>
      <c r="AM319" t="s">
        <v>74</v>
      </c>
      <c r="AN319" t="s">
        <v>74</v>
      </c>
      <c r="AO319" t="s">
        <v>74</v>
      </c>
      <c r="AP319" t="s">
        <v>2992</v>
      </c>
      <c r="AQ319" t="s">
        <v>74</v>
      </c>
      <c r="AR319" t="s">
        <v>74</v>
      </c>
      <c r="AS319" t="s">
        <v>74</v>
      </c>
      <c r="AT319" t="s">
        <v>1202</v>
      </c>
      <c r="AU319">
        <v>2023</v>
      </c>
      <c r="AV319">
        <v>13</v>
      </c>
      <c r="AW319">
        <v>8</v>
      </c>
      <c r="AX319" t="s">
        <v>74</v>
      </c>
      <c r="AY319" t="s">
        <v>74</v>
      </c>
      <c r="AZ319" t="s">
        <v>74</v>
      </c>
      <c r="BA319" t="s">
        <v>74</v>
      </c>
      <c r="BB319" t="s">
        <v>74</v>
      </c>
      <c r="BC319" t="s">
        <v>74</v>
      </c>
      <c r="BD319">
        <v>1485</v>
      </c>
      <c r="BE319" t="s">
        <v>2993</v>
      </c>
      <c r="BF319" t="str">
        <f>HYPERLINK("http://dx.doi.org/10.3390/diagnostics13081485","http://dx.doi.org/10.3390/diagnostics13081485")</f>
        <v>http://dx.doi.org/10.3390/diagnostics13081485</v>
      </c>
      <c r="BG319" t="s">
        <v>74</v>
      </c>
      <c r="BH319" t="s">
        <v>74</v>
      </c>
      <c r="BI319" t="s">
        <v>74</v>
      </c>
      <c r="BJ319" t="s">
        <v>74</v>
      </c>
      <c r="BK319" t="s">
        <v>74</v>
      </c>
      <c r="BL319" t="s">
        <v>74</v>
      </c>
      <c r="BM319" t="s">
        <v>74</v>
      </c>
      <c r="BN319" t="s">
        <v>74</v>
      </c>
      <c r="BO319" t="s">
        <v>74</v>
      </c>
      <c r="BP319" t="s">
        <v>74</v>
      </c>
      <c r="BQ319" t="s">
        <v>74</v>
      </c>
      <c r="BR319" t="s">
        <v>74</v>
      </c>
      <c r="BS319" t="s">
        <v>2994</v>
      </c>
      <c r="BT319" t="str">
        <f>HYPERLINK("https%3A%2F%2Fwww.webofscience.com%2Fwos%2Fwoscc%2Ffull-record%2FWOS:000977999000001","View Full Record in Web of Science")</f>
        <v>View Full Record in Web of Science</v>
      </c>
    </row>
    <row r="320" spans="1:72" x14ac:dyDescent="0.25">
      <c r="A320" t="s">
        <v>72</v>
      </c>
      <c r="B320" t="s">
        <v>2995</v>
      </c>
      <c r="C320" t="s">
        <v>74</v>
      </c>
      <c r="D320" t="s">
        <v>74</v>
      </c>
      <c r="E320" t="s">
        <v>74</v>
      </c>
      <c r="F320" t="s">
        <v>2996</v>
      </c>
      <c r="G320" t="s">
        <v>74</v>
      </c>
      <c r="H320" t="s">
        <v>74</v>
      </c>
      <c r="I320" t="s">
        <v>2997</v>
      </c>
      <c r="J320" t="s">
        <v>460</v>
      </c>
      <c r="K320" t="s">
        <v>74</v>
      </c>
      <c r="L320" t="s">
        <v>74</v>
      </c>
      <c r="M320" t="s">
        <v>74</v>
      </c>
      <c r="N320" t="s">
        <v>74</v>
      </c>
      <c r="O320" t="s">
        <v>74</v>
      </c>
      <c r="P320" t="s">
        <v>74</v>
      </c>
      <c r="Q320" t="s">
        <v>74</v>
      </c>
      <c r="R320" t="s">
        <v>74</v>
      </c>
      <c r="S320" t="s">
        <v>74</v>
      </c>
      <c r="T320" t="s">
        <v>74</v>
      </c>
      <c r="U320" t="s">
        <v>74</v>
      </c>
      <c r="V320" t="s">
        <v>2998</v>
      </c>
      <c r="W320" t="s">
        <v>74</v>
      </c>
      <c r="X320" t="s">
        <v>74</v>
      </c>
      <c r="Y320" t="s">
        <v>74</v>
      </c>
      <c r="Z320" t="s">
        <v>74</v>
      </c>
      <c r="AA320" t="s">
        <v>74</v>
      </c>
      <c r="AB320" t="s">
        <v>74</v>
      </c>
      <c r="AC320" t="s">
        <v>74</v>
      </c>
      <c r="AD320" t="s">
        <v>74</v>
      </c>
      <c r="AE320" t="s">
        <v>74</v>
      </c>
      <c r="AF320" t="s">
        <v>74</v>
      </c>
      <c r="AG320" t="s">
        <v>74</v>
      </c>
      <c r="AH320" t="s">
        <v>74</v>
      </c>
      <c r="AI320" t="s">
        <v>74</v>
      </c>
      <c r="AJ320" t="s">
        <v>74</v>
      </c>
      <c r="AK320" t="s">
        <v>74</v>
      </c>
      <c r="AL320" t="s">
        <v>74</v>
      </c>
      <c r="AM320" t="s">
        <v>74</v>
      </c>
      <c r="AN320" t="s">
        <v>74</v>
      </c>
      <c r="AO320" t="s">
        <v>74</v>
      </c>
      <c r="AP320" t="s">
        <v>464</v>
      </c>
      <c r="AQ320" t="s">
        <v>74</v>
      </c>
      <c r="AR320" t="s">
        <v>74</v>
      </c>
      <c r="AS320" t="s">
        <v>74</v>
      </c>
      <c r="AT320" t="s">
        <v>175</v>
      </c>
      <c r="AU320">
        <v>2023</v>
      </c>
      <c r="AV320">
        <v>15</v>
      </c>
      <c r="AW320">
        <v>2</v>
      </c>
      <c r="AX320" t="s">
        <v>74</v>
      </c>
      <c r="AY320" t="s">
        <v>74</v>
      </c>
      <c r="AZ320" t="s">
        <v>74</v>
      </c>
      <c r="BA320" t="s">
        <v>74</v>
      </c>
      <c r="BB320" t="s">
        <v>74</v>
      </c>
      <c r="BC320" t="s">
        <v>74</v>
      </c>
      <c r="BD320">
        <v>1629</v>
      </c>
      <c r="BE320" t="s">
        <v>2999</v>
      </c>
      <c r="BF320" t="str">
        <f>HYPERLINK("http://dx.doi.org/10.3390/su15021629","http://dx.doi.org/10.3390/su15021629")</f>
        <v>http://dx.doi.org/10.3390/su15021629</v>
      </c>
      <c r="BG320" t="s">
        <v>74</v>
      </c>
      <c r="BH320" t="s">
        <v>74</v>
      </c>
      <c r="BI320" t="s">
        <v>74</v>
      </c>
      <c r="BJ320" t="s">
        <v>74</v>
      </c>
      <c r="BK320" t="s">
        <v>74</v>
      </c>
      <c r="BL320" t="s">
        <v>74</v>
      </c>
      <c r="BM320" t="s">
        <v>74</v>
      </c>
      <c r="BN320" t="s">
        <v>74</v>
      </c>
      <c r="BO320" t="s">
        <v>74</v>
      </c>
      <c r="BP320" t="s">
        <v>74</v>
      </c>
      <c r="BQ320" t="s">
        <v>74</v>
      </c>
      <c r="BR320" t="s">
        <v>74</v>
      </c>
      <c r="BS320" t="s">
        <v>3000</v>
      </c>
      <c r="BT320" t="str">
        <f>HYPERLINK("https%3A%2F%2Fwww.webofscience.com%2Fwos%2Fwoscc%2Ffull-record%2FWOS:000927221000001","View Full Record in Web of Science")</f>
        <v>View Full Record in Web of Science</v>
      </c>
    </row>
    <row r="321" spans="1:72" x14ac:dyDescent="0.25">
      <c r="A321" t="s">
        <v>84</v>
      </c>
      <c r="B321" t="s">
        <v>3001</v>
      </c>
      <c r="C321" t="s">
        <v>74</v>
      </c>
      <c r="D321" t="s">
        <v>2211</v>
      </c>
      <c r="E321" t="s">
        <v>74</v>
      </c>
      <c r="F321" t="s">
        <v>3002</v>
      </c>
      <c r="G321" t="s">
        <v>74</v>
      </c>
      <c r="H321" t="s">
        <v>74</v>
      </c>
      <c r="I321" t="s">
        <v>3003</v>
      </c>
      <c r="J321" t="s">
        <v>2214</v>
      </c>
      <c r="K321" t="s">
        <v>74</v>
      </c>
      <c r="L321" t="s">
        <v>74</v>
      </c>
      <c r="M321" t="s">
        <v>74</v>
      </c>
      <c r="N321" t="s">
        <v>74</v>
      </c>
      <c r="O321" t="s">
        <v>2215</v>
      </c>
      <c r="P321" t="s">
        <v>2216</v>
      </c>
      <c r="Q321" t="s">
        <v>2217</v>
      </c>
      <c r="R321" t="s">
        <v>74</v>
      </c>
      <c r="S321" t="s">
        <v>74</v>
      </c>
      <c r="T321" t="s">
        <v>74</v>
      </c>
      <c r="U321" t="s">
        <v>74</v>
      </c>
      <c r="V321" t="s">
        <v>3004</v>
      </c>
      <c r="W321" t="s">
        <v>74</v>
      </c>
      <c r="X321" t="s">
        <v>74</v>
      </c>
      <c r="Y321" t="s">
        <v>74</v>
      </c>
      <c r="Z321" t="s">
        <v>74</v>
      </c>
      <c r="AA321" t="s">
        <v>2219</v>
      </c>
      <c r="AB321" t="s">
        <v>2220</v>
      </c>
      <c r="AC321" t="s">
        <v>74</v>
      </c>
      <c r="AD321" t="s">
        <v>74</v>
      </c>
      <c r="AE321" t="s">
        <v>74</v>
      </c>
      <c r="AF321" t="s">
        <v>74</v>
      </c>
      <c r="AG321" t="s">
        <v>74</v>
      </c>
      <c r="AH321" t="s">
        <v>74</v>
      </c>
      <c r="AI321" t="s">
        <v>74</v>
      </c>
      <c r="AJ321" t="s">
        <v>74</v>
      </c>
      <c r="AK321" t="s">
        <v>74</v>
      </c>
      <c r="AL321" t="s">
        <v>74</v>
      </c>
      <c r="AM321" t="s">
        <v>74</v>
      </c>
      <c r="AN321" t="s">
        <v>74</v>
      </c>
      <c r="AO321" t="s">
        <v>74</v>
      </c>
      <c r="AP321" t="s">
        <v>74</v>
      </c>
      <c r="AQ321" t="s">
        <v>2221</v>
      </c>
      <c r="AR321" t="s">
        <v>74</v>
      </c>
      <c r="AS321" t="s">
        <v>74</v>
      </c>
      <c r="AT321" t="s">
        <v>74</v>
      </c>
      <c r="AU321">
        <v>2022</v>
      </c>
      <c r="AV321" t="s">
        <v>74</v>
      </c>
      <c r="AW321" t="s">
        <v>74</v>
      </c>
      <c r="AX321" t="s">
        <v>74</v>
      </c>
      <c r="AY321" t="s">
        <v>74</v>
      </c>
      <c r="AZ321" t="s">
        <v>74</v>
      </c>
      <c r="BA321" t="s">
        <v>74</v>
      </c>
      <c r="BB321" t="s">
        <v>74</v>
      </c>
      <c r="BC321" t="s">
        <v>74</v>
      </c>
      <c r="BD321" t="s">
        <v>74</v>
      </c>
      <c r="BE321" t="s">
        <v>3005</v>
      </c>
      <c r="BF321" t="str">
        <f>HYPERLINK("http://dx.doi.org/10.1109/ME54704.2022.9983341","http://dx.doi.org/10.1109/ME54704.2022.9983341")</f>
        <v>http://dx.doi.org/10.1109/ME54704.2022.9983341</v>
      </c>
      <c r="BG321" t="s">
        <v>74</v>
      </c>
      <c r="BH321" t="s">
        <v>74</v>
      </c>
      <c r="BI321" t="s">
        <v>74</v>
      </c>
      <c r="BJ321" t="s">
        <v>74</v>
      </c>
      <c r="BK321" t="s">
        <v>74</v>
      </c>
      <c r="BL321" t="s">
        <v>74</v>
      </c>
      <c r="BM321" t="s">
        <v>74</v>
      </c>
      <c r="BN321" t="s">
        <v>74</v>
      </c>
      <c r="BO321" t="s">
        <v>74</v>
      </c>
      <c r="BP321" t="s">
        <v>74</v>
      </c>
      <c r="BQ321" t="s">
        <v>74</v>
      </c>
      <c r="BR321" t="s">
        <v>74</v>
      </c>
      <c r="BS321" t="s">
        <v>3006</v>
      </c>
      <c r="BT321" t="str">
        <f>HYPERLINK("https%3A%2F%2Fwww.webofscience.com%2Fwos%2Fwoscc%2Ffull-record%2FWOS:000947331700057","View Full Record in Web of Science")</f>
        <v>View Full Record in Web of Science</v>
      </c>
    </row>
    <row r="322" spans="1:72" x14ac:dyDescent="0.25">
      <c r="A322" t="s">
        <v>84</v>
      </c>
      <c r="B322" t="s">
        <v>3007</v>
      </c>
      <c r="C322" t="s">
        <v>74</v>
      </c>
      <c r="D322" t="s">
        <v>74</v>
      </c>
      <c r="E322" t="s">
        <v>233</v>
      </c>
      <c r="F322" t="s">
        <v>3008</v>
      </c>
      <c r="G322" t="s">
        <v>74</v>
      </c>
      <c r="H322" t="s">
        <v>74</v>
      </c>
      <c r="I322" t="s">
        <v>3009</v>
      </c>
      <c r="J322" t="s">
        <v>1689</v>
      </c>
      <c r="K322" t="s">
        <v>1690</v>
      </c>
      <c r="L322" t="s">
        <v>74</v>
      </c>
      <c r="M322" t="s">
        <v>74</v>
      </c>
      <c r="N322" t="s">
        <v>74</v>
      </c>
      <c r="O322" t="s">
        <v>1691</v>
      </c>
      <c r="P322" t="s">
        <v>1692</v>
      </c>
      <c r="Q322" t="s">
        <v>1693</v>
      </c>
      <c r="R322" t="s">
        <v>1694</v>
      </c>
      <c r="S322" t="s">
        <v>74</v>
      </c>
      <c r="T322" t="s">
        <v>74</v>
      </c>
      <c r="U322" t="s">
        <v>74</v>
      </c>
      <c r="V322" t="s">
        <v>3010</v>
      </c>
      <c r="W322" t="s">
        <v>74</v>
      </c>
      <c r="X322" t="s">
        <v>74</v>
      </c>
      <c r="Y322" t="s">
        <v>74</v>
      </c>
      <c r="Z322" t="s">
        <v>74</v>
      </c>
      <c r="AA322" t="s">
        <v>74</v>
      </c>
      <c r="AB322" t="s">
        <v>74</v>
      </c>
      <c r="AC322" t="s">
        <v>74</v>
      </c>
      <c r="AD322" t="s">
        <v>74</v>
      </c>
      <c r="AE322" t="s">
        <v>74</v>
      </c>
      <c r="AF322" t="s">
        <v>74</v>
      </c>
      <c r="AG322" t="s">
        <v>74</v>
      </c>
      <c r="AH322" t="s">
        <v>74</v>
      </c>
      <c r="AI322" t="s">
        <v>74</v>
      </c>
      <c r="AJ322" t="s">
        <v>74</v>
      </c>
      <c r="AK322" t="s">
        <v>74</v>
      </c>
      <c r="AL322" t="s">
        <v>74</v>
      </c>
      <c r="AM322" t="s">
        <v>74</v>
      </c>
      <c r="AN322" t="s">
        <v>74</v>
      </c>
      <c r="AO322" t="s">
        <v>1696</v>
      </c>
      <c r="AP322" t="s">
        <v>1697</v>
      </c>
      <c r="AQ322" t="s">
        <v>1698</v>
      </c>
      <c r="AR322" t="s">
        <v>74</v>
      </c>
      <c r="AS322" t="s">
        <v>74</v>
      </c>
      <c r="AT322" t="s">
        <v>74</v>
      </c>
      <c r="AU322">
        <v>2022</v>
      </c>
      <c r="AV322" t="s">
        <v>74</v>
      </c>
      <c r="AW322" t="s">
        <v>74</v>
      </c>
      <c r="AX322" t="s">
        <v>74</v>
      </c>
      <c r="AY322" t="s">
        <v>74</v>
      </c>
      <c r="AZ322" t="s">
        <v>74</v>
      </c>
      <c r="BA322" t="s">
        <v>74</v>
      </c>
      <c r="BB322">
        <v>369</v>
      </c>
      <c r="BC322">
        <v>372</v>
      </c>
      <c r="BD322" t="s">
        <v>74</v>
      </c>
      <c r="BE322" t="s">
        <v>3011</v>
      </c>
      <c r="BF322" t="str">
        <f>HYPERLINK("http://dx.doi.org/10.1109/ISMAR-Adjunct57072.2022.00080","http://dx.doi.org/10.1109/ISMAR-Adjunct57072.2022.00080")</f>
        <v>http://dx.doi.org/10.1109/ISMAR-Adjunct57072.2022.00080</v>
      </c>
      <c r="BG322" t="s">
        <v>74</v>
      </c>
      <c r="BH322" t="s">
        <v>74</v>
      </c>
      <c r="BI322" t="s">
        <v>74</v>
      </c>
      <c r="BJ322" t="s">
        <v>74</v>
      </c>
      <c r="BK322" t="s">
        <v>74</v>
      </c>
      <c r="BL322" t="s">
        <v>74</v>
      </c>
      <c r="BM322" t="s">
        <v>74</v>
      </c>
      <c r="BN322" t="s">
        <v>74</v>
      </c>
      <c r="BO322" t="s">
        <v>74</v>
      </c>
      <c r="BP322" t="s">
        <v>74</v>
      </c>
      <c r="BQ322" t="s">
        <v>74</v>
      </c>
      <c r="BR322" t="s">
        <v>74</v>
      </c>
      <c r="BS322" t="s">
        <v>3012</v>
      </c>
      <c r="BT322" t="str">
        <f>HYPERLINK("https%3A%2F%2Fwww.webofscience.com%2Fwos%2Fwoscc%2Ffull-record%2FWOS:000918030200069","View Full Record in Web of Science")</f>
        <v>View Full Record in Web of Science</v>
      </c>
    </row>
    <row r="323" spans="1:72" x14ac:dyDescent="0.25">
      <c r="A323" t="s">
        <v>72</v>
      </c>
      <c r="B323" t="s">
        <v>3013</v>
      </c>
      <c r="C323" t="s">
        <v>74</v>
      </c>
      <c r="D323" t="s">
        <v>74</v>
      </c>
      <c r="E323" t="s">
        <v>74</v>
      </c>
      <c r="F323" t="s">
        <v>3014</v>
      </c>
      <c r="G323" t="s">
        <v>74</v>
      </c>
      <c r="H323" t="s">
        <v>74</v>
      </c>
      <c r="I323" t="s">
        <v>3015</v>
      </c>
      <c r="J323" t="s">
        <v>1672</v>
      </c>
      <c r="K323" t="s">
        <v>74</v>
      </c>
      <c r="L323" t="s">
        <v>74</v>
      </c>
      <c r="M323" t="s">
        <v>74</v>
      </c>
      <c r="N323" t="s">
        <v>74</v>
      </c>
      <c r="O323" t="s">
        <v>74</v>
      </c>
      <c r="P323" t="s">
        <v>74</v>
      </c>
      <c r="Q323" t="s">
        <v>74</v>
      </c>
      <c r="R323" t="s">
        <v>74</v>
      </c>
      <c r="S323" t="s">
        <v>74</v>
      </c>
      <c r="T323" t="s">
        <v>74</v>
      </c>
      <c r="U323" t="s">
        <v>74</v>
      </c>
      <c r="V323" t="s">
        <v>3016</v>
      </c>
      <c r="W323" t="s">
        <v>74</v>
      </c>
      <c r="X323" t="s">
        <v>74</v>
      </c>
      <c r="Y323" t="s">
        <v>74</v>
      </c>
      <c r="Z323" t="s">
        <v>74</v>
      </c>
      <c r="AA323" t="s">
        <v>1091</v>
      </c>
      <c r="AB323" t="s">
        <v>74</v>
      </c>
      <c r="AC323" t="s">
        <v>74</v>
      </c>
      <c r="AD323" t="s">
        <v>74</v>
      </c>
      <c r="AE323" t="s">
        <v>74</v>
      </c>
      <c r="AF323" t="s">
        <v>74</v>
      </c>
      <c r="AG323" t="s">
        <v>74</v>
      </c>
      <c r="AH323" t="s">
        <v>74</v>
      </c>
      <c r="AI323" t="s">
        <v>74</v>
      </c>
      <c r="AJ323" t="s">
        <v>74</v>
      </c>
      <c r="AK323" t="s">
        <v>74</v>
      </c>
      <c r="AL323" t="s">
        <v>74</v>
      </c>
      <c r="AM323" t="s">
        <v>74</v>
      </c>
      <c r="AN323" t="s">
        <v>74</v>
      </c>
      <c r="AO323" t="s">
        <v>1673</v>
      </c>
      <c r="AP323" t="s">
        <v>1674</v>
      </c>
      <c r="AQ323" t="s">
        <v>74</v>
      </c>
      <c r="AR323" t="s">
        <v>74</v>
      </c>
      <c r="AS323" t="s">
        <v>74</v>
      </c>
      <c r="AT323" t="s">
        <v>465</v>
      </c>
      <c r="AU323">
        <v>2022</v>
      </c>
      <c r="AV323">
        <v>9</v>
      </c>
      <c r="AW323">
        <v>12</v>
      </c>
      <c r="AX323" t="s">
        <v>74</v>
      </c>
      <c r="AY323" t="s">
        <v>74</v>
      </c>
      <c r="AZ323" t="s">
        <v>74</v>
      </c>
      <c r="BA323" t="s">
        <v>74</v>
      </c>
      <c r="BB323">
        <v>2071</v>
      </c>
      <c r="BC323">
        <v>2078</v>
      </c>
      <c r="BD323" t="s">
        <v>74</v>
      </c>
      <c r="BE323" t="s">
        <v>3017</v>
      </c>
      <c r="BF323" t="str">
        <f>HYPERLINK("http://dx.doi.org/10.1109/JAS.2022.106091","http://dx.doi.org/10.1109/JAS.2022.106091")</f>
        <v>http://dx.doi.org/10.1109/JAS.2022.106091</v>
      </c>
      <c r="BG323" t="s">
        <v>74</v>
      </c>
      <c r="BH323" t="s">
        <v>74</v>
      </c>
      <c r="BI323" t="s">
        <v>74</v>
      </c>
      <c r="BJ323" t="s">
        <v>74</v>
      </c>
      <c r="BK323" t="s">
        <v>74</v>
      </c>
      <c r="BL323" t="s">
        <v>74</v>
      </c>
      <c r="BM323" t="s">
        <v>74</v>
      </c>
      <c r="BN323" t="s">
        <v>74</v>
      </c>
      <c r="BO323" t="s">
        <v>74</v>
      </c>
      <c r="BP323" t="s">
        <v>74</v>
      </c>
      <c r="BQ323" t="s">
        <v>74</v>
      </c>
      <c r="BR323" t="s">
        <v>74</v>
      </c>
      <c r="BS323" t="s">
        <v>3018</v>
      </c>
      <c r="BT323" t="str">
        <f>HYPERLINK("https%3A%2F%2Fwww.webofscience.com%2Fwos%2Fwoscc%2Ffull-record%2FWOS:000894969600006","View Full Record in Web of Science")</f>
        <v>View Full Record in Web of Science</v>
      </c>
    </row>
    <row r="324" spans="1:72" x14ac:dyDescent="0.25">
      <c r="A324" t="s">
        <v>84</v>
      </c>
      <c r="B324" t="s">
        <v>3019</v>
      </c>
      <c r="C324" t="s">
        <v>74</v>
      </c>
      <c r="D324" t="s">
        <v>74</v>
      </c>
      <c r="E324" t="s">
        <v>326</v>
      </c>
      <c r="F324" t="s">
        <v>3020</v>
      </c>
      <c r="G324" t="s">
        <v>74</v>
      </c>
      <c r="H324" t="s">
        <v>74</v>
      </c>
      <c r="I324" t="s">
        <v>3021</v>
      </c>
      <c r="J324" t="s">
        <v>3022</v>
      </c>
      <c r="K324" t="s">
        <v>74</v>
      </c>
      <c r="L324" t="s">
        <v>74</v>
      </c>
      <c r="M324" t="s">
        <v>74</v>
      </c>
      <c r="N324" t="s">
        <v>74</v>
      </c>
      <c r="O324" t="s">
        <v>3023</v>
      </c>
      <c r="P324" t="s">
        <v>3024</v>
      </c>
      <c r="Q324" t="s">
        <v>3025</v>
      </c>
      <c r="R324" t="s">
        <v>3026</v>
      </c>
      <c r="S324" t="s">
        <v>74</v>
      </c>
      <c r="T324" t="s">
        <v>74</v>
      </c>
      <c r="U324" t="s">
        <v>74</v>
      </c>
      <c r="V324" t="s">
        <v>3027</v>
      </c>
      <c r="W324" t="s">
        <v>74</v>
      </c>
      <c r="X324" t="s">
        <v>74</v>
      </c>
      <c r="Y324" t="s">
        <v>74</v>
      </c>
      <c r="Z324" t="s">
        <v>74</v>
      </c>
      <c r="AA324" t="s">
        <v>74</v>
      </c>
      <c r="AB324" t="s">
        <v>74</v>
      </c>
      <c r="AC324" t="s">
        <v>74</v>
      </c>
      <c r="AD324" t="s">
        <v>74</v>
      </c>
      <c r="AE324" t="s">
        <v>74</v>
      </c>
      <c r="AF324" t="s">
        <v>74</v>
      </c>
      <c r="AG324" t="s">
        <v>74</v>
      </c>
      <c r="AH324" t="s">
        <v>74</v>
      </c>
      <c r="AI324" t="s">
        <v>74</v>
      </c>
      <c r="AJ324" t="s">
        <v>74</v>
      </c>
      <c r="AK324" t="s">
        <v>74</v>
      </c>
      <c r="AL324" t="s">
        <v>74</v>
      </c>
      <c r="AM324" t="s">
        <v>74</v>
      </c>
      <c r="AN324" t="s">
        <v>74</v>
      </c>
      <c r="AO324" t="s">
        <v>74</v>
      </c>
      <c r="AP324" t="s">
        <v>74</v>
      </c>
      <c r="AQ324" t="s">
        <v>3028</v>
      </c>
      <c r="AR324" t="s">
        <v>74</v>
      </c>
      <c r="AS324" t="s">
        <v>74</v>
      </c>
      <c r="AT324" t="s">
        <v>74</v>
      </c>
      <c r="AU324">
        <v>2022</v>
      </c>
      <c r="AV324" t="s">
        <v>74</v>
      </c>
      <c r="AW324" t="s">
        <v>74</v>
      </c>
      <c r="AX324" t="s">
        <v>74</v>
      </c>
      <c r="AY324" t="s">
        <v>74</v>
      </c>
      <c r="AZ324" t="s">
        <v>74</v>
      </c>
      <c r="BA324" t="s">
        <v>74</v>
      </c>
      <c r="BB324" t="s">
        <v>74</v>
      </c>
      <c r="BC324" t="s">
        <v>74</v>
      </c>
      <c r="BD324" t="s">
        <v>74</v>
      </c>
      <c r="BE324" t="s">
        <v>3029</v>
      </c>
      <c r="BF324" t="str">
        <f>HYPERLINK("http://dx.doi.org/10.1145/3491102.3502008","http://dx.doi.org/10.1145/3491102.3502008")</f>
        <v>http://dx.doi.org/10.1145/3491102.3502008</v>
      </c>
      <c r="BG324" t="s">
        <v>74</v>
      </c>
      <c r="BH324" t="s">
        <v>74</v>
      </c>
      <c r="BI324" t="s">
        <v>74</v>
      </c>
      <c r="BJ324" t="s">
        <v>74</v>
      </c>
      <c r="BK324" t="s">
        <v>74</v>
      </c>
      <c r="BL324" t="s">
        <v>74</v>
      </c>
      <c r="BM324" t="s">
        <v>74</v>
      </c>
      <c r="BN324" t="s">
        <v>74</v>
      </c>
      <c r="BO324" t="s">
        <v>74</v>
      </c>
      <c r="BP324" t="s">
        <v>74</v>
      </c>
      <c r="BQ324" t="s">
        <v>74</v>
      </c>
      <c r="BR324" t="s">
        <v>74</v>
      </c>
      <c r="BS324" t="s">
        <v>3030</v>
      </c>
      <c r="BT324" t="str">
        <f>HYPERLINK("https%3A%2F%2Fwww.webofscience.com%2Fwos%2Fwoscc%2Ffull-record%2FWOS:000890212503013","View Full Record in Web of Science")</f>
        <v>View Full Record in Web of Science</v>
      </c>
    </row>
    <row r="325" spans="1:72" x14ac:dyDescent="0.25">
      <c r="A325" t="s">
        <v>84</v>
      </c>
      <c r="B325" t="s">
        <v>3031</v>
      </c>
      <c r="C325" t="s">
        <v>74</v>
      </c>
      <c r="D325" t="s">
        <v>74</v>
      </c>
      <c r="E325" t="s">
        <v>233</v>
      </c>
      <c r="F325" t="s">
        <v>3032</v>
      </c>
      <c r="G325" t="s">
        <v>74</v>
      </c>
      <c r="H325" t="s">
        <v>74</v>
      </c>
      <c r="I325" t="s">
        <v>3033</v>
      </c>
      <c r="J325" t="s">
        <v>3034</v>
      </c>
      <c r="K325" t="s">
        <v>74</v>
      </c>
      <c r="L325" t="s">
        <v>74</v>
      </c>
      <c r="M325" t="s">
        <v>74</v>
      </c>
      <c r="N325" t="s">
        <v>74</v>
      </c>
      <c r="O325" t="s">
        <v>3035</v>
      </c>
      <c r="P325" t="s">
        <v>3036</v>
      </c>
      <c r="Q325" t="s">
        <v>3037</v>
      </c>
      <c r="R325" t="s">
        <v>3038</v>
      </c>
      <c r="S325" t="s">
        <v>74</v>
      </c>
      <c r="T325" t="s">
        <v>74</v>
      </c>
      <c r="U325" t="s">
        <v>74</v>
      </c>
      <c r="V325" t="s">
        <v>3039</v>
      </c>
      <c r="W325" t="s">
        <v>74</v>
      </c>
      <c r="X325" t="s">
        <v>74</v>
      </c>
      <c r="Y325" t="s">
        <v>74</v>
      </c>
      <c r="Z325" t="s">
        <v>74</v>
      </c>
      <c r="AA325" t="s">
        <v>671</v>
      </c>
      <c r="AB325" t="s">
        <v>791</v>
      </c>
      <c r="AC325" t="s">
        <v>74</v>
      </c>
      <c r="AD325" t="s">
        <v>74</v>
      </c>
      <c r="AE325" t="s">
        <v>74</v>
      </c>
      <c r="AF325" t="s">
        <v>74</v>
      </c>
      <c r="AG325" t="s">
        <v>74</v>
      </c>
      <c r="AH325" t="s">
        <v>74</v>
      </c>
      <c r="AI325" t="s">
        <v>74</v>
      </c>
      <c r="AJ325" t="s">
        <v>74</v>
      </c>
      <c r="AK325" t="s">
        <v>74</v>
      </c>
      <c r="AL325" t="s">
        <v>74</v>
      </c>
      <c r="AM325" t="s">
        <v>74</v>
      </c>
      <c r="AN325" t="s">
        <v>74</v>
      </c>
      <c r="AO325" t="s">
        <v>74</v>
      </c>
      <c r="AP325" t="s">
        <v>74</v>
      </c>
      <c r="AQ325" t="s">
        <v>3040</v>
      </c>
      <c r="AR325" t="s">
        <v>74</v>
      </c>
      <c r="AS325" t="s">
        <v>74</v>
      </c>
      <c r="AT325" t="s">
        <v>74</v>
      </c>
      <c r="AU325">
        <v>2022</v>
      </c>
      <c r="AV325" t="s">
        <v>74</v>
      </c>
      <c r="AW325" t="s">
        <v>74</v>
      </c>
      <c r="AX325" t="s">
        <v>74</v>
      </c>
      <c r="AY325" t="s">
        <v>74</v>
      </c>
      <c r="AZ325" t="s">
        <v>74</v>
      </c>
      <c r="BA325" t="s">
        <v>74</v>
      </c>
      <c r="BB325">
        <v>71</v>
      </c>
      <c r="BC325">
        <v>78</v>
      </c>
      <c r="BD325" t="s">
        <v>74</v>
      </c>
      <c r="BE325" t="s">
        <v>3041</v>
      </c>
      <c r="BF325" t="str">
        <f>HYPERLINK("http://dx.doi.org/10.1109/Blockchain55522.2022.00020","http://dx.doi.org/10.1109/Blockchain55522.2022.00020")</f>
        <v>http://dx.doi.org/10.1109/Blockchain55522.2022.00020</v>
      </c>
      <c r="BG325" t="s">
        <v>74</v>
      </c>
      <c r="BH325" t="s">
        <v>74</v>
      </c>
      <c r="BI325" t="s">
        <v>74</v>
      </c>
      <c r="BJ325" t="s">
        <v>74</v>
      </c>
      <c r="BK325" t="s">
        <v>74</v>
      </c>
      <c r="BL325" t="s">
        <v>74</v>
      </c>
      <c r="BM325" t="s">
        <v>74</v>
      </c>
      <c r="BN325" t="s">
        <v>74</v>
      </c>
      <c r="BO325" t="s">
        <v>74</v>
      </c>
      <c r="BP325" t="s">
        <v>74</v>
      </c>
      <c r="BQ325" t="s">
        <v>74</v>
      </c>
      <c r="BR325" t="s">
        <v>74</v>
      </c>
      <c r="BS325" t="s">
        <v>3042</v>
      </c>
      <c r="BT325" t="str">
        <f>HYPERLINK("https%3A%2F%2Fwww.webofscience.com%2Fwos%2Fwoscc%2Ffull-record%2FWOS:000865770500009","View Full Record in Web of Science")</f>
        <v>View Full Record in Web of Science</v>
      </c>
    </row>
    <row r="326" spans="1:72" x14ac:dyDescent="0.25">
      <c r="A326" t="s">
        <v>72</v>
      </c>
      <c r="B326" t="s">
        <v>3043</v>
      </c>
      <c r="C326" t="s">
        <v>74</v>
      </c>
      <c r="D326" t="s">
        <v>74</v>
      </c>
      <c r="E326" t="s">
        <v>74</v>
      </c>
      <c r="F326" t="s">
        <v>3044</v>
      </c>
      <c r="G326" t="s">
        <v>74</v>
      </c>
      <c r="H326" t="s">
        <v>74</v>
      </c>
      <c r="I326" t="s">
        <v>3045</v>
      </c>
      <c r="J326" t="s">
        <v>460</v>
      </c>
      <c r="K326" t="s">
        <v>74</v>
      </c>
      <c r="L326" t="s">
        <v>74</v>
      </c>
      <c r="M326" t="s">
        <v>74</v>
      </c>
      <c r="N326" t="s">
        <v>74</v>
      </c>
      <c r="O326" t="s">
        <v>74</v>
      </c>
      <c r="P326" t="s">
        <v>74</v>
      </c>
      <c r="Q326" t="s">
        <v>74</v>
      </c>
      <c r="R326" t="s">
        <v>74</v>
      </c>
      <c r="S326" t="s">
        <v>74</v>
      </c>
      <c r="T326" t="s">
        <v>74</v>
      </c>
      <c r="U326" t="s">
        <v>74</v>
      </c>
      <c r="V326" t="s">
        <v>3046</v>
      </c>
      <c r="W326" t="s">
        <v>74</v>
      </c>
      <c r="X326" t="s">
        <v>74</v>
      </c>
      <c r="Y326" t="s">
        <v>74</v>
      </c>
      <c r="Z326" t="s">
        <v>74</v>
      </c>
      <c r="AA326" t="s">
        <v>3047</v>
      </c>
      <c r="AB326" t="s">
        <v>3048</v>
      </c>
      <c r="AC326" t="s">
        <v>74</v>
      </c>
      <c r="AD326" t="s">
        <v>74</v>
      </c>
      <c r="AE326" t="s">
        <v>74</v>
      </c>
      <c r="AF326" t="s">
        <v>74</v>
      </c>
      <c r="AG326" t="s">
        <v>74</v>
      </c>
      <c r="AH326" t="s">
        <v>74</v>
      </c>
      <c r="AI326" t="s">
        <v>74</v>
      </c>
      <c r="AJ326" t="s">
        <v>74</v>
      </c>
      <c r="AK326" t="s">
        <v>74</v>
      </c>
      <c r="AL326" t="s">
        <v>74</v>
      </c>
      <c r="AM326" t="s">
        <v>74</v>
      </c>
      <c r="AN326" t="s">
        <v>74</v>
      </c>
      <c r="AO326" t="s">
        <v>74</v>
      </c>
      <c r="AP326" t="s">
        <v>464</v>
      </c>
      <c r="AQ326" t="s">
        <v>74</v>
      </c>
      <c r="AR326" t="s">
        <v>74</v>
      </c>
      <c r="AS326" t="s">
        <v>74</v>
      </c>
      <c r="AT326" t="s">
        <v>712</v>
      </c>
      <c r="AU326">
        <v>2022</v>
      </c>
      <c r="AV326">
        <v>14</v>
      </c>
      <c r="AW326">
        <v>16</v>
      </c>
      <c r="AX326" t="s">
        <v>74</v>
      </c>
      <c r="AY326" t="s">
        <v>74</v>
      </c>
      <c r="AZ326" t="s">
        <v>74</v>
      </c>
      <c r="BA326" t="s">
        <v>74</v>
      </c>
      <c r="BB326" t="s">
        <v>74</v>
      </c>
      <c r="BC326" t="s">
        <v>74</v>
      </c>
      <c r="BD326">
        <v>10028</v>
      </c>
      <c r="BE326" t="s">
        <v>3049</v>
      </c>
      <c r="BF326" t="str">
        <f>HYPERLINK("http://dx.doi.org/10.3390/su141610028","http://dx.doi.org/10.3390/su141610028")</f>
        <v>http://dx.doi.org/10.3390/su141610028</v>
      </c>
      <c r="BG326" t="s">
        <v>74</v>
      </c>
      <c r="BH326" t="s">
        <v>74</v>
      </c>
      <c r="BI326" t="s">
        <v>74</v>
      </c>
      <c r="BJ326" t="s">
        <v>74</v>
      </c>
      <c r="BK326" t="s">
        <v>74</v>
      </c>
      <c r="BL326" t="s">
        <v>74</v>
      </c>
      <c r="BM326" t="s">
        <v>74</v>
      </c>
      <c r="BN326" t="s">
        <v>74</v>
      </c>
      <c r="BO326" t="s">
        <v>74</v>
      </c>
      <c r="BP326" t="s">
        <v>74</v>
      </c>
      <c r="BQ326" t="s">
        <v>74</v>
      </c>
      <c r="BR326" t="s">
        <v>74</v>
      </c>
      <c r="BS326" t="s">
        <v>3050</v>
      </c>
      <c r="BT326" t="str">
        <f>HYPERLINK("https%3A%2F%2Fwww.webofscience.com%2Fwos%2Fwoscc%2Ffull-record%2FWOS:000845331000001","View Full Record in Web of Science")</f>
        <v>View Full Record in Web of Science</v>
      </c>
    </row>
    <row r="327" spans="1:72" x14ac:dyDescent="0.25">
      <c r="A327" t="s">
        <v>84</v>
      </c>
      <c r="B327" t="s">
        <v>3051</v>
      </c>
      <c r="C327" t="s">
        <v>74</v>
      </c>
      <c r="D327" t="s">
        <v>74</v>
      </c>
      <c r="E327" t="s">
        <v>86</v>
      </c>
      <c r="F327" t="s">
        <v>3052</v>
      </c>
      <c r="G327" t="s">
        <v>74</v>
      </c>
      <c r="H327" t="s">
        <v>74</v>
      </c>
      <c r="I327" t="s">
        <v>3053</v>
      </c>
      <c r="J327" t="s">
        <v>89</v>
      </c>
      <c r="K327" t="s">
        <v>90</v>
      </c>
      <c r="L327" t="s">
        <v>74</v>
      </c>
      <c r="M327" t="s">
        <v>74</v>
      </c>
      <c r="N327" t="s">
        <v>74</v>
      </c>
      <c r="O327" t="s">
        <v>91</v>
      </c>
      <c r="P327" t="s">
        <v>92</v>
      </c>
      <c r="Q327" t="s">
        <v>93</v>
      </c>
      <c r="R327" t="s">
        <v>94</v>
      </c>
      <c r="S327" t="s">
        <v>74</v>
      </c>
      <c r="T327" t="s">
        <v>74</v>
      </c>
      <c r="U327" t="s">
        <v>74</v>
      </c>
      <c r="V327" t="s">
        <v>3054</v>
      </c>
      <c r="W327" t="s">
        <v>74</v>
      </c>
      <c r="X327" t="s">
        <v>74</v>
      </c>
      <c r="Y327" t="s">
        <v>74</v>
      </c>
      <c r="Z327" t="s">
        <v>74</v>
      </c>
      <c r="AA327" t="s">
        <v>74</v>
      </c>
      <c r="AB327" t="s">
        <v>74</v>
      </c>
      <c r="AC327" t="s">
        <v>74</v>
      </c>
      <c r="AD327" t="s">
        <v>74</v>
      </c>
      <c r="AE327" t="s">
        <v>74</v>
      </c>
      <c r="AF327" t="s">
        <v>74</v>
      </c>
      <c r="AG327" t="s">
        <v>74</v>
      </c>
      <c r="AH327" t="s">
        <v>74</v>
      </c>
      <c r="AI327" t="s">
        <v>74</v>
      </c>
      <c r="AJ327" t="s">
        <v>74</v>
      </c>
      <c r="AK327" t="s">
        <v>74</v>
      </c>
      <c r="AL327" t="s">
        <v>74</v>
      </c>
      <c r="AM327" t="s">
        <v>74</v>
      </c>
      <c r="AN327" t="s">
        <v>74</v>
      </c>
      <c r="AO327" t="s">
        <v>74</v>
      </c>
      <c r="AP327" t="s">
        <v>74</v>
      </c>
      <c r="AQ327" t="s">
        <v>98</v>
      </c>
      <c r="AR327" t="s">
        <v>74</v>
      </c>
      <c r="AS327" t="s">
        <v>74</v>
      </c>
      <c r="AT327" t="s">
        <v>74</v>
      </c>
      <c r="AU327">
        <v>2022</v>
      </c>
      <c r="AV327" t="s">
        <v>74</v>
      </c>
      <c r="AW327" t="s">
        <v>74</v>
      </c>
      <c r="AX327" t="s">
        <v>74</v>
      </c>
      <c r="AY327" t="s">
        <v>74</v>
      </c>
      <c r="AZ327" t="s">
        <v>74</v>
      </c>
      <c r="BA327" t="s">
        <v>74</v>
      </c>
      <c r="BB327" t="s">
        <v>74</v>
      </c>
      <c r="BC327" t="s">
        <v>74</v>
      </c>
      <c r="BD327" t="s">
        <v>74</v>
      </c>
      <c r="BE327" t="s">
        <v>3055</v>
      </c>
      <c r="BF327" t="str">
        <f>HYPERLINK("http://dx.doi.org/10.1109/VTC2022-Spring54318.2022.9860479","http://dx.doi.org/10.1109/VTC2022-Spring54318.2022.9860479")</f>
        <v>http://dx.doi.org/10.1109/VTC2022-Spring54318.2022.9860479</v>
      </c>
      <c r="BG327" t="s">
        <v>74</v>
      </c>
      <c r="BH327" t="s">
        <v>74</v>
      </c>
      <c r="BI327" t="s">
        <v>74</v>
      </c>
      <c r="BJ327" t="s">
        <v>74</v>
      </c>
      <c r="BK327" t="s">
        <v>74</v>
      </c>
      <c r="BL327" t="s">
        <v>74</v>
      </c>
      <c r="BM327" t="s">
        <v>74</v>
      </c>
      <c r="BN327" t="s">
        <v>74</v>
      </c>
      <c r="BO327" t="s">
        <v>74</v>
      </c>
      <c r="BP327" t="s">
        <v>74</v>
      </c>
      <c r="BQ327" t="s">
        <v>74</v>
      </c>
      <c r="BR327" t="s">
        <v>74</v>
      </c>
      <c r="BS327" t="s">
        <v>3056</v>
      </c>
      <c r="BT327" t="str">
        <f>HYPERLINK("https%3A%2F%2Fwww.webofscience.com%2Fwos%2Fwoscc%2Ffull-record%2FWOS:000861825800106","View Full Record in Web of Science")</f>
        <v>View Full Record in Web of Science</v>
      </c>
    </row>
    <row r="328" spans="1:72" x14ac:dyDescent="0.25">
      <c r="A328" t="s">
        <v>84</v>
      </c>
      <c r="B328" t="s">
        <v>3057</v>
      </c>
      <c r="C328" t="s">
        <v>74</v>
      </c>
      <c r="D328" t="s">
        <v>74</v>
      </c>
      <c r="E328" t="s">
        <v>233</v>
      </c>
      <c r="F328" t="s">
        <v>3058</v>
      </c>
      <c r="G328" t="s">
        <v>74</v>
      </c>
      <c r="H328" t="s">
        <v>74</v>
      </c>
      <c r="I328" t="s">
        <v>3059</v>
      </c>
      <c r="J328" t="s">
        <v>236</v>
      </c>
      <c r="K328" t="s">
        <v>237</v>
      </c>
      <c r="L328" t="s">
        <v>74</v>
      </c>
      <c r="M328" t="s">
        <v>74</v>
      </c>
      <c r="N328" t="s">
        <v>74</v>
      </c>
      <c r="O328" t="s">
        <v>238</v>
      </c>
      <c r="P328" t="s">
        <v>239</v>
      </c>
      <c r="Q328" t="s">
        <v>240</v>
      </c>
      <c r="R328" t="s">
        <v>241</v>
      </c>
      <c r="S328" t="s">
        <v>74</v>
      </c>
      <c r="T328" t="s">
        <v>74</v>
      </c>
      <c r="U328" t="s">
        <v>74</v>
      </c>
      <c r="V328" t="s">
        <v>3060</v>
      </c>
      <c r="W328" t="s">
        <v>74</v>
      </c>
      <c r="X328" t="s">
        <v>74</v>
      </c>
      <c r="Y328" t="s">
        <v>74</v>
      </c>
      <c r="Z328" t="s">
        <v>74</v>
      </c>
      <c r="AA328" t="s">
        <v>74</v>
      </c>
      <c r="AB328" t="s">
        <v>74</v>
      </c>
      <c r="AC328" t="s">
        <v>74</v>
      </c>
      <c r="AD328" t="s">
        <v>74</v>
      </c>
      <c r="AE328" t="s">
        <v>74</v>
      </c>
      <c r="AF328" t="s">
        <v>74</v>
      </c>
      <c r="AG328" t="s">
        <v>74</v>
      </c>
      <c r="AH328" t="s">
        <v>74</v>
      </c>
      <c r="AI328" t="s">
        <v>74</v>
      </c>
      <c r="AJ328" t="s">
        <v>74</v>
      </c>
      <c r="AK328" t="s">
        <v>74</v>
      </c>
      <c r="AL328" t="s">
        <v>74</v>
      </c>
      <c r="AM328" t="s">
        <v>74</v>
      </c>
      <c r="AN328" t="s">
        <v>74</v>
      </c>
      <c r="AO328" t="s">
        <v>243</v>
      </c>
      <c r="AP328" t="s">
        <v>74</v>
      </c>
      <c r="AQ328" t="s">
        <v>244</v>
      </c>
      <c r="AR328" t="s">
        <v>74</v>
      </c>
      <c r="AS328" t="s">
        <v>74</v>
      </c>
      <c r="AT328" t="s">
        <v>74</v>
      </c>
      <c r="AU328">
        <v>2022</v>
      </c>
      <c r="AV328" t="s">
        <v>74</v>
      </c>
      <c r="AW328" t="s">
        <v>74</v>
      </c>
      <c r="AX328" t="s">
        <v>74</v>
      </c>
      <c r="AY328" t="s">
        <v>74</v>
      </c>
      <c r="AZ328" t="s">
        <v>74</v>
      </c>
      <c r="BA328" t="s">
        <v>74</v>
      </c>
      <c r="BB328">
        <v>199</v>
      </c>
      <c r="BC328">
        <v>204</v>
      </c>
      <c r="BD328" t="s">
        <v>74</v>
      </c>
      <c r="BE328" t="s">
        <v>3061</v>
      </c>
      <c r="BF328" t="str">
        <f>HYPERLINK("http://dx.doi.org/10.1109/ICDCSW56584.2022.00045","http://dx.doi.org/10.1109/ICDCSW56584.2022.00045")</f>
        <v>http://dx.doi.org/10.1109/ICDCSW56584.2022.00045</v>
      </c>
      <c r="BG328" t="s">
        <v>74</v>
      </c>
      <c r="BH328" t="s">
        <v>74</v>
      </c>
      <c r="BI328" t="s">
        <v>74</v>
      </c>
      <c r="BJ328" t="s">
        <v>74</v>
      </c>
      <c r="BK328" t="s">
        <v>74</v>
      </c>
      <c r="BL328" t="s">
        <v>74</v>
      </c>
      <c r="BM328" t="s">
        <v>74</v>
      </c>
      <c r="BN328" t="s">
        <v>74</v>
      </c>
      <c r="BO328" t="s">
        <v>74</v>
      </c>
      <c r="BP328" t="s">
        <v>74</v>
      </c>
      <c r="BQ328" t="s">
        <v>74</v>
      </c>
      <c r="BR328" t="s">
        <v>74</v>
      </c>
      <c r="BS328" t="s">
        <v>3062</v>
      </c>
      <c r="BT328" t="str">
        <f>HYPERLINK("https%3A%2F%2Fwww.webofscience.com%2Fwos%2Fwoscc%2Ffull-record%2FWOS:000895984800036","View Full Record in Web of Science")</f>
        <v>View Full Record in Web of Science</v>
      </c>
    </row>
    <row r="329" spans="1:72" x14ac:dyDescent="0.25">
      <c r="A329" t="s">
        <v>72</v>
      </c>
      <c r="B329" t="s">
        <v>3063</v>
      </c>
      <c r="C329" t="s">
        <v>74</v>
      </c>
      <c r="D329" t="s">
        <v>74</v>
      </c>
      <c r="E329" t="s">
        <v>74</v>
      </c>
      <c r="F329" t="s">
        <v>3064</v>
      </c>
      <c r="G329" t="s">
        <v>74</v>
      </c>
      <c r="H329" t="s">
        <v>74</v>
      </c>
      <c r="I329" t="s">
        <v>3065</v>
      </c>
      <c r="J329" t="s">
        <v>201</v>
      </c>
      <c r="K329" t="s">
        <v>74</v>
      </c>
      <c r="L329" t="s">
        <v>74</v>
      </c>
      <c r="M329" t="s">
        <v>74</v>
      </c>
      <c r="N329" t="s">
        <v>74</v>
      </c>
      <c r="O329" t="s">
        <v>74</v>
      </c>
      <c r="P329" t="s">
        <v>74</v>
      </c>
      <c r="Q329" t="s">
        <v>74</v>
      </c>
      <c r="R329" t="s">
        <v>74</v>
      </c>
      <c r="S329" t="s">
        <v>74</v>
      </c>
      <c r="T329" t="s">
        <v>74</v>
      </c>
      <c r="U329" t="s">
        <v>74</v>
      </c>
      <c r="V329" t="s">
        <v>3066</v>
      </c>
      <c r="W329" t="s">
        <v>74</v>
      </c>
      <c r="X329" t="s">
        <v>74</v>
      </c>
      <c r="Y329" t="s">
        <v>74</v>
      </c>
      <c r="Z329" t="s">
        <v>74</v>
      </c>
      <c r="AA329" t="s">
        <v>74</v>
      </c>
      <c r="AB329" t="s">
        <v>3067</v>
      </c>
      <c r="AC329" t="s">
        <v>74</v>
      </c>
      <c r="AD329" t="s">
        <v>74</v>
      </c>
      <c r="AE329" t="s">
        <v>74</v>
      </c>
      <c r="AF329" t="s">
        <v>74</v>
      </c>
      <c r="AG329" t="s">
        <v>74</v>
      </c>
      <c r="AH329" t="s">
        <v>74</v>
      </c>
      <c r="AI329" t="s">
        <v>74</v>
      </c>
      <c r="AJ329" t="s">
        <v>74</v>
      </c>
      <c r="AK329" t="s">
        <v>74</v>
      </c>
      <c r="AL329" t="s">
        <v>74</v>
      </c>
      <c r="AM329" t="s">
        <v>74</v>
      </c>
      <c r="AN329" t="s">
        <v>74</v>
      </c>
      <c r="AO329" t="s">
        <v>205</v>
      </c>
      <c r="AP329" t="s">
        <v>74</v>
      </c>
      <c r="AQ329" t="s">
        <v>74</v>
      </c>
      <c r="AR329" t="s">
        <v>74</v>
      </c>
      <c r="AS329" t="s">
        <v>74</v>
      </c>
      <c r="AT329" t="s">
        <v>74</v>
      </c>
      <c r="AU329">
        <v>2022</v>
      </c>
      <c r="AV329">
        <v>10</v>
      </c>
      <c r="AW329" t="s">
        <v>74</v>
      </c>
      <c r="AX329" t="s">
        <v>74</v>
      </c>
      <c r="AY329" t="s">
        <v>74</v>
      </c>
      <c r="AZ329" t="s">
        <v>74</v>
      </c>
      <c r="BA329" t="s">
        <v>74</v>
      </c>
      <c r="BB329">
        <v>102691</v>
      </c>
      <c r="BC329">
        <v>102700</v>
      </c>
      <c r="BD329" t="s">
        <v>74</v>
      </c>
      <c r="BE329" t="s">
        <v>3068</v>
      </c>
      <c r="BF329" t="str">
        <f>HYPERLINK("http://dx.doi.org/10.1109/ACCESS.2022.3208599","http://dx.doi.org/10.1109/ACCESS.2022.3208599")</f>
        <v>http://dx.doi.org/10.1109/ACCESS.2022.3208599</v>
      </c>
      <c r="BG329" t="s">
        <v>74</v>
      </c>
      <c r="BH329" t="s">
        <v>74</v>
      </c>
      <c r="BI329" t="s">
        <v>74</v>
      </c>
      <c r="BJ329" t="s">
        <v>74</v>
      </c>
      <c r="BK329" t="s">
        <v>74</v>
      </c>
      <c r="BL329" t="s">
        <v>74</v>
      </c>
      <c r="BM329" t="s">
        <v>74</v>
      </c>
      <c r="BN329" t="s">
        <v>74</v>
      </c>
      <c r="BO329" t="s">
        <v>74</v>
      </c>
      <c r="BP329" t="s">
        <v>74</v>
      </c>
      <c r="BQ329" t="s">
        <v>74</v>
      </c>
      <c r="BR329" t="s">
        <v>74</v>
      </c>
      <c r="BS329" t="s">
        <v>3069</v>
      </c>
      <c r="BT329" t="str">
        <f>HYPERLINK("https%3A%2F%2Fwww.webofscience.com%2Fwos%2Fwoscc%2Ffull-record%2FWOS:000864159000001","View Full Record in Web of Science")</f>
        <v>View Full Record in Web of Science</v>
      </c>
    </row>
    <row r="330" spans="1:72" x14ac:dyDescent="0.25">
      <c r="A330" t="s">
        <v>72</v>
      </c>
      <c r="B330" t="s">
        <v>3070</v>
      </c>
      <c r="C330" t="s">
        <v>74</v>
      </c>
      <c r="D330" t="s">
        <v>74</v>
      </c>
      <c r="E330" t="s">
        <v>74</v>
      </c>
      <c r="F330" t="s">
        <v>3071</v>
      </c>
      <c r="G330" t="s">
        <v>74</v>
      </c>
      <c r="H330" t="s">
        <v>74</v>
      </c>
      <c r="I330" t="s">
        <v>3072</v>
      </c>
      <c r="J330" t="s">
        <v>1873</v>
      </c>
      <c r="K330" t="s">
        <v>74</v>
      </c>
      <c r="L330" t="s">
        <v>74</v>
      </c>
      <c r="M330" t="s">
        <v>74</v>
      </c>
      <c r="N330" t="s">
        <v>74</v>
      </c>
      <c r="O330" t="s">
        <v>74</v>
      </c>
      <c r="P330" t="s">
        <v>74</v>
      </c>
      <c r="Q330" t="s">
        <v>74</v>
      </c>
      <c r="R330" t="s">
        <v>74</v>
      </c>
      <c r="S330" t="s">
        <v>74</v>
      </c>
      <c r="T330" t="s">
        <v>74</v>
      </c>
      <c r="U330" t="s">
        <v>74</v>
      </c>
      <c r="V330" t="s">
        <v>3073</v>
      </c>
      <c r="W330" t="s">
        <v>74</v>
      </c>
      <c r="X330" t="s">
        <v>74</v>
      </c>
      <c r="Y330" t="s">
        <v>74</v>
      </c>
      <c r="Z330" t="s">
        <v>74</v>
      </c>
      <c r="AA330" t="s">
        <v>74</v>
      </c>
      <c r="AB330" t="s">
        <v>74</v>
      </c>
      <c r="AC330" t="s">
        <v>74</v>
      </c>
      <c r="AD330" t="s">
        <v>74</v>
      </c>
      <c r="AE330" t="s">
        <v>74</v>
      </c>
      <c r="AF330" t="s">
        <v>74</v>
      </c>
      <c r="AG330" t="s">
        <v>74</v>
      </c>
      <c r="AH330" t="s">
        <v>74</v>
      </c>
      <c r="AI330" t="s">
        <v>74</v>
      </c>
      <c r="AJ330" t="s">
        <v>74</v>
      </c>
      <c r="AK330" t="s">
        <v>74</v>
      </c>
      <c r="AL330" t="s">
        <v>74</v>
      </c>
      <c r="AM330" t="s">
        <v>74</v>
      </c>
      <c r="AN330" t="s">
        <v>74</v>
      </c>
      <c r="AO330" t="s">
        <v>1874</v>
      </c>
      <c r="AP330" t="s">
        <v>1875</v>
      </c>
      <c r="AQ330" t="s">
        <v>74</v>
      </c>
      <c r="AR330" t="s">
        <v>74</v>
      </c>
      <c r="AS330" t="s">
        <v>74</v>
      </c>
      <c r="AT330" t="s">
        <v>175</v>
      </c>
      <c r="AU330">
        <v>2023</v>
      </c>
      <c r="AV330">
        <v>60</v>
      </c>
      <c r="AW330">
        <v>1</v>
      </c>
      <c r="AX330" t="s">
        <v>74</v>
      </c>
      <c r="AY330" t="s">
        <v>74</v>
      </c>
      <c r="AZ330" t="s">
        <v>74</v>
      </c>
      <c r="BA330" t="s">
        <v>74</v>
      </c>
      <c r="BB330">
        <v>4</v>
      </c>
      <c r="BC330">
        <v>4</v>
      </c>
      <c r="BD330" t="s">
        <v>74</v>
      </c>
      <c r="BE330" t="s">
        <v>3074</v>
      </c>
      <c r="BF330" t="str">
        <f>HYPERLINK("http://dx.doi.org/10.1109/MSPEC.2023.10006680","http://dx.doi.org/10.1109/MSPEC.2023.10006680")</f>
        <v>http://dx.doi.org/10.1109/MSPEC.2023.10006680</v>
      </c>
      <c r="BG330" t="s">
        <v>74</v>
      </c>
      <c r="BH330" t="s">
        <v>74</v>
      </c>
      <c r="BI330" t="s">
        <v>74</v>
      </c>
      <c r="BJ330" t="s">
        <v>74</v>
      </c>
      <c r="BK330" t="s">
        <v>74</v>
      </c>
      <c r="BL330" t="s">
        <v>74</v>
      </c>
      <c r="BM330" t="s">
        <v>74</v>
      </c>
      <c r="BN330" t="s">
        <v>74</v>
      </c>
      <c r="BO330" t="s">
        <v>74</v>
      </c>
      <c r="BP330" t="s">
        <v>74</v>
      </c>
      <c r="BQ330" t="s">
        <v>74</v>
      </c>
      <c r="BR330" t="s">
        <v>74</v>
      </c>
      <c r="BS330" t="s">
        <v>3075</v>
      </c>
      <c r="BT330" t="str">
        <f>HYPERLINK("https%3A%2F%2Fwww.webofscience.com%2Fwos%2Fwoscc%2Ffull-record%2FWOS:000917273800001","View Full Record in Web of Science")</f>
        <v>View Full Record in Web of Science</v>
      </c>
    </row>
    <row r="331" spans="1:72" x14ac:dyDescent="0.25">
      <c r="A331" t="s">
        <v>84</v>
      </c>
      <c r="B331" t="s">
        <v>3076</v>
      </c>
      <c r="C331" t="s">
        <v>74</v>
      </c>
      <c r="D331" t="s">
        <v>74</v>
      </c>
      <c r="E331" t="s">
        <v>86</v>
      </c>
      <c r="F331" t="s">
        <v>3077</v>
      </c>
      <c r="G331" t="s">
        <v>74</v>
      </c>
      <c r="H331" t="s">
        <v>74</v>
      </c>
      <c r="I331" t="s">
        <v>3078</v>
      </c>
      <c r="J331" t="s">
        <v>3079</v>
      </c>
      <c r="K331" t="s">
        <v>3080</v>
      </c>
      <c r="L331" t="s">
        <v>74</v>
      </c>
      <c r="M331" t="s">
        <v>74</v>
      </c>
      <c r="N331" t="s">
        <v>74</v>
      </c>
      <c r="O331" t="s">
        <v>3081</v>
      </c>
      <c r="P331" t="s">
        <v>3082</v>
      </c>
      <c r="Q331" t="s">
        <v>3083</v>
      </c>
      <c r="R331" t="s">
        <v>3084</v>
      </c>
      <c r="S331" t="s">
        <v>74</v>
      </c>
      <c r="T331" t="s">
        <v>74</v>
      </c>
      <c r="U331" t="s">
        <v>74</v>
      </c>
      <c r="V331" t="s">
        <v>3085</v>
      </c>
      <c r="W331" t="s">
        <v>74</v>
      </c>
      <c r="X331" t="s">
        <v>74</v>
      </c>
      <c r="Y331" t="s">
        <v>74</v>
      </c>
      <c r="Z331" t="s">
        <v>74</v>
      </c>
      <c r="AA331" t="s">
        <v>74</v>
      </c>
      <c r="AB331" t="s">
        <v>74</v>
      </c>
      <c r="AC331" t="s">
        <v>74</v>
      </c>
      <c r="AD331" t="s">
        <v>74</v>
      </c>
      <c r="AE331" t="s">
        <v>74</v>
      </c>
      <c r="AF331" t="s">
        <v>74</v>
      </c>
      <c r="AG331" t="s">
        <v>74</v>
      </c>
      <c r="AH331" t="s">
        <v>74</v>
      </c>
      <c r="AI331" t="s">
        <v>74</v>
      </c>
      <c r="AJ331" t="s">
        <v>74</v>
      </c>
      <c r="AK331" t="s">
        <v>74</v>
      </c>
      <c r="AL331" t="s">
        <v>74</v>
      </c>
      <c r="AM331" t="s">
        <v>74</v>
      </c>
      <c r="AN331" t="s">
        <v>74</v>
      </c>
      <c r="AO331" t="s">
        <v>3086</v>
      </c>
      <c r="AP331" t="s">
        <v>74</v>
      </c>
      <c r="AQ331" t="s">
        <v>3087</v>
      </c>
      <c r="AR331" t="s">
        <v>74</v>
      </c>
      <c r="AS331" t="s">
        <v>74</v>
      </c>
      <c r="AT331" t="s">
        <v>74</v>
      </c>
      <c r="AU331">
        <v>2022</v>
      </c>
      <c r="AV331" t="s">
        <v>74</v>
      </c>
      <c r="AW331" t="s">
        <v>74</v>
      </c>
      <c r="AX331" t="s">
        <v>74</v>
      </c>
      <c r="AY331" t="s">
        <v>74</v>
      </c>
      <c r="AZ331" t="s">
        <v>74</v>
      </c>
      <c r="BA331" t="s">
        <v>74</v>
      </c>
      <c r="BB331">
        <v>1722</v>
      </c>
      <c r="BC331">
        <v>1729</v>
      </c>
      <c r="BD331" t="s">
        <v>74</v>
      </c>
      <c r="BE331" t="s">
        <v>3088</v>
      </c>
      <c r="BF331" t="str">
        <f>HYPERLINK("http://dx.doi.org/10.1109/AIM52237.2022.9863383","http://dx.doi.org/10.1109/AIM52237.2022.9863383")</f>
        <v>http://dx.doi.org/10.1109/AIM52237.2022.9863383</v>
      </c>
      <c r="BG331" t="s">
        <v>74</v>
      </c>
      <c r="BH331" t="s">
        <v>74</v>
      </c>
      <c r="BI331" t="s">
        <v>74</v>
      </c>
      <c r="BJ331" t="s">
        <v>74</v>
      </c>
      <c r="BK331" t="s">
        <v>74</v>
      </c>
      <c r="BL331" t="s">
        <v>74</v>
      </c>
      <c r="BM331" t="s">
        <v>74</v>
      </c>
      <c r="BN331" t="s">
        <v>74</v>
      </c>
      <c r="BO331" t="s">
        <v>74</v>
      </c>
      <c r="BP331" t="s">
        <v>74</v>
      </c>
      <c r="BQ331" t="s">
        <v>74</v>
      </c>
      <c r="BR331" t="s">
        <v>74</v>
      </c>
      <c r="BS331" t="s">
        <v>3089</v>
      </c>
      <c r="BT331" t="str">
        <f>HYPERLINK("https%3A%2F%2Fwww.webofscience.com%2Fwos%2Fwoscc%2Ffull-record%2FWOS:000860750800170","View Full Record in Web of Science")</f>
        <v>View Full Record in Web of Science</v>
      </c>
    </row>
    <row r="332" spans="1:72" x14ac:dyDescent="0.25">
      <c r="A332" t="s">
        <v>72</v>
      </c>
      <c r="B332" t="s">
        <v>3090</v>
      </c>
      <c r="C332" t="s">
        <v>74</v>
      </c>
      <c r="D332" t="s">
        <v>74</v>
      </c>
      <c r="E332" t="s">
        <v>74</v>
      </c>
      <c r="F332" t="s">
        <v>3091</v>
      </c>
      <c r="G332" t="s">
        <v>74</v>
      </c>
      <c r="H332" t="s">
        <v>74</v>
      </c>
      <c r="I332" t="s">
        <v>3092</v>
      </c>
      <c r="J332" t="s">
        <v>3093</v>
      </c>
      <c r="K332" t="s">
        <v>74</v>
      </c>
      <c r="L332" t="s">
        <v>74</v>
      </c>
      <c r="M332" t="s">
        <v>74</v>
      </c>
      <c r="N332" t="s">
        <v>74</v>
      </c>
      <c r="O332" t="s">
        <v>74</v>
      </c>
      <c r="P332" t="s">
        <v>74</v>
      </c>
      <c r="Q332" t="s">
        <v>74</v>
      </c>
      <c r="R332" t="s">
        <v>74</v>
      </c>
      <c r="S332" t="s">
        <v>74</v>
      </c>
      <c r="T332" t="s">
        <v>74</v>
      </c>
      <c r="U332" t="s">
        <v>74</v>
      </c>
      <c r="V332" t="s">
        <v>3094</v>
      </c>
      <c r="W332" t="s">
        <v>74</v>
      </c>
      <c r="X332" t="s">
        <v>74</v>
      </c>
      <c r="Y332" t="s">
        <v>74</v>
      </c>
      <c r="Z332" t="s">
        <v>74</v>
      </c>
      <c r="AA332" t="s">
        <v>74</v>
      </c>
      <c r="AB332" t="s">
        <v>74</v>
      </c>
      <c r="AC332" t="s">
        <v>74</v>
      </c>
      <c r="AD332" t="s">
        <v>74</v>
      </c>
      <c r="AE332" t="s">
        <v>74</v>
      </c>
      <c r="AF332" t="s">
        <v>74</v>
      </c>
      <c r="AG332" t="s">
        <v>74</v>
      </c>
      <c r="AH332" t="s">
        <v>74</v>
      </c>
      <c r="AI332" t="s">
        <v>74</v>
      </c>
      <c r="AJ332" t="s">
        <v>74</v>
      </c>
      <c r="AK332" t="s">
        <v>74</v>
      </c>
      <c r="AL332" t="s">
        <v>74</v>
      </c>
      <c r="AM332" t="s">
        <v>74</v>
      </c>
      <c r="AN332" t="s">
        <v>74</v>
      </c>
      <c r="AO332" t="s">
        <v>3095</v>
      </c>
      <c r="AP332" t="s">
        <v>3096</v>
      </c>
      <c r="AQ332" t="s">
        <v>74</v>
      </c>
      <c r="AR332" t="s">
        <v>74</v>
      </c>
      <c r="AS332" t="s">
        <v>74</v>
      </c>
      <c r="AT332" t="s">
        <v>435</v>
      </c>
      <c r="AU332">
        <v>2023</v>
      </c>
      <c r="AV332" t="s">
        <v>3097</v>
      </c>
      <c r="AW332">
        <v>2</v>
      </c>
      <c r="AX332" t="s">
        <v>74</v>
      </c>
      <c r="AY332" t="s">
        <v>74</v>
      </c>
      <c r="AZ332" t="s">
        <v>74</v>
      </c>
      <c r="BA332" t="s">
        <v>74</v>
      </c>
      <c r="BB332">
        <v>93</v>
      </c>
      <c r="BC332">
        <v>100</v>
      </c>
      <c r="BD332" t="s">
        <v>74</v>
      </c>
      <c r="BE332" t="s">
        <v>3098</v>
      </c>
      <c r="BF332" t="str">
        <f>HYPERLINK("http://dx.doi.org/10.1587/transinf.2022ETI0001","http://dx.doi.org/10.1587/transinf.2022ETI0001")</f>
        <v>http://dx.doi.org/10.1587/transinf.2022ETI0001</v>
      </c>
      <c r="BG332" t="s">
        <v>74</v>
      </c>
      <c r="BH332" t="s">
        <v>74</v>
      </c>
      <c r="BI332" t="s">
        <v>74</v>
      </c>
      <c r="BJ332" t="s">
        <v>74</v>
      </c>
      <c r="BK332" t="s">
        <v>74</v>
      </c>
      <c r="BL332" t="s">
        <v>74</v>
      </c>
      <c r="BM332" t="s">
        <v>74</v>
      </c>
      <c r="BN332" t="s">
        <v>74</v>
      </c>
      <c r="BO332" t="s">
        <v>74</v>
      </c>
      <c r="BP332" t="s">
        <v>74</v>
      </c>
      <c r="BQ332" t="s">
        <v>74</v>
      </c>
      <c r="BR332" t="s">
        <v>74</v>
      </c>
      <c r="BS332" t="s">
        <v>3099</v>
      </c>
      <c r="BT332" t="str">
        <f>HYPERLINK("https%3A%2F%2Fwww.webofscience.com%2Fwos%2Fwoscc%2Ffull-record%2FWOS:000931333500002","View Full Record in Web of Science")</f>
        <v>View Full Record in Web of Science</v>
      </c>
    </row>
    <row r="333" spans="1:72" x14ac:dyDescent="0.25">
      <c r="A333" t="s">
        <v>84</v>
      </c>
      <c r="B333" t="s">
        <v>3100</v>
      </c>
      <c r="C333" t="s">
        <v>74</v>
      </c>
      <c r="D333" t="s">
        <v>74</v>
      </c>
      <c r="E333" t="s">
        <v>86</v>
      </c>
      <c r="F333" t="s">
        <v>3101</v>
      </c>
      <c r="G333" t="s">
        <v>74</v>
      </c>
      <c r="H333" t="s">
        <v>74</v>
      </c>
      <c r="I333" t="s">
        <v>3102</v>
      </c>
      <c r="J333" t="s">
        <v>2255</v>
      </c>
      <c r="K333" t="s">
        <v>2256</v>
      </c>
      <c r="L333" t="s">
        <v>74</v>
      </c>
      <c r="M333" t="s">
        <v>74</v>
      </c>
      <c r="N333" t="s">
        <v>74</v>
      </c>
      <c r="O333" t="s">
        <v>2257</v>
      </c>
      <c r="P333" t="s">
        <v>2258</v>
      </c>
      <c r="Q333" t="s">
        <v>2259</v>
      </c>
      <c r="R333" t="s">
        <v>86</v>
      </c>
      <c r="S333" t="s">
        <v>74</v>
      </c>
      <c r="T333" t="s">
        <v>74</v>
      </c>
      <c r="U333" t="s">
        <v>74</v>
      </c>
      <c r="V333" t="s">
        <v>3103</v>
      </c>
      <c r="W333" t="s">
        <v>74</v>
      </c>
      <c r="X333" t="s">
        <v>74</v>
      </c>
      <c r="Y333" t="s">
        <v>74</v>
      </c>
      <c r="Z333" t="s">
        <v>74</v>
      </c>
      <c r="AA333" t="s">
        <v>74</v>
      </c>
      <c r="AB333" t="s">
        <v>74</v>
      </c>
      <c r="AC333" t="s">
        <v>74</v>
      </c>
      <c r="AD333" t="s">
        <v>74</v>
      </c>
      <c r="AE333" t="s">
        <v>74</v>
      </c>
      <c r="AF333" t="s">
        <v>74</v>
      </c>
      <c r="AG333" t="s">
        <v>74</v>
      </c>
      <c r="AH333" t="s">
        <v>74</v>
      </c>
      <c r="AI333" t="s">
        <v>74</v>
      </c>
      <c r="AJ333" t="s">
        <v>74</v>
      </c>
      <c r="AK333" t="s">
        <v>74</v>
      </c>
      <c r="AL333" t="s">
        <v>74</v>
      </c>
      <c r="AM333" t="s">
        <v>74</v>
      </c>
      <c r="AN333" t="s">
        <v>74</v>
      </c>
      <c r="AO333" t="s">
        <v>2261</v>
      </c>
      <c r="AP333" t="s">
        <v>2262</v>
      </c>
      <c r="AQ333" t="s">
        <v>2263</v>
      </c>
      <c r="AR333" t="s">
        <v>74</v>
      </c>
      <c r="AS333" t="s">
        <v>74</v>
      </c>
      <c r="AT333" t="s">
        <v>74</v>
      </c>
      <c r="AU333">
        <v>2022</v>
      </c>
      <c r="AV333" t="s">
        <v>74</v>
      </c>
      <c r="AW333" t="s">
        <v>74</v>
      </c>
      <c r="AX333" t="s">
        <v>74</v>
      </c>
      <c r="AY333" t="s">
        <v>74</v>
      </c>
      <c r="AZ333" t="s">
        <v>74</v>
      </c>
      <c r="BA333" t="s">
        <v>74</v>
      </c>
      <c r="BB333">
        <v>38</v>
      </c>
      <c r="BC333">
        <v>42</v>
      </c>
      <c r="BD333" t="s">
        <v>74</v>
      </c>
      <c r="BE333" t="s">
        <v>3104</v>
      </c>
      <c r="BF333" t="str">
        <f>HYPERLINK("http://dx.doi.org/10.1109/ECTC51906.2022.00014","http://dx.doi.org/10.1109/ECTC51906.2022.00014")</f>
        <v>http://dx.doi.org/10.1109/ECTC51906.2022.00014</v>
      </c>
      <c r="BG333" t="s">
        <v>74</v>
      </c>
      <c r="BH333" t="s">
        <v>74</v>
      </c>
      <c r="BI333" t="s">
        <v>74</v>
      </c>
      <c r="BJ333" t="s">
        <v>74</v>
      </c>
      <c r="BK333" t="s">
        <v>74</v>
      </c>
      <c r="BL333" t="s">
        <v>74</v>
      </c>
      <c r="BM333" t="s">
        <v>74</v>
      </c>
      <c r="BN333" t="s">
        <v>74</v>
      </c>
      <c r="BO333" t="s">
        <v>74</v>
      </c>
      <c r="BP333" t="s">
        <v>74</v>
      </c>
      <c r="BQ333" t="s">
        <v>74</v>
      </c>
      <c r="BR333" t="s">
        <v>74</v>
      </c>
      <c r="BS333" t="s">
        <v>3105</v>
      </c>
      <c r="BT333" t="str">
        <f>HYPERLINK("https%3A%2F%2Fwww.webofscience.com%2Fwos%2Fwoscc%2Ffull-record%2FWOS:000848765300007","View Full Record in Web of Science")</f>
        <v>View Full Record in Web of Science</v>
      </c>
    </row>
    <row r="334" spans="1:72" x14ac:dyDescent="0.25">
      <c r="A334" t="s">
        <v>72</v>
      </c>
      <c r="B334" t="s">
        <v>3106</v>
      </c>
      <c r="C334" t="s">
        <v>74</v>
      </c>
      <c r="D334" t="s">
        <v>74</v>
      </c>
      <c r="E334" t="s">
        <v>74</v>
      </c>
      <c r="F334" t="s">
        <v>3107</v>
      </c>
      <c r="G334" t="s">
        <v>74</v>
      </c>
      <c r="H334" t="s">
        <v>74</v>
      </c>
      <c r="I334" t="s">
        <v>3108</v>
      </c>
      <c r="J334" t="s">
        <v>297</v>
      </c>
      <c r="K334" t="s">
        <v>74</v>
      </c>
      <c r="L334" t="s">
        <v>74</v>
      </c>
      <c r="M334" t="s">
        <v>74</v>
      </c>
      <c r="N334" t="s">
        <v>74</v>
      </c>
      <c r="O334" t="s">
        <v>74</v>
      </c>
      <c r="P334" t="s">
        <v>74</v>
      </c>
      <c r="Q334" t="s">
        <v>74</v>
      </c>
      <c r="R334" t="s">
        <v>74</v>
      </c>
      <c r="S334" t="s">
        <v>74</v>
      </c>
      <c r="T334" t="s">
        <v>74</v>
      </c>
      <c r="U334" t="s">
        <v>74</v>
      </c>
      <c r="V334" t="s">
        <v>3109</v>
      </c>
      <c r="W334" t="s">
        <v>74</v>
      </c>
      <c r="X334" t="s">
        <v>74</v>
      </c>
      <c r="Y334" t="s">
        <v>74</v>
      </c>
      <c r="Z334" t="s">
        <v>74</v>
      </c>
      <c r="AA334" t="s">
        <v>74</v>
      </c>
      <c r="AB334" t="s">
        <v>3110</v>
      </c>
      <c r="AC334" t="s">
        <v>74</v>
      </c>
      <c r="AD334" t="s">
        <v>74</v>
      </c>
      <c r="AE334" t="s">
        <v>74</v>
      </c>
      <c r="AF334" t="s">
        <v>74</v>
      </c>
      <c r="AG334" t="s">
        <v>74</v>
      </c>
      <c r="AH334" t="s">
        <v>74</v>
      </c>
      <c r="AI334" t="s">
        <v>74</v>
      </c>
      <c r="AJ334" t="s">
        <v>74</v>
      </c>
      <c r="AK334" t="s">
        <v>74</v>
      </c>
      <c r="AL334" t="s">
        <v>74</v>
      </c>
      <c r="AM334" t="s">
        <v>74</v>
      </c>
      <c r="AN334" t="s">
        <v>74</v>
      </c>
      <c r="AO334" t="s">
        <v>74</v>
      </c>
      <c r="AP334" t="s">
        <v>298</v>
      </c>
      <c r="AQ334" t="s">
        <v>74</v>
      </c>
      <c r="AR334" t="s">
        <v>74</v>
      </c>
      <c r="AS334" t="s">
        <v>74</v>
      </c>
      <c r="AT334" t="s">
        <v>3111</v>
      </c>
      <c r="AU334">
        <v>2022</v>
      </c>
      <c r="AV334">
        <v>10</v>
      </c>
      <c r="AW334" t="s">
        <v>74</v>
      </c>
      <c r="AX334" t="s">
        <v>74</v>
      </c>
      <c r="AY334" t="s">
        <v>74</v>
      </c>
      <c r="AZ334" t="s">
        <v>74</v>
      </c>
      <c r="BA334" t="s">
        <v>74</v>
      </c>
      <c r="BB334" t="s">
        <v>74</v>
      </c>
      <c r="BC334" t="s">
        <v>74</v>
      </c>
      <c r="BD334">
        <v>906715</v>
      </c>
      <c r="BE334" t="s">
        <v>3112</v>
      </c>
      <c r="BF334" t="str">
        <f>HYPERLINK("http://dx.doi.org/10.3389/fpubh.2022.906715","http://dx.doi.org/10.3389/fpubh.2022.906715")</f>
        <v>http://dx.doi.org/10.3389/fpubh.2022.906715</v>
      </c>
      <c r="BG334" t="s">
        <v>74</v>
      </c>
      <c r="BH334" t="s">
        <v>74</v>
      </c>
      <c r="BI334" t="s">
        <v>74</v>
      </c>
      <c r="BJ334" t="s">
        <v>74</v>
      </c>
      <c r="BK334" t="s">
        <v>74</v>
      </c>
      <c r="BL334" t="s">
        <v>74</v>
      </c>
      <c r="BM334" t="s">
        <v>74</v>
      </c>
      <c r="BN334">
        <v>35664095</v>
      </c>
      <c r="BO334" t="s">
        <v>74</v>
      </c>
      <c r="BP334" t="s">
        <v>74</v>
      </c>
      <c r="BQ334" t="s">
        <v>74</v>
      </c>
      <c r="BR334" t="s">
        <v>74</v>
      </c>
      <c r="BS334" t="s">
        <v>3113</v>
      </c>
      <c r="BT334" t="str">
        <f>HYPERLINK("https%3A%2F%2Fwww.webofscience.com%2Fwos%2Fwoscc%2Ffull-record%2FWOS:000806078600001","View Full Record in Web of Science")</f>
        <v>View Full Record in Web of Science</v>
      </c>
    </row>
    <row r="335" spans="1:72" x14ac:dyDescent="0.25">
      <c r="A335" t="s">
        <v>72</v>
      </c>
      <c r="B335" t="s">
        <v>3114</v>
      </c>
      <c r="C335" t="s">
        <v>74</v>
      </c>
      <c r="D335" t="s">
        <v>74</v>
      </c>
      <c r="E335" t="s">
        <v>74</v>
      </c>
      <c r="F335" t="s">
        <v>3115</v>
      </c>
      <c r="G335" t="s">
        <v>74</v>
      </c>
      <c r="H335" t="s">
        <v>74</v>
      </c>
      <c r="I335" t="s">
        <v>3116</v>
      </c>
      <c r="J335" t="s">
        <v>1873</v>
      </c>
      <c r="K335" t="s">
        <v>74</v>
      </c>
      <c r="L335" t="s">
        <v>74</v>
      </c>
      <c r="M335" t="s">
        <v>74</v>
      </c>
      <c r="N335" t="s">
        <v>74</v>
      </c>
      <c r="O335" t="s">
        <v>74</v>
      </c>
      <c r="P335" t="s">
        <v>74</v>
      </c>
      <c r="Q335" t="s">
        <v>74</v>
      </c>
      <c r="R335" t="s">
        <v>74</v>
      </c>
      <c r="S335" t="s">
        <v>74</v>
      </c>
      <c r="T335" t="s">
        <v>74</v>
      </c>
      <c r="U335" t="s">
        <v>74</v>
      </c>
      <c r="V335" t="s">
        <v>3117</v>
      </c>
      <c r="W335" t="s">
        <v>74</v>
      </c>
      <c r="X335" t="s">
        <v>74</v>
      </c>
      <c r="Y335" t="s">
        <v>74</v>
      </c>
      <c r="Z335" t="s">
        <v>74</v>
      </c>
      <c r="AA335" t="s">
        <v>74</v>
      </c>
      <c r="AB335" t="s">
        <v>74</v>
      </c>
      <c r="AC335" t="s">
        <v>74</v>
      </c>
      <c r="AD335" t="s">
        <v>74</v>
      </c>
      <c r="AE335" t="s">
        <v>74</v>
      </c>
      <c r="AF335" t="s">
        <v>74</v>
      </c>
      <c r="AG335" t="s">
        <v>74</v>
      </c>
      <c r="AH335" t="s">
        <v>74</v>
      </c>
      <c r="AI335" t="s">
        <v>74</v>
      </c>
      <c r="AJ335" t="s">
        <v>74</v>
      </c>
      <c r="AK335" t="s">
        <v>74</v>
      </c>
      <c r="AL335" t="s">
        <v>74</v>
      </c>
      <c r="AM335" t="s">
        <v>74</v>
      </c>
      <c r="AN335" t="s">
        <v>74</v>
      </c>
      <c r="AO335" t="s">
        <v>1874</v>
      </c>
      <c r="AP335" t="s">
        <v>1875</v>
      </c>
      <c r="AQ335" t="s">
        <v>74</v>
      </c>
      <c r="AR335" t="s">
        <v>74</v>
      </c>
      <c r="AS335" t="s">
        <v>74</v>
      </c>
      <c r="AT335" t="s">
        <v>175</v>
      </c>
      <c r="AU335">
        <v>2022</v>
      </c>
      <c r="AV335">
        <v>59</v>
      </c>
      <c r="AW335">
        <v>1</v>
      </c>
      <c r="AX335" t="s">
        <v>74</v>
      </c>
      <c r="AY335" t="s">
        <v>74</v>
      </c>
      <c r="AZ335" t="s">
        <v>74</v>
      </c>
      <c r="BA335" t="s">
        <v>74</v>
      </c>
      <c r="BB335">
        <v>19</v>
      </c>
      <c r="BC335">
        <v>19</v>
      </c>
      <c r="BD335" t="s">
        <v>74</v>
      </c>
      <c r="BE335" t="s">
        <v>3118</v>
      </c>
      <c r="BF335" t="str">
        <f>HYPERLINK("http://dx.doi.org/10.1109/MSPEC.2022.9676346","http://dx.doi.org/10.1109/MSPEC.2022.9676346")</f>
        <v>http://dx.doi.org/10.1109/MSPEC.2022.9676346</v>
      </c>
      <c r="BG335" t="s">
        <v>74</v>
      </c>
      <c r="BH335" t="s">
        <v>74</v>
      </c>
      <c r="BI335" t="s">
        <v>74</v>
      </c>
      <c r="BJ335" t="s">
        <v>74</v>
      </c>
      <c r="BK335" t="s">
        <v>74</v>
      </c>
      <c r="BL335" t="s">
        <v>74</v>
      </c>
      <c r="BM335" t="s">
        <v>74</v>
      </c>
      <c r="BN335" t="s">
        <v>74</v>
      </c>
      <c r="BO335" t="s">
        <v>74</v>
      </c>
      <c r="BP335" t="s">
        <v>74</v>
      </c>
      <c r="BQ335" t="s">
        <v>74</v>
      </c>
      <c r="BR335" t="s">
        <v>74</v>
      </c>
      <c r="BS335" t="s">
        <v>3119</v>
      </c>
      <c r="BT335" t="str">
        <f>HYPERLINK("https%3A%2F%2Fwww.webofscience.com%2Fwos%2Fwoscc%2Ffull-record%2FWOS:000742180200014","View Full Record in Web of Science")</f>
        <v>View Full Record in Web of Science</v>
      </c>
    </row>
    <row r="336" spans="1:72" x14ac:dyDescent="0.25">
      <c r="A336" t="s">
        <v>72</v>
      </c>
      <c r="B336" t="s">
        <v>3120</v>
      </c>
      <c r="C336" t="s">
        <v>74</v>
      </c>
      <c r="D336" t="s">
        <v>74</v>
      </c>
      <c r="E336" t="s">
        <v>74</v>
      </c>
      <c r="F336" t="s">
        <v>3121</v>
      </c>
      <c r="G336" t="s">
        <v>74</v>
      </c>
      <c r="H336" t="s">
        <v>74</v>
      </c>
      <c r="I336" t="s">
        <v>3122</v>
      </c>
      <c r="J336" t="s">
        <v>2018</v>
      </c>
      <c r="K336" t="s">
        <v>74</v>
      </c>
      <c r="L336" t="s">
        <v>74</v>
      </c>
      <c r="M336" t="s">
        <v>74</v>
      </c>
      <c r="N336" t="s">
        <v>74</v>
      </c>
      <c r="O336" t="s">
        <v>74</v>
      </c>
      <c r="P336" t="s">
        <v>74</v>
      </c>
      <c r="Q336" t="s">
        <v>74</v>
      </c>
      <c r="R336" t="s">
        <v>74</v>
      </c>
      <c r="S336" t="s">
        <v>74</v>
      </c>
      <c r="T336" t="s">
        <v>74</v>
      </c>
      <c r="U336" t="s">
        <v>74</v>
      </c>
      <c r="V336" t="s">
        <v>3123</v>
      </c>
      <c r="W336" t="s">
        <v>74</v>
      </c>
      <c r="X336" t="s">
        <v>74</v>
      </c>
      <c r="Y336" t="s">
        <v>74</v>
      </c>
      <c r="Z336" t="s">
        <v>74</v>
      </c>
      <c r="AA336" t="s">
        <v>3124</v>
      </c>
      <c r="AB336" t="s">
        <v>74</v>
      </c>
      <c r="AC336" t="s">
        <v>74</v>
      </c>
      <c r="AD336" t="s">
        <v>74</v>
      </c>
      <c r="AE336" t="s">
        <v>74</v>
      </c>
      <c r="AF336" t="s">
        <v>74</v>
      </c>
      <c r="AG336" t="s">
        <v>74</v>
      </c>
      <c r="AH336" t="s">
        <v>74</v>
      </c>
      <c r="AI336" t="s">
        <v>74</v>
      </c>
      <c r="AJ336" t="s">
        <v>74</v>
      </c>
      <c r="AK336" t="s">
        <v>74</v>
      </c>
      <c r="AL336" t="s">
        <v>74</v>
      </c>
      <c r="AM336" t="s">
        <v>74</v>
      </c>
      <c r="AN336" t="s">
        <v>74</v>
      </c>
      <c r="AO336" t="s">
        <v>2021</v>
      </c>
      <c r="AP336" t="s">
        <v>2022</v>
      </c>
      <c r="AQ336" t="s">
        <v>74</v>
      </c>
      <c r="AR336" t="s">
        <v>74</v>
      </c>
      <c r="AS336" t="s">
        <v>74</v>
      </c>
      <c r="AT336" t="s">
        <v>1202</v>
      </c>
      <c r="AU336">
        <v>2023</v>
      </c>
      <c r="AV336">
        <v>127</v>
      </c>
      <c r="AW336" t="s">
        <v>74</v>
      </c>
      <c r="AX336" t="s">
        <v>74</v>
      </c>
      <c r="AY336" t="s">
        <v>74</v>
      </c>
      <c r="AZ336" t="s">
        <v>74</v>
      </c>
      <c r="BA336" t="s">
        <v>74</v>
      </c>
      <c r="BB336" t="s">
        <v>74</v>
      </c>
      <c r="BC336" t="s">
        <v>74</v>
      </c>
      <c r="BD336">
        <v>102923</v>
      </c>
      <c r="BE336" t="s">
        <v>3125</v>
      </c>
      <c r="BF336" t="str">
        <f>HYPERLINK("http://dx.doi.org/10.1016/j.cose.2022.102923","http://dx.doi.org/10.1016/j.cose.2022.102923")</f>
        <v>http://dx.doi.org/10.1016/j.cose.2022.102923</v>
      </c>
      <c r="BG336" t="s">
        <v>74</v>
      </c>
      <c r="BH336" t="s">
        <v>151</v>
      </c>
      <c r="BI336" t="s">
        <v>74</v>
      </c>
      <c r="BJ336" t="s">
        <v>74</v>
      </c>
      <c r="BK336" t="s">
        <v>74</v>
      </c>
      <c r="BL336" t="s">
        <v>74</v>
      </c>
      <c r="BM336" t="s">
        <v>74</v>
      </c>
      <c r="BN336" t="s">
        <v>74</v>
      </c>
      <c r="BO336" t="s">
        <v>74</v>
      </c>
      <c r="BP336" t="s">
        <v>74</v>
      </c>
      <c r="BQ336" t="s">
        <v>74</v>
      </c>
      <c r="BR336" t="s">
        <v>74</v>
      </c>
      <c r="BS336" t="s">
        <v>3126</v>
      </c>
      <c r="BT336" t="str">
        <f>HYPERLINK("https%3A%2F%2Fwww.webofscience.com%2Fwos%2Fwoscc%2Ffull-record%2FWOS:000927557200001","View Full Record in Web of Science")</f>
        <v>View Full Record in Web of Science</v>
      </c>
    </row>
    <row r="337" spans="1:72" x14ac:dyDescent="0.25">
      <c r="A337" t="s">
        <v>84</v>
      </c>
      <c r="B337" t="s">
        <v>3127</v>
      </c>
      <c r="C337" t="s">
        <v>74</v>
      </c>
      <c r="D337" t="s">
        <v>74</v>
      </c>
      <c r="E337" t="s">
        <v>233</v>
      </c>
      <c r="F337" t="s">
        <v>3128</v>
      </c>
      <c r="G337" t="s">
        <v>74</v>
      </c>
      <c r="H337" t="s">
        <v>74</v>
      </c>
      <c r="I337" t="s">
        <v>3129</v>
      </c>
      <c r="J337" t="s">
        <v>798</v>
      </c>
      <c r="K337" t="s">
        <v>74</v>
      </c>
      <c r="L337" t="s">
        <v>74</v>
      </c>
      <c r="M337" t="s">
        <v>74</v>
      </c>
      <c r="N337" t="s">
        <v>74</v>
      </c>
      <c r="O337" t="s">
        <v>799</v>
      </c>
      <c r="P337" t="s">
        <v>800</v>
      </c>
      <c r="Q337" t="s">
        <v>108</v>
      </c>
      <c r="R337" t="s">
        <v>801</v>
      </c>
      <c r="S337" t="s">
        <v>74</v>
      </c>
      <c r="T337" t="s">
        <v>74</v>
      </c>
      <c r="U337" t="s">
        <v>74</v>
      </c>
      <c r="V337" t="s">
        <v>3130</v>
      </c>
      <c r="W337" t="s">
        <v>74</v>
      </c>
      <c r="X337" t="s">
        <v>74</v>
      </c>
      <c r="Y337" t="s">
        <v>74</v>
      </c>
      <c r="Z337" t="s">
        <v>74</v>
      </c>
      <c r="AA337" t="s">
        <v>74</v>
      </c>
      <c r="AB337" t="s">
        <v>74</v>
      </c>
      <c r="AC337" t="s">
        <v>74</v>
      </c>
      <c r="AD337" t="s">
        <v>74</v>
      </c>
      <c r="AE337" t="s">
        <v>74</v>
      </c>
      <c r="AF337" t="s">
        <v>74</v>
      </c>
      <c r="AG337" t="s">
        <v>74</v>
      </c>
      <c r="AH337" t="s">
        <v>74</v>
      </c>
      <c r="AI337" t="s">
        <v>74</v>
      </c>
      <c r="AJ337" t="s">
        <v>74</v>
      </c>
      <c r="AK337" t="s">
        <v>74</v>
      </c>
      <c r="AL337" t="s">
        <v>74</v>
      </c>
      <c r="AM337" t="s">
        <v>74</v>
      </c>
      <c r="AN337" t="s">
        <v>74</v>
      </c>
      <c r="AO337" t="s">
        <v>74</v>
      </c>
      <c r="AP337" t="s">
        <v>74</v>
      </c>
      <c r="AQ337" t="s">
        <v>804</v>
      </c>
      <c r="AR337" t="s">
        <v>74</v>
      </c>
      <c r="AS337" t="s">
        <v>74</v>
      </c>
      <c r="AT337" t="s">
        <v>74</v>
      </c>
      <c r="AU337">
        <v>2022</v>
      </c>
      <c r="AV337" t="s">
        <v>74</v>
      </c>
      <c r="AW337" t="s">
        <v>74</v>
      </c>
      <c r="AX337" t="s">
        <v>74</v>
      </c>
      <c r="AY337" t="s">
        <v>74</v>
      </c>
      <c r="AZ337" t="s">
        <v>74</v>
      </c>
      <c r="BA337" t="s">
        <v>74</v>
      </c>
      <c r="BB337">
        <v>801</v>
      </c>
      <c r="BC337">
        <v>802</v>
      </c>
      <c r="BD337" t="s">
        <v>74</v>
      </c>
      <c r="BE337" t="s">
        <v>3131</v>
      </c>
      <c r="BF337" t="str">
        <f>HYPERLINK("http://dx.doi.org/10.1109/VRW55335.2022.00256","http://dx.doi.org/10.1109/VRW55335.2022.00256")</f>
        <v>http://dx.doi.org/10.1109/VRW55335.2022.00256</v>
      </c>
      <c r="BG337" t="s">
        <v>74</v>
      </c>
      <c r="BH337" t="s">
        <v>74</v>
      </c>
      <c r="BI337" t="s">
        <v>74</v>
      </c>
      <c r="BJ337" t="s">
        <v>74</v>
      </c>
      <c r="BK337" t="s">
        <v>74</v>
      </c>
      <c r="BL337" t="s">
        <v>74</v>
      </c>
      <c r="BM337" t="s">
        <v>74</v>
      </c>
      <c r="BN337" t="s">
        <v>74</v>
      </c>
      <c r="BO337" t="s">
        <v>74</v>
      </c>
      <c r="BP337" t="s">
        <v>74</v>
      </c>
      <c r="BQ337" t="s">
        <v>74</v>
      </c>
      <c r="BR337" t="s">
        <v>74</v>
      </c>
      <c r="BS337" t="s">
        <v>3132</v>
      </c>
      <c r="BT337" t="str">
        <f>HYPERLINK("https%3A%2F%2Fwww.webofscience.com%2Fwos%2Fwoscc%2Ffull-record%2FWOS:000808111800247","View Full Record in Web of Science")</f>
        <v>View Full Record in Web of Science</v>
      </c>
    </row>
    <row r="338" spans="1:72" x14ac:dyDescent="0.25">
      <c r="A338" t="s">
        <v>72</v>
      </c>
      <c r="B338" t="s">
        <v>3133</v>
      </c>
      <c r="C338" t="s">
        <v>74</v>
      </c>
      <c r="D338" t="s">
        <v>74</v>
      </c>
      <c r="E338" t="s">
        <v>74</v>
      </c>
      <c r="F338" t="s">
        <v>3134</v>
      </c>
      <c r="G338" t="s">
        <v>74</v>
      </c>
      <c r="H338" t="s">
        <v>74</v>
      </c>
      <c r="I338" t="s">
        <v>3135</v>
      </c>
      <c r="J338" t="s">
        <v>523</v>
      </c>
      <c r="K338" t="s">
        <v>74</v>
      </c>
      <c r="L338" t="s">
        <v>74</v>
      </c>
      <c r="M338" t="s">
        <v>74</v>
      </c>
      <c r="N338" t="s">
        <v>74</v>
      </c>
      <c r="O338" t="s">
        <v>74</v>
      </c>
      <c r="P338" t="s">
        <v>74</v>
      </c>
      <c r="Q338" t="s">
        <v>74</v>
      </c>
      <c r="R338" t="s">
        <v>74</v>
      </c>
      <c r="S338" t="s">
        <v>74</v>
      </c>
      <c r="T338" t="s">
        <v>74</v>
      </c>
      <c r="U338" t="s">
        <v>74</v>
      </c>
      <c r="V338" t="s">
        <v>3136</v>
      </c>
      <c r="W338" t="s">
        <v>74</v>
      </c>
      <c r="X338" t="s">
        <v>74</v>
      </c>
      <c r="Y338" t="s">
        <v>74</v>
      </c>
      <c r="Z338" t="s">
        <v>74</v>
      </c>
      <c r="AA338" t="s">
        <v>3137</v>
      </c>
      <c r="AB338" t="s">
        <v>3138</v>
      </c>
      <c r="AC338" t="s">
        <v>74</v>
      </c>
      <c r="AD338" t="s">
        <v>74</v>
      </c>
      <c r="AE338" t="s">
        <v>74</v>
      </c>
      <c r="AF338" t="s">
        <v>74</v>
      </c>
      <c r="AG338" t="s">
        <v>74</v>
      </c>
      <c r="AH338" t="s">
        <v>74</v>
      </c>
      <c r="AI338" t="s">
        <v>74</v>
      </c>
      <c r="AJ338" t="s">
        <v>74</v>
      </c>
      <c r="AK338" t="s">
        <v>74</v>
      </c>
      <c r="AL338" t="s">
        <v>74</v>
      </c>
      <c r="AM338" t="s">
        <v>74</v>
      </c>
      <c r="AN338" t="s">
        <v>74</v>
      </c>
      <c r="AO338" t="s">
        <v>526</v>
      </c>
      <c r="AP338" t="s">
        <v>74</v>
      </c>
      <c r="AQ338" t="s">
        <v>74</v>
      </c>
      <c r="AR338" t="s">
        <v>74</v>
      </c>
      <c r="AS338" t="s">
        <v>74</v>
      </c>
      <c r="AT338" t="s">
        <v>3139</v>
      </c>
      <c r="AU338">
        <v>2022</v>
      </c>
      <c r="AV338">
        <v>15</v>
      </c>
      <c r="AW338">
        <v>5</v>
      </c>
      <c r="AX338" t="s">
        <v>74</v>
      </c>
      <c r="AY338" t="s">
        <v>74</v>
      </c>
      <c r="AZ338" t="s">
        <v>74</v>
      </c>
      <c r="BA338" t="s">
        <v>74</v>
      </c>
      <c r="BB338">
        <v>540</v>
      </c>
      <c r="BC338">
        <v>553</v>
      </c>
      <c r="BD338" t="s">
        <v>74</v>
      </c>
      <c r="BE338" t="s">
        <v>3140</v>
      </c>
      <c r="BF338" t="str">
        <f>HYPERLINK("http://dx.doi.org/10.1109/TLT.2022.3176777","http://dx.doi.org/10.1109/TLT.2022.3176777")</f>
        <v>http://dx.doi.org/10.1109/TLT.2022.3176777</v>
      </c>
      <c r="BG338" t="s">
        <v>74</v>
      </c>
      <c r="BH338" t="s">
        <v>74</v>
      </c>
      <c r="BI338" t="s">
        <v>74</v>
      </c>
      <c r="BJ338" t="s">
        <v>74</v>
      </c>
      <c r="BK338" t="s">
        <v>74</v>
      </c>
      <c r="BL338" t="s">
        <v>74</v>
      </c>
      <c r="BM338" t="s">
        <v>74</v>
      </c>
      <c r="BN338" t="s">
        <v>74</v>
      </c>
      <c r="BO338" t="s">
        <v>74</v>
      </c>
      <c r="BP338" t="s">
        <v>74</v>
      </c>
      <c r="BQ338" t="s">
        <v>74</v>
      </c>
      <c r="BR338" t="s">
        <v>74</v>
      </c>
      <c r="BS338" t="s">
        <v>3141</v>
      </c>
      <c r="BT338" t="str">
        <f>HYPERLINK("https%3A%2F%2Fwww.webofscience.com%2Fwos%2Fwoscc%2Ffull-record%2FWOS:000873738300005","View Full Record in Web of Science")</f>
        <v>View Full Record in Web of Science</v>
      </c>
    </row>
    <row r="339" spans="1:72" x14ac:dyDescent="0.25">
      <c r="A339" t="s">
        <v>84</v>
      </c>
      <c r="B339" t="s">
        <v>3142</v>
      </c>
      <c r="C339" t="s">
        <v>74</v>
      </c>
      <c r="D339" t="s">
        <v>74</v>
      </c>
      <c r="E339" t="s">
        <v>86</v>
      </c>
      <c r="F339" t="s">
        <v>3143</v>
      </c>
      <c r="G339" t="s">
        <v>74</v>
      </c>
      <c r="H339" t="s">
        <v>74</v>
      </c>
      <c r="I339" t="s">
        <v>3144</v>
      </c>
      <c r="J339" t="s">
        <v>3145</v>
      </c>
      <c r="K339" t="s">
        <v>3146</v>
      </c>
      <c r="L339" t="s">
        <v>74</v>
      </c>
      <c r="M339" t="s">
        <v>74</v>
      </c>
      <c r="N339" t="s">
        <v>74</v>
      </c>
      <c r="O339" t="s">
        <v>3147</v>
      </c>
      <c r="P339" t="s">
        <v>3148</v>
      </c>
      <c r="Q339" t="s">
        <v>3149</v>
      </c>
      <c r="R339" t="s">
        <v>86</v>
      </c>
      <c r="S339" t="s">
        <v>74</v>
      </c>
      <c r="T339" t="s">
        <v>74</v>
      </c>
      <c r="U339" t="s">
        <v>74</v>
      </c>
      <c r="V339" t="s">
        <v>3150</v>
      </c>
      <c r="W339" t="s">
        <v>74</v>
      </c>
      <c r="X339" t="s">
        <v>74</v>
      </c>
      <c r="Y339" t="s">
        <v>74</v>
      </c>
      <c r="Z339" t="s">
        <v>74</v>
      </c>
      <c r="AA339" t="s">
        <v>74</v>
      </c>
      <c r="AB339" t="s">
        <v>3151</v>
      </c>
      <c r="AC339" t="s">
        <v>74</v>
      </c>
      <c r="AD339" t="s">
        <v>74</v>
      </c>
      <c r="AE339" t="s">
        <v>74</v>
      </c>
      <c r="AF339" t="s">
        <v>74</v>
      </c>
      <c r="AG339" t="s">
        <v>74</v>
      </c>
      <c r="AH339" t="s">
        <v>74</v>
      </c>
      <c r="AI339" t="s">
        <v>74</v>
      </c>
      <c r="AJ339" t="s">
        <v>74</v>
      </c>
      <c r="AK339" t="s">
        <v>74</v>
      </c>
      <c r="AL339" t="s">
        <v>74</v>
      </c>
      <c r="AM339" t="s">
        <v>74</v>
      </c>
      <c r="AN339" t="s">
        <v>74</v>
      </c>
      <c r="AO339" t="s">
        <v>3152</v>
      </c>
      <c r="AP339" t="s">
        <v>74</v>
      </c>
      <c r="AQ339" t="s">
        <v>3153</v>
      </c>
      <c r="AR339" t="s">
        <v>74</v>
      </c>
      <c r="AS339" t="s">
        <v>74</v>
      </c>
      <c r="AT339" t="s">
        <v>74</v>
      </c>
      <c r="AU339">
        <v>2022</v>
      </c>
      <c r="AV339" t="s">
        <v>74</v>
      </c>
      <c r="AW339" t="s">
        <v>74</v>
      </c>
      <c r="AX339" t="s">
        <v>74</v>
      </c>
      <c r="AY339" t="s">
        <v>74</v>
      </c>
      <c r="AZ339" t="s">
        <v>74</v>
      </c>
      <c r="BA339" t="s">
        <v>74</v>
      </c>
      <c r="BB339">
        <v>220</v>
      </c>
      <c r="BC339">
        <v>227</v>
      </c>
      <c r="BD339" t="s">
        <v>74</v>
      </c>
      <c r="BE339" t="s">
        <v>3154</v>
      </c>
      <c r="BF339" t="str">
        <f>HYPERLINK("http://dx.doi.org/10.1109/CASE49997.2022.9926427","http://dx.doi.org/10.1109/CASE49997.2022.9926427")</f>
        <v>http://dx.doi.org/10.1109/CASE49997.2022.9926427</v>
      </c>
      <c r="BG339" t="s">
        <v>74</v>
      </c>
      <c r="BH339" t="s">
        <v>74</v>
      </c>
      <c r="BI339" t="s">
        <v>74</v>
      </c>
      <c r="BJ339" t="s">
        <v>74</v>
      </c>
      <c r="BK339" t="s">
        <v>74</v>
      </c>
      <c r="BL339" t="s">
        <v>74</v>
      </c>
      <c r="BM339" t="s">
        <v>74</v>
      </c>
      <c r="BN339" t="s">
        <v>74</v>
      </c>
      <c r="BO339" t="s">
        <v>74</v>
      </c>
      <c r="BP339" t="s">
        <v>74</v>
      </c>
      <c r="BQ339" t="s">
        <v>74</v>
      </c>
      <c r="BR339" t="s">
        <v>74</v>
      </c>
      <c r="BS339" t="s">
        <v>3155</v>
      </c>
      <c r="BT339" t="str">
        <f>HYPERLINK("https%3A%2F%2Fwww.webofscience.com%2Fwos%2Fwoscc%2Ffull-record%2FWOS:000927622400025","View Full Record in Web of Science")</f>
        <v>View Full Record in Web of Science</v>
      </c>
    </row>
    <row r="340" spans="1:72" x14ac:dyDescent="0.25">
      <c r="A340" t="s">
        <v>72</v>
      </c>
      <c r="B340" t="s">
        <v>3156</v>
      </c>
      <c r="C340" t="s">
        <v>74</v>
      </c>
      <c r="D340" t="s">
        <v>74</v>
      </c>
      <c r="E340" t="s">
        <v>74</v>
      </c>
      <c r="F340" t="s">
        <v>3157</v>
      </c>
      <c r="G340" t="s">
        <v>74</v>
      </c>
      <c r="H340" t="s">
        <v>74</v>
      </c>
      <c r="I340" t="s">
        <v>3158</v>
      </c>
      <c r="J340" t="s">
        <v>3159</v>
      </c>
      <c r="K340" t="s">
        <v>74</v>
      </c>
      <c r="L340" t="s">
        <v>74</v>
      </c>
      <c r="M340" t="s">
        <v>74</v>
      </c>
      <c r="N340" t="s">
        <v>74</v>
      </c>
      <c r="O340" t="s">
        <v>74</v>
      </c>
      <c r="P340" t="s">
        <v>74</v>
      </c>
      <c r="Q340" t="s">
        <v>74</v>
      </c>
      <c r="R340" t="s">
        <v>74</v>
      </c>
      <c r="S340" t="s">
        <v>74</v>
      </c>
      <c r="T340" t="s">
        <v>74</v>
      </c>
      <c r="U340" t="s">
        <v>74</v>
      </c>
      <c r="V340" t="s">
        <v>3160</v>
      </c>
      <c r="W340" t="s">
        <v>74</v>
      </c>
      <c r="X340" t="s">
        <v>74</v>
      </c>
      <c r="Y340" t="s">
        <v>74</v>
      </c>
      <c r="Z340" t="s">
        <v>74</v>
      </c>
      <c r="AA340" t="s">
        <v>74</v>
      </c>
      <c r="AB340" t="s">
        <v>74</v>
      </c>
      <c r="AC340" t="s">
        <v>74</v>
      </c>
      <c r="AD340" t="s">
        <v>74</v>
      </c>
      <c r="AE340" t="s">
        <v>74</v>
      </c>
      <c r="AF340" t="s">
        <v>74</v>
      </c>
      <c r="AG340" t="s">
        <v>74</v>
      </c>
      <c r="AH340" t="s">
        <v>74</v>
      </c>
      <c r="AI340" t="s">
        <v>74</v>
      </c>
      <c r="AJ340" t="s">
        <v>74</v>
      </c>
      <c r="AK340" t="s">
        <v>74</v>
      </c>
      <c r="AL340" t="s">
        <v>74</v>
      </c>
      <c r="AM340" t="s">
        <v>74</v>
      </c>
      <c r="AN340" t="s">
        <v>74</v>
      </c>
      <c r="AO340" t="s">
        <v>3161</v>
      </c>
      <c r="AP340" t="s">
        <v>3162</v>
      </c>
      <c r="AQ340" t="s">
        <v>74</v>
      </c>
      <c r="AR340" t="s">
        <v>74</v>
      </c>
      <c r="AS340" t="s">
        <v>74</v>
      </c>
      <c r="AT340" t="s">
        <v>1094</v>
      </c>
      <c r="AU340">
        <v>2022</v>
      </c>
      <c r="AV340">
        <v>2022</v>
      </c>
      <c r="AW340" t="s">
        <v>74</v>
      </c>
      <c r="AX340" t="s">
        <v>74</v>
      </c>
      <c r="AY340" t="s">
        <v>74</v>
      </c>
      <c r="AZ340" t="s">
        <v>74</v>
      </c>
      <c r="BA340" t="s">
        <v>74</v>
      </c>
      <c r="BB340" t="s">
        <v>74</v>
      </c>
      <c r="BC340" t="s">
        <v>74</v>
      </c>
      <c r="BD340">
        <v>3429528</v>
      </c>
      <c r="BE340" t="s">
        <v>3163</v>
      </c>
      <c r="BF340" t="str">
        <f>HYPERLINK("http://dx.doi.org/10.1155/2022/3429528","http://dx.doi.org/10.1155/2022/3429528")</f>
        <v>http://dx.doi.org/10.1155/2022/3429528</v>
      </c>
      <c r="BG340" t="s">
        <v>74</v>
      </c>
      <c r="BH340" t="s">
        <v>74</v>
      </c>
      <c r="BI340" t="s">
        <v>74</v>
      </c>
      <c r="BJ340" t="s">
        <v>74</v>
      </c>
      <c r="BK340" t="s">
        <v>74</v>
      </c>
      <c r="BL340" t="s">
        <v>74</v>
      </c>
      <c r="BM340" t="s">
        <v>74</v>
      </c>
      <c r="BN340" t="s">
        <v>74</v>
      </c>
      <c r="BO340" t="s">
        <v>74</v>
      </c>
      <c r="BP340" t="s">
        <v>74</v>
      </c>
      <c r="BQ340" t="s">
        <v>74</v>
      </c>
      <c r="BR340" t="s">
        <v>74</v>
      </c>
      <c r="BS340" t="s">
        <v>3164</v>
      </c>
      <c r="BT340" t="str">
        <f>HYPERLINK("https%3A%2F%2Fwww.webofscience.com%2Fwos%2Fwoscc%2Ffull-record%2FWOS:000872905600012","View Full Record in Web of Science")</f>
        <v>View Full Record in Web of Science</v>
      </c>
    </row>
    <row r="341" spans="1:72" x14ac:dyDescent="0.25">
      <c r="A341" t="s">
        <v>84</v>
      </c>
      <c r="B341" t="s">
        <v>3165</v>
      </c>
      <c r="C341" t="s">
        <v>74</v>
      </c>
      <c r="D341" t="s">
        <v>74</v>
      </c>
      <c r="E341" t="s">
        <v>233</v>
      </c>
      <c r="F341" t="s">
        <v>3166</v>
      </c>
      <c r="G341" t="s">
        <v>74</v>
      </c>
      <c r="H341" t="s">
        <v>74</v>
      </c>
      <c r="I341" t="s">
        <v>3167</v>
      </c>
      <c r="J341" t="s">
        <v>798</v>
      </c>
      <c r="K341" t="s">
        <v>74</v>
      </c>
      <c r="L341" t="s">
        <v>74</v>
      </c>
      <c r="M341" t="s">
        <v>74</v>
      </c>
      <c r="N341" t="s">
        <v>74</v>
      </c>
      <c r="O341" t="s">
        <v>799</v>
      </c>
      <c r="P341" t="s">
        <v>800</v>
      </c>
      <c r="Q341" t="s">
        <v>108</v>
      </c>
      <c r="R341" t="s">
        <v>801</v>
      </c>
      <c r="S341" t="s">
        <v>74</v>
      </c>
      <c r="T341" t="s">
        <v>74</v>
      </c>
      <c r="U341" t="s">
        <v>74</v>
      </c>
      <c r="V341" t="s">
        <v>3168</v>
      </c>
      <c r="W341" t="s">
        <v>74</v>
      </c>
      <c r="X341" t="s">
        <v>74</v>
      </c>
      <c r="Y341" t="s">
        <v>74</v>
      </c>
      <c r="Z341" t="s">
        <v>74</v>
      </c>
      <c r="AA341" t="s">
        <v>74</v>
      </c>
      <c r="AB341" t="s">
        <v>74</v>
      </c>
      <c r="AC341" t="s">
        <v>74</v>
      </c>
      <c r="AD341" t="s">
        <v>74</v>
      </c>
      <c r="AE341" t="s">
        <v>74</v>
      </c>
      <c r="AF341" t="s">
        <v>74</v>
      </c>
      <c r="AG341" t="s">
        <v>74</v>
      </c>
      <c r="AH341" t="s">
        <v>74</v>
      </c>
      <c r="AI341" t="s">
        <v>74</v>
      </c>
      <c r="AJ341" t="s">
        <v>74</v>
      </c>
      <c r="AK341" t="s">
        <v>74</v>
      </c>
      <c r="AL341" t="s">
        <v>74</v>
      </c>
      <c r="AM341" t="s">
        <v>74</v>
      </c>
      <c r="AN341" t="s">
        <v>74</v>
      </c>
      <c r="AO341" t="s">
        <v>74</v>
      </c>
      <c r="AP341" t="s">
        <v>74</v>
      </c>
      <c r="AQ341" t="s">
        <v>804</v>
      </c>
      <c r="AR341" t="s">
        <v>74</v>
      </c>
      <c r="AS341" t="s">
        <v>74</v>
      </c>
      <c r="AT341" t="s">
        <v>74</v>
      </c>
      <c r="AU341">
        <v>2022</v>
      </c>
      <c r="AV341" t="s">
        <v>74</v>
      </c>
      <c r="AW341" t="s">
        <v>74</v>
      </c>
      <c r="AX341" t="s">
        <v>74</v>
      </c>
      <c r="AY341" t="s">
        <v>74</v>
      </c>
      <c r="AZ341" t="s">
        <v>74</v>
      </c>
      <c r="BA341" t="s">
        <v>74</v>
      </c>
      <c r="BB341">
        <v>809</v>
      </c>
      <c r="BC341">
        <v>810</v>
      </c>
      <c r="BD341" t="s">
        <v>74</v>
      </c>
      <c r="BE341" t="s">
        <v>3169</v>
      </c>
      <c r="BF341" t="str">
        <f>HYPERLINK("http://dx.doi.org/10.1109/VRW55335.2022.00260","http://dx.doi.org/10.1109/VRW55335.2022.00260")</f>
        <v>http://dx.doi.org/10.1109/VRW55335.2022.00260</v>
      </c>
      <c r="BG341" t="s">
        <v>74</v>
      </c>
      <c r="BH341" t="s">
        <v>74</v>
      </c>
      <c r="BI341" t="s">
        <v>74</v>
      </c>
      <c r="BJ341" t="s">
        <v>74</v>
      </c>
      <c r="BK341" t="s">
        <v>74</v>
      </c>
      <c r="BL341" t="s">
        <v>74</v>
      </c>
      <c r="BM341" t="s">
        <v>74</v>
      </c>
      <c r="BN341" t="s">
        <v>74</v>
      </c>
      <c r="BO341" t="s">
        <v>74</v>
      </c>
      <c r="BP341" t="s">
        <v>74</v>
      </c>
      <c r="BQ341" t="s">
        <v>74</v>
      </c>
      <c r="BR341" t="s">
        <v>74</v>
      </c>
      <c r="BS341" t="s">
        <v>3170</v>
      </c>
      <c r="BT341" t="str">
        <f>HYPERLINK("https%3A%2F%2Fwww.webofscience.com%2Fwos%2Fwoscc%2Ffull-record%2FWOS:000808111800251","View Full Record in Web of Science")</f>
        <v>View Full Record in Web of Science</v>
      </c>
    </row>
    <row r="342" spans="1:72" x14ac:dyDescent="0.25">
      <c r="A342" t="s">
        <v>84</v>
      </c>
      <c r="B342" t="s">
        <v>3171</v>
      </c>
      <c r="C342" t="s">
        <v>74</v>
      </c>
      <c r="D342" t="s">
        <v>74</v>
      </c>
      <c r="E342" t="s">
        <v>86</v>
      </c>
      <c r="F342" t="s">
        <v>3172</v>
      </c>
      <c r="G342" t="s">
        <v>74</v>
      </c>
      <c r="H342" t="s">
        <v>74</v>
      </c>
      <c r="I342" t="s">
        <v>3173</v>
      </c>
      <c r="J342" t="s">
        <v>3174</v>
      </c>
      <c r="K342" t="s">
        <v>3175</v>
      </c>
      <c r="L342" t="s">
        <v>74</v>
      </c>
      <c r="M342" t="s">
        <v>74</v>
      </c>
      <c r="N342" t="s">
        <v>74</v>
      </c>
      <c r="O342" t="s">
        <v>3176</v>
      </c>
      <c r="P342" t="s">
        <v>3177</v>
      </c>
      <c r="Q342" t="s">
        <v>3178</v>
      </c>
      <c r="R342" t="s">
        <v>3179</v>
      </c>
      <c r="S342" t="s">
        <v>74</v>
      </c>
      <c r="T342" t="s">
        <v>74</v>
      </c>
      <c r="U342" t="s">
        <v>74</v>
      </c>
      <c r="V342" t="s">
        <v>3180</v>
      </c>
      <c r="W342" t="s">
        <v>74</v>
      </c>
      <c r="X342" t="s">
        <v>74</v>
      </c>
      <c r="Y342" t="s">
        <v>74</v>
      </c>
      <c r="Z342" t="s">
        <v>74</v>
      </c>
      <c r="AA342" t="s">
        <v>74</v>
      </c>
      <c r="AB342" t="s">
        <v>74</v>
      </c>
      <c r="AC342" t="s">
        <v>74</v>
      </c>
      <c r="AD342" t="s">
        <v>74</v>
      </c>
      <c r="AE342" t="s">
        <v>74</v>
      </c>
      <c r="AF342" t="s">
        <v>74</v>
      </c>
      <c r="AG342" t="s">
        <v>74</v>
      </c>
      <c r="AH342" t="s">
        <v>74</v>
      </c>
      <c r="AI342" t="s">
        <v>74</v>
      </c>
      <c r="AJ342" t="s">
        <v>74</v>
      </c>
      <c r="AK342" t="s">
        <v>74</v>
      </c>
      <c r="AL342" t="s">
        <v>74</v>
      </c>
      <c r="AM342" t="s">
        <v>74</v>
      </c>
      <c r="AN342" t="s">
        <v>74</v>
      </c>
      <c r="AO342" t="s">
        <v>3181</v>
      </c>
      <c r="AP342" t="s">
        <v>74</v>
      </c>
      <c r="AQ342" t="s">
        <v>3182</v>
      </c>
      <c r="AR342" t="s">
        <v>74</v>
      </c>
      <c r="AS342" t="s">
        <v>74</v>
      </c>
      <c r="AT342" t="s">
        <v>74</v>
      </c>
      <c r="AU342">
        <v>2022</v>
      </c>
      <c r="AV342" t="s">
        <v>74</v>
      </c>
      <c r="AW342" t="s">
        <v>74</v>
      </c>
      <c r="AX342" t="s">
        <v>74</v>
      </c>
      <c r="AY342" t="s">
        <v>74</v>
      </c>
      <c r="AZ342" t="s">
        <v>74</v>
      </c>
      <c r="BA342" t="s">
        <v>74</v>
      </c>
      <c r="BB342">
        <v>4973</v>
      </c>
      <c r="BC342">
        <v>4980</v>
      </c>
      <c r="BD342" t="s">
        <v>74</v>
      </c>
      <c r="BE342" t="s">
        <v>3183</v>
      </c>
      <c r="BF342" t="str">
        <f>HYPERLINK("http://dx.doi.org/10.1109/IROS47612.2022.9981123","http://dx.doi.org/10.1109/IROS47612.2022.9981123")</f>
        <v>http://dx.doi.org/10.1109/IROS47612.2022.9981123</v>
      </c>
      <c r="BG342" t="s">
        <v>74</v>
      </c>
      <c r="BH342" t="s">
        <v>74</v>
      </c>
      <c r="BI342" t="s">
        <v>74</v>
      </c>
      <c r="BJ342" t="s">
        <v>74</v>
      </c>
      <c r="BK342" t="s">
        <v>74</v>
      </c>
      <c r="BL342" t="s">
        <v>74</v>
      </c>
      <c r="BM342" t="s">
        <v>74</v>
      </c>
      <c r="BN342" t="s">
        <v>74</v>
      </c>
      <c r="BO342" t="s">
        <v>74</v>
      </c>
      <c r="BP342" t="s">
        <v>74</v>
      </c>
      <c r="BQ342" t="s">
        <v>74</v>
      </c>
      <c r="BR342" t="s">
        <v>74</v>
      </c>
      <c r="BS342" t="s">
        <v>3184</v>
      </c>
      <c r="BT342" t="str">
        <f>HYPERLINK("https%3A%2F%2Fwww.webofscience.com%2Fwos%2Fwoscc%2Ffull-record%2FWOS:000908368203090","View Full Record in Web of Science")</f>
        <v>View Full Record in Web of Science</v>
      </c>
    </row>
    <row r="343" spans="1:72" x14ac:dyDescent="0.25">
      <c r="A343" t="s">
        <v>72</v>
      </c>
      <c r="B343" t="s">
        <v>3185</v>
      </c>
      <c r="C343" t="s">
        <v>74</v>
      </c>
      <c r="D343" t="s">
        <v>74</v>
      </c>
      <c r="E343" t="s">
        <v>74</v>
      </c>
      <c r="F343" t="s">
        <v>3186</v>
      </c>
      <c r="G343" t="s">
        <v>74</v>
      </c>
      <c r="H343" t="s">
        <v>74</v>
      </c>
      <c r="I343" t="s">
        <v>3187</v>
      </c>
      <c r="J343" t="s">
        <v>3188</v>
      </c>
      <c r="K343" t="s">
        <v>74</v>
      </c>
      <c r="L343" t="s">
        <v>74</v>
      </c>
      <c r="M343" t="s">
        <v>74</v>
      </c>
      <c r="N343" t="s">
        <v>74</v>
      </c>
      <c r="O343" t="s">
        <v>74</v>
      </c>
      <c r="P343" t="s">
        <v>74</v>
      </c>
      <c r="Q343" t="s">
        <v>74</v>
      </c>
      <c r="R343" t="s">
        <v>74</v>
      </c>
      <c r="S343" t="s">
        <v>74</v>
      </c>
      <c r="T343" t="s">
        <v>74</v>
      </c>
      <c r="U343" t="s">
        <v>74</v>
      </c>
      <c r="V343" t="s">
        <v>3189</v>
      </c>
      <c r="W343" t="s">
        <v>74</v>
      </c>
      <c r="X343" t="s">
        <v>74</v>
      </c>
      <c r="Y343" t="s">
        <v>74</v>
      </c>
      <c r="Z343" t="s">
        <v>74</v>
      </c>
      <c r="AA343" t="s">
        <v>3190</v>
      </c>
      <c r="AB343" t="s">
        <v>3191</v>
      </c>
      <c r="AC343" t="s">
        <v>74</v>
      </c>
      <c r="AD343" t="s">
        <v>74</v>
      </c>
      <c r="AE343" t="s">
        <v>74</v>
      </c>
      <c r="AF343" t="s">
        <v>74</v>
      </c>
      <c r="AG343" t="s">
        <v>74</v>
      </c>
      <c r="AH343" t="s">
        <v>74</v>
      </c>
      <c r="AI343" t="s">
        <v>74</v>
      </c>
      <c r="AJ343" t="s">
        <v>74</v>
      </c>
      <c r="AK343" t="s">
        <v>74</v>
      </c>
      <c r="AL343" t="s">
        <v>74</v>
      </c>
      <c r="AM343" t="s">
        <v>74</v>
      </c>
      <c r="AN343" t="s">
        <v>74</v>
      </c>
      <c r="AO343" t="s">
        <v>3192</v>
      </c>
      <c r="AP343" t="s">
        <v>3193</v>
      </c>
      <c r="AQ343" t="s">
        <v>74</v>
      </c>
      <c r="AR343" t="s">
        <v>74</v>
      </c>
      <c r="AS343" t="s">
        <v>74</v>
      </c>
      <c r="AT343" t="s">
        <v>435</v>
      </c>
      <c r="AU343">
        <v>2023</v>
      </c>
      <c r="AV343">
        <v>69</v>
      </c>
      <c r="AW343">
        <v>1</v>
      </c>
      <c r="AX343" t="s">
        <v>74</v>
      </c>
      <c r="AY343" t="s">
        <v>74</v>
      </c>
      <c r="AZ343" t="s">
        <v>74</v>
      </c>
      <c r="BA343" t="s">
        <v>74</v>
      </c>
      <c r="BB343">
        <v>49</v>
      </c>
      <c r="BC343">
        <v>64</v>
      </c>
      <c r="BD343" t="s">
        <v>74</v>
      </c>
      <c r="BE343" t="s">
        <v>3194</v>
      </c>
      <c r="BF343" t="str">
        <f>HYPERLINK("http://dx.doi.org/10.1109/TCE.2022.3213872","http://dx.doi.org/10.1109/TCE.2022.3213872")</f>
        <v>http://dx.doi.org/10.1109/TCE.2022.3213872</v>
      </c>
      <c r="BG343" t="s">
        <v>74</v>
      </c>
      <c r="BH343" t="s">
        <v>74</v>
      </c>
      <c r="BI343" t="s">
        <v>74</v>
      </c>
      <c r="BJ343" t="s">
        <v>74</v>
      </c>
      <c r="BK343" t="s">
        <v>74</v>
      </c>
      <c r="BL343" t="s">
        <v>74</v>
      </c>
      <c r="BM343" t="s">
        <v>74</v>
      </c>
      <c r="BN343" t="s">
        <v>74</v>
      </c>
      <c r="BO343" t="s">
        <v>74</v>
      </c>
      <c r="BP343" t="s">
        <v>74</v>
      </c>
      <c r="BQ343" t="s">
        <v>74</v>
      </c>
      <c r="BR343" t="s">
        <v>74</v>
      </c>
      <c r="BS343" t="s">
        <v>3195</v>
      </c>
      <c r="BT343" t="str">
        <f>HYPERLINK("https%3A%2F%2Fwww.webofscience.com%2Fwos%2Fwoscc%2Ffull-record%2FWOS:000923895500006","View Full Record in Web of Science")</f>
        <v>View Full Record in Web of Science</v>
      </c>
    </row>
    <row r="344" spans="1:72" x14ac:dyDescent="0.25">
      <c r="A344" t="s">
        <v>72</v>
      </c>
      <c r="B344" t="s">
        <v>3196</v>
      </c>
      <c r="C344" t="s">
        <v>74</v>
      </c>
      <c r="D344" t="s">
        <v>74</v>
      </c>
      <c r="E344" t="s">
        <v>74</v>
      </c>
      <c r="F344" t="s">
        <v>3197</v>
      </c>
      <c r="G344" t="s">
        <v>74</v>
      </c>
      <c r="H344" t="s">
        <v>74</v>
      </c>
      <c r="I344" t="s">
        <v>3198</v>
      </c>
      <c r="J344" t="s">
        <v>3199</v>
      </c>
      <c r="K344" t="s">
        <v>74</v>
      </c>
      <c r="L344" t="s">
        <v>74</v>
      </c>
      <c r="M344" t="s">
        <v>74</v>
      </c>
      <c r="N344" t="s">
        <v>74</v>
      </c>
      <c r="O344" t="s">
        <v>74</v>
      </c>
      <c r="P344" t="s">
        <v>74</v>
      </c>
      <c r="Q344" t="s">
        <v>74</v>
      </c>
      <c r="R344" t="s">
        <v>74</v>
      </c>
      <c r="S344" t="s">
        <v>74</v>
      </c>
      <c r="T344" t="s">
        <v>74</v>
      </c>
      <c r="U344" t="s">
        <v>74</v>
      </c>
      <c r="V344" t="s">
        <v>3200</v>
      </c>
      <c r="W344" t="s">
        <v>74</v>
      </c>
      <c r="X344" t="s">
        <v>74</v>
      </c>
      <c r="Y344" t="s">
        <v>74</v>
      </c>
      <c r="Z344" t="s">
        <v>74</v>
      </c>
      <c r="AA344" t="s">
        <v>74</v>
      </c>
      <c r="AB344" t="s">
        <v>74</v>
      </c>
      <c r="AC344" t="s">
        <v>74</v>
      </c>
      <c r="AD344" t="s">
        <v>74</v>
      </c>
      <c r="AE344" t="s">
        <v>74</v>
      </c>
      <c r="AF344" t="s">
        <v>74</v>
      </c>
      <c r="AG344" t="s">
        <v>74</v>
      </c>
      <c r="AH344" t="s">
        <v>74</v>
      </c>
      <c r="AI344" t="s">
        <v>74</v>
      </c>
      <c r="AJ344" t="s">
        <v>74</v>
      </c>
      <c r="AK344" t="s">
        <v>74</v>
      </c>
      <c r="AL344" t="s">
        <v>74</v>
      </c>
      <c r="AM344" t="s">
        <v>74</v>
      </c>
      <c r="AN344" t="s">
        <v>74</v>
      </c>
      <c r="AO344" t="s">
        <v>3201</v>
      </c>
      <c r="AP344" t="s">
        <v>3202</v>
      </c>
      <c r="AQ344" t="s">
        <v>74</v>
      </c>
      <c r="AR344" t="s">
        <v>74</v>
      </c>
      <c r="AS344" t="s">
        <v>74</v>
      </c>
      <c r="AT344" t="s">
        <v>195</v>
      </c>
      <c r="AU344">
        <v>2022</v>
      </c>
      <c r="AV344">
        <v>60</v>
      </c>
      <c r="AW344">
        <v>11</v>
      </c>
      <c r="AX344" t="s">
        <v>74</v>
      </c>
      <c r="AY344" t="s">
        <v>74</v>
      </c>
      <c r="AZ344" t="s">
        <v>74</v>
      </c>
      <c r="BA344" t="s">
        <v>74</v>
      </c>
      <c r="BB344">
        <v>82</v>
      </c>
      <c r="BC344">
        <v>88</v>
      </c>
      <c r="BD344" t="s">
        <v>74</v>
      </c>
      <c r="BE344" t="s">
        <v>3203</v>
      </c>
      <c r="BF344" t="str">
        <f>HYPERLINK("http://dx.doi.org/10.1109/MCOM.001.220021","http://dx.doi.org/10.1109/MCOM.001.220021")</f>
        <v>http://dx.doi.org/10.1109/MCOM.001.220021</v>
      </c>
      <c r="BG344" t="s">
        <v>74</v>
      </c>
      <c r="BH344" t="s">
        <v>74</v>
      </c>
      <c r="BI344" t="s">
        <v>74</v>
      </c>
      <c r="BJ344" t="s">
        <v>74</v>
      </c>
      <c r="BK344" t="s">
        <v>74</v>
      </c>
      <c r="BL344" t="s">
        <v>74</v>
      </c>
      <c r="BM344" t="s">
        <v>74</v>
      </c>
      <c r="BN344" t="s">
        <v>74</v>
      </c>
      <c r="BO344" t="s">
        <v>74</v>
      </c>
      <c r="BP344" t="s">
        <v>74</v>
      </c>
      <c r="BQ344" t="s">
        <v>74</v>
      </c>
      <c r="BR344" t="s">
        <v>74</v>
      </c>
      <c r="BS344" t="s">
        <v>3204</v>
      </c>
      <c r="BT344" t="str">
        <f>HYPERLINK("https%3A%2F%2Fwww.webofscience.com%2Fwos%2Fwoscc%2Ffull-record%2FWOS:000881980700014","View Full Record in Web of Science")</f>
        <v>View Full Record in Web of Science</v>
      </c>
    </row>
    <row r="345" spans="1:72" x14ac:dyDescent="0.25">
      <c r="A345" t="s">
        <v>72</v>
      </c>
      <c r="B345" t="s">
        <v>3205</v>
      </c>
      <c r="C345" t="s">
        <v>74</v>
      </c>
      <c r="D345" t="s">
        <v>74</v>
      </c>
      <c r="E345" t="s">
        <v>74</v>
      </c>
      <c r="F345" t="s">
        <v>3206</v>
      </c>
      <c r="G345" t="s">
        <v>74</v>
      </c>
      <c r="H345" t="s">
        <v>74</v>
      </c>
      <c r="I345" t="s">
        <v>3207</v>
      </c>
      <c r="J345" t="s">
        <v>3208</v>
      </c>
      <c r="K345" t="s">
        <v>74</v>
      </c>
      <c r="L345" t="s">
        <v>74</v>
      </c>
      <c r="M345" t="s">
        <v>74</v>
      </c>
      <c r="N345" t="s">
        <v>74</v>
      </c>
      <c r="O345" t="s">
        <v>74</v>
      </c>
      <c r="P345" t="s">
        <v>74</v>
      </c>
      <c r="Q345" t="s">
        <v>74</v>
      </c>
      <c r="R345" t="s">
        <v>74</v>
      </c>
      <c r="S345" t="s">
        <v>74</v>
      </c>
      <c r="T345" t="s">
        <v>74</v>
      </c>
      <c r="U345" t="s">
        <v>74</v>
      </c>
      <c r="V345" t="s">
        <v>3209</v>
      </c>
      <c r="W345" t="s">
        <v>74</v>
      </c>
      <c r="X345" t="s">
        <v>74</v>
      </c>
      <c r="Y345" t="s">
        <v>74</v>
      </c>
      <c r="Z345" t="s">
        <v>74</v>
      </c>
      <c r="AA345" t="s">
        <v>3210</v>
      </c>
      <c r="AB345" t="s">
        <v>3211</v>
      </c>
      <c r="AC345" t="s">
        <v>74</v>
      </c>
      <c r="AD345" t="s">
        <v>74</v>
      </c>
      <c r="AE345" t="s">
        <v>74</v>
      </c>
      <c r="AF345" t="s">
        <v>74</v>
      </c>
      <c r="AG345" t="s">
        <v>74</v>
      </c>
      <c r="AH345" t="s">
        <v>74</v>
      </c>
      <c r="AI345" t="s">
        <v>74</v>
      </c>
      <c r="AJ345" t="s">
        <v>74</v>
      </c>
      <c r="AK345" t="s">
        <v>74</v>
      </c>
      <c r="AL345" t="s">
        <v>74</v>
      </c>
      <c r="AM345" t="s">
        <v>74</v>
      </c>
      <c r="AN345" t="s">
        <v>74</v>
      </c>
      <c r="AO345" t="s">
        <v>3212</v>
      </c>
      <c r="AP345" t="s">
        <v>3213</v>
      </c>
      <c r="AQ345" t="s">
        <v>74</v>
      </c>
      <c r="AR345" t="s">
        <v>74</v>
      </c>
      <c r="AS345" t="s">
        <v>74</v>
      </c>
      <c r="AT345" t="s">
        <v>1202</v>
      </c>
      <c r="AU345">
        <v>2023</v>
      </c>
      <c r="AV345">
        <v>56</v>
      </c>
      <c r="AW345" t="s">
        <v>74</v>
      </c>
      <c r="AX345" t="s">
        <v>74</v>
      </c>
      <c r="AY345" t="s">
        <v>74</v>
      </c>
      <c r="AZ345" t="s">
        <v>74</v>
      </c>
      <c r="BA345" t="s">
        <v>74</v>
      </c>
      <c r="BB345" t="s">
        <v>74</v>
      </c>
      <c r="BC345" t="s">
        <v>74</v>
      </c>
      <c r="BD345">
        <v>101910</v>
      </c>
      <c r="BE345" t="s">
        <v>3214</v>
      </c>
      <c r="BF345" t="str">
        <f>HYPERLINK("http://dx.doi.org/10.1016/j.aei.2023.101910","http://dx.doi.org/10.1016/j.aei.2023.101910")</f>
        <v>http://dx.doi.org/10.1016/j.aei.2023.101910</v>
      </c>
      <c r="BG345" t="s">
        <v>74</v>
      </c>
      <c r="BH345" t="s">
        <v>401</v>
      </c>
      <c r="BI345" t="s">
        <v>74</v>
      </c>
      <c r="BJ345" t="s">
        <v>74</v>
      </c>
      <c r="BK345" t="s">
        <v>74</v>
      </c>
      <c r="BL345" t="s">
        <v>74</v>
      </c>
      <c r="BM345" t="s">
        <v>74</v>
      </c>
      <c r="BN345" t="s">
        <v>74</v>
      </c>
      <c r="BO345" t="s">
        <v>74</v>
      </c>
      <c r="BP345" t="s">
        <v>74</v>
      </c>
      <c r="BQ345" t="s">
        <v>74</v>
      </c>
      <c r="BR345" t="s">
        <v>74</v>
      </c>
      <c r="BS345" t="s">
        <v>3215</v>
      </c>
      <c r="BT345" t="str">
        <f>HYPERLINK("https%3A%2F%2Fwww.webofscience.com%2Fwos%2Fwoscc%2Ffull-record%2FWOS:000950755300001","View Full Record in Web of Science")</f>
        <v>View Full Record in Web of Science</v>
      </c>
    </row>
    <row r="346" spans="1:72" x14ac:dyDescent="0.25">
      <c r="A346" t="s">
        <v>84</v>
      </c>
      <c r="B346" t="s">
        <v>3216</v>
      </c>
      <c r="C346" t="s">
        <v>74</v>
      </c>
      <c r="D346" t="s">
        <v>74</v>
      </c>
      <c r="E346" t="s">
        <v>233</v>
      </c>
      <c r="F346" t="s">
        <v>3217</v>
      </c>
      <c r="G346" t="s">
        <v>74</v>
      </c>
      <c r="H346" t="s">
        <v>74</v>
      </c>
      <c r="I346" t="s">
        <v>3218</v>
      </c>
      <c r="J346" t="s">
        <v>3219</v>
      </c>
      <c r="K346" t="s">
        <v>3220</v>
      </c>
      <c r="L346" t="s">
        <v>74</v>
      </c>
      <c r="M346" t="s">
        <v>74</v>
      </c>
      <c r="N346" t="s">
        <v>74</v>
      </c>
      <c r="O346" t="s">
        <v>3221</v>
      </c>
      <c r="P346" t="s">
        <v>3222</v>
      </c>
      <c r="Q346" t="s">
        <v>3223</v>
      </c>
      <c r="R346" t="s">
        <v>241</v>
      </c>
      <c r="S346" t="s">
        <v>74</v>
      </c>
      <c r="T346" t="s">
        <v>74</v>
      </c>
      <c r="U346" t="s">
        <v>74</v>
      </c>
      <c r="V346" t="s">
        <v>3224</v>
      </c>
      <c r="W346" t="s">
        <v>74</v>
      </c>
      <c r="X346" t="s">
        <v>74</v>
      </c>
      <c r="Y346" t="s">
        <v>74</v>
      </c>
      <c r="Z346" t="s">
        <v>74</v>
      </c>
      <c r="AA346" t="s">
        <v>74</v>
      </c>
      <c r="AB346" t="s">
        <v>74</v>
      </c>
      <c r="AC346" t="s">
        <v>74</v>
      </c>
      <c r="AD346" t="s">
        <v>74</v>
      </c>
      <c r="AE346" t="s">
        <v>74</v>
      </c>
      <c r="AF346" t="s">
        <v>74</v>
      </c>
      <c r="AG346" t="s">
        <v>74</v>
      </c>
      <c r="AH346" t="s">
        <v>74</v>
      </c>
      <c r="AI346" t="s">
        <v>74</v>
      </c>
      <c r="AJ346" t="s">
        <v>74</v>
      </c>
      <c r="AK346" t="s">
        <v>74</v>
      </c>
      <c r="AL346" t="s">
        <v>74</v>
      </c>
      <c r="AM346" t="s">
        <v>74</v>
      </c>
      <c r="AN346" t="s">
        <v>74</v>
      </c>
      <c r="AO346" t="s">
        <v>3225</v>
      </c>
      <c r="AP346" t="s">
        <v>3226</v>
      </c>
      <c r="AQ346" t="s">
        <v>3227</v>
      </c>
      <c r="AR346" t="s">
        <v>74</v>
      </c>
      <c r="AS346" t="s">
        <v>74</v>
      </c>
      <c r="AT346" t="s">
        <v>74</v>
      </c>
      <c r="AU346">
        <v>2022</v>
      </c>
      <c r="AV346" t="s">
        <v>74</v>
      </c>
      <c r="AW346" t="s">
        <v>74</v>
      </c>
      <c r="AX346" t="s">
        <v>74</v>
      </c>
      <c r="AY346" t="s">
        <v>74</v>
      </c>
      <c r="AZ346" t="s">
        <v>74</v>
      </c>
      <c r="BA346" t="s">
        <v>74</v>
      </c>
      <c r="BB346">
        <v>165</v>
      </c>
      <c r="BC346">
        <v>175</v>
      </c>
      <c r="BD346" t="s">
        <v>74</v>
      </c>
      <c r="BE346" t="s">
        <v>3228</v>
      </c>
      <c r="BF346" t="str">
        <f>HYPERLINK("http://dx.doi.org/10.1109/SOSE55356.2022.00026","http://dx.doi.org/10.1109/SOSE55356.2022.00026")</f>
        <v>http://dx.doi.org/10.1109/SOSE55356.2022.00026</v>
      </c>
      <c r="BG346" t="s">
        <v>74</v>
      </c>
      <c r="BH346" t="s">
        <v>74</v>
      </c>
      <c r="BI346" t="s">
        <v>74</v>
      </c>
      <c r="BJ346" t="s">
        <v>74</v>
      </c>
      <c r="BK346" t="s">
        <v>74</v>
      </c>
      <c r="BL346" t="s">
        <v>74</v>
      </c>
      <c r="BM346" t="s">
        <v>74</v>
      </c>
      <c r="BN346" t="s">
        <v>74</v>
      </c>
      <c r="BO346" t="s">
        <v>74</v>
      </c>
      <c r="BP346" t="s">
        <v>74</v>
      </c>
      <c r="BQ346" t="s">
        <v>74</v>
      </c>
      <c r="BR346" t="s">
        <v>74</v>
      </c>
      <c r="BS346" t="s">
        <v>3229</v>
      </c>
      <c r="BT346" t="str">
        <f>HYPERLINK("https%3A%2F%2Fwww.webofscience.com%2Fwos%2Fwoscc%2Ffull-record%2FWOS:000942754700020","View Full Record in Web of Science")</f>
        <v>View Full Record in Web of Science</v>
      </c>
    </row>
    <row r="347" spans="1:72" x14ac:dyDescent="0.25">
      <c r="A347" t="s">
        <v>72</v>
      </c>
      <c r="B347" t="s">
        <v>3230</v>
      </c>
      <c r="C347" t="s">
        <v>74</v>
      </c>
      <c r="D347" t="s">
        <v>74</v>
      </c>
      <c r="E347" t="s">
        <v>74</v>
      </c>
      <c r="F347" t="s">
        <v>3231</v>
      </c>
      <c r="G347" t="s">
        <v>74</v>
      </c>
      <c r="H347" t="s">
        <v>74</v>
      </c>
      <c r="I347" t="s">
        <v>3232</v>
      </c>
      <c r="J347" t="s">
        <v>873</v>
      </c>
      <c r="K347" t="s">
        <v>74</v>
      </c>
      <c r="L347" t="s">
        <v>74</v>
      </c>
      <c r="M347" t="s">
        <v>74</v>
      </c>
      <c r="N347" t="s">
        <v>74</v>
      </c>
      <c r="O347" t="s">
        <v>74</v>
      </c>
      <c r="P347" t="s">
        <v>74</v>
      </c>
      <c r="Q347" t="s">
        <v>74</v>
      </c>
      <c r="R347" t="s">
        <v>74</v>
      </c>
      <c r="S347" t="s">
        <v>74</v>
      </c>
      <c r="T347" t="s">
        <v>74</v>
      </c>
      <c r="U347" t="s">
        <v>74</v>
      </c>
      <c r="V347" t="s">
        <v>3233</v>
      </c>
      <c r="W347" t="s">
        <v>74</v>
      </c>
      <c r="X347" t="s">
        <v>74</v>
      </c>
      <c r="Y347" t="s">
        <v>74</v>
      </c>
      <c r="Z347" t="s">
        <v>74</v>
      </c>
      <c r="AA347" t="s">
        <v>3234</v>
      </c>
      <c r="AB347" t="s">
        <v>3235</v>
      </c>
      <c r="AC347" t="s">
        <v>74</v>
      </c>
      <c r="AD347" t="s">
        <v>74</v>
      </c>
      <c r="AE347" t="s">
        <v>74</v>
      </c>
      <c r="AF347" t="s">
        <v>74</v>
      </c>
      <c r="AG347" t="s">
        <v>74</v>
      </c>
      <c r="AH347" t="s">
        <v>74</v>
      </c>
      <c r="AI347" t="s">
        <v>74</v>
      </c>
      <c r="AJ347" t="s">
        <v>74</v>
      </c>
      <c r="AK347" t="s">
        <v>74</v>
      </c>
      <c r="AL347" t="s">
        <v>74</v>
      </c>
      <c r="AM347" t="s">
        <v>74</v>
      </c>
      <c r="AN347" t="s">
        <v>74</v>
      </c>
      <c r="AO347" t="s">
        <v>74</v>
      </c>
      <c r="AP347" t="s">
        <v>877</v>
      </c>
      <c r="AQ347" t="s">
        <v>74</v>
      </c>
      <c r="AR347" t="s">
        <v>74</v>
      </c>
      <c r="AS347" t="s">
        <v>74</v>
      </c>
      <c r="AT347" t="s">
        <v>435</v>
      </c>
      <c r="AU347">
        <v>2023</v>
      </c>
      <c r="AV347">
        <v>23</v>
      </c>
      <c r="AW347">
        <v>4</v>
      </c>
      <c r="AX347" t="s">
        <v>74</v>
      </c>
      <c r="AY347" t="s">
        <v>74</v>
      </c>
      <c r="AZ347" t="s">
        <v>74</v>
      </c>
      <c r="BA347" t="s">
        <v>74</v>
      </c>
      <c r="BB347" t="s">
        <v>74</v>
      </c>
      <c r="BC347" t="s">
        <v>74</v>
      </c>
      <c r="BD347">
        <v>2006</v>
      </c>
      <c r="BE347" t="s">
        <v>3236</v>
      </c>
      <c r="BF347" t="str">
        <f>HYPERLINK("http://dx.doi.org/10.3390/s23042006","http://dx.doi.org/10.3390/s23042006")</f>
        <v>http://dx.doi.org/10.3390/s23042006</v>
      </c>
      <c r="BG347" t="s">
        <v>74</v>
      </c>
      <c r="BH347" t="s">
        <v>74</v>
      </c>
      <c r="BI347" t="s">
        <v>74</v>
      </c>
      <c r="BJ347" t="s">
        <v>74</v>
      </c>
      <c r="BK347" t="s">
        <v>74</v>
      </c>
      <c r="BL347" t="s">
        <v>74</v>
      </c>
      <c r="BM347" t="s">
        <v>74</v>
      </c>
      <c r="BN347">
        <v>36850601</v>
      </c>
      <c r="BO347" t="s">
        <v>74</v>
      </c>
      <c r="BP347" t="s">
        <v>74</v>
      </c>
      <c r="BQ347" t="s">
        <v>74</v>
      </c>
      <c r="BR347" t="s">
        <v>74</v>
      </c>
      <c r="BS347" t="s">
        <v>3237</v>
      </c>
      <c r="BT347" t="str">
        <f>HYPERLINK("https%3A%2F%2Fwww.webofscience.com%2Fwos%2Fwoscc%2Ffull-record%2FWOS:000940089100001","View Full Record in Web of Science")</f>
        <v>View Full Record in Web of Science</v>
      </c>
    </row>
    <row r="348" spans="1:72" x14ac:dyDescent="0.25">
      <c r="A348" t="s">
        <v>72</v>
      </c>
      <c r="B348" t="s">
        <v>3238</v>
      </c>
      <c r="C348" t="s">
        <v>74</v>
      </c>
      <c r="D348" t="s">
        <v>74</v>
      </c>
      <c r="E348" t="s">
        <v>74</v>
      </c>
      <c r="F348" t="s">
        <v>3239</v>
      </c>
      <c r="G348" t="s">
        <v>74</v>
      </c>
      <c r="H348" t="s">
        <v>74</v>
      </c>
      <c r="I348" t="s">
        <v>3240</v>
      </c>
      <c r="J348" t="s">
        <v>3241</v>
      </c>
      <c r="K348" t="s">
        <v>74</v>
      </c>
      <c r="L348" t="s">
        <v>74</v>
      </c>
      <c r="M348" t="s">
        <v>74</v>
      </c>
      <c r="N348" t="s">
        <v>74</v>
      </c>
      <c r="O348" t="s">
        <v>74</v>
      </c>
      <c r="P348" t="s">
        <v>74</v>
      </c>
      <c r="Q348" t="s">
        <v>74</v>
      </c>
      <c r="R348" t="s">
        <v>74</v>
      </c>
      <c r="S348" t="s">
        <v>74</v>
      </c>
      <c r="T348" t="s">
        <v>74</v>
      </c>
      <c r="U348" t="s">
        <v>74</v>
      </c>
      <c r="V348" t="s">
        <v>3242</v>
      </c>
      <c r="W348" t="s">
        <v>74</v>
      </c>
      <c r="X348" t="s">
        <v>74</v>
      </c>
      <c r="Y348" t="s">
        <v>74</v>
      </c>
      <c r="Z348" t="s">
        <v>74</v>
      </c>
      <c r="AA348" t="s">
        <v>3243</v>
      </c>
      <c r="AB348" t="s">
        <v>3244</v>
      </c>
      <c r="AC348" t="s">
        <v>74</v>
      </c>
      <c r="AD348" t="s">
        <v>74</v>
      </c>
      <c r="AE348" t="s">
        <v>74</v>
      </c>
      <c r="AF348" t="s">
        <v>74</v>
      </c>
      <c r="AG348" t="s">
        <v>74</v>
      </c>
      <c r="AH348" t="s">
        <v>74</v>
      </c>
      <c r="AI348" t="s">
        <v>74</v>
      </c>
      <c r="AJ348" t="s">
        <v>74</v>
      </c>
      <c r="AK348" t="s">
        <v>74</v>
      </c>
      <c r="AL348" t="s">
        <v>74</v>
      </c>
      <c r="AM348" t="s">
        <v>74</v>
      </c>
      <c r="AN348" t="s">
        <v>74</v>
      </c>
      <c r="AO348" t="s">
        <v>3245</v>
      </c>
      <c r="AP348" t="s">
        <v>3246</v>
      </c>
      <c r="AQ348" t="s">
        <v>74</v>
      </c>
      <c r="AR348" t="s">
        <v>74</v>
      </c>
      <c r="AS348" t="s">
        <v>74</v>
      </c>
      <c r="AT348" t="s">
        <v>389</v>
      </c>
      <c r="AU348">
        <v>2022</v>
      </c>
      <c r="AV348">
        <v>78</v>
      </c>
      <c r="AW348" t="s">
        <v>74</v>
      </c>
      <c r="AX348" t="s">
        <v>74</v>
      </c>
      <c r="AY348" t="s">
        <v>74</v>
      </c>
      <c r="AZ348" t="s">
        <v>74</v>
      </c>
      <c r="BA348" t="s">
        <v>74</v>
      </c>
      <c r="BB348" t="s">
        <v>74</v>
      </c>
      <c r="BC348" t="s">
        <v>74</v>
      </c>
      <c r="BD348">
        <v>103942</v>
      </c>
      <c r="BE348" t="s">
        <v>3247</v>
      </c>
      <c r="BF348" t="str">
        <f>HYPERLINK("http://dx.doi.org/10.1016/j.bspc.2022.103942","http://dx.doi.org/10.1016/j.bspc.2022.103942")</f>
        <v>http://dx.doi.org/10.1016/j.bspc.2022.103942</v>
      </c>
      <c r="BG348" t="s">
        <v>74</v>
      </c>
      <c r="BH348" t="s">
        <v>1914</v>
      </c>
      <c r="BI348" t="s">
        <v>74</v>
      </c>
      <c r="BJ348" t="s">
        <v>74</v>
      </c>
      <c r="BK348" t="s">
        <v>74</v>
      </c>
      <c r="BL348" t="s">
        <v>74</v>
      </c>
      <c r="BM348" t="s">
        <v>74</v>
      </c>
      <c r="BN348" t="s">
        <v>74</v>
      </c>
      <c r="BO348" t="s">
        <v>74</v>
      </c>
      <c r="BP348" t="s">
        <v>74</v>
      </c>
      <c r="BQ348" t="s">
        <v>74</v>
      </c>
      <c r="BR348" t="s">
        <v>74</v>
      </c>
      <c r="BS348" t="s">
        <v>3248</v>
      </c>
      <c r="BT348" t="str">
        <f>HYPERLINK("https%3A%2F%2Fwww.webofscience.com%2Fwos%2Fwoscc%2Ffull-record%2FWOS:000827245800004","View Full Record in Web of Science")</f>
        <v>View Full Record in Web of Science</v>
      </c>
    </row>
    <row r="349" spans="1:72" x14ac:dyDescent="0.25">
      <c r="A349" t="s">
        <v>72</v>
      </c>
      <c r="B349" t="s">
        <v>3249</v>
      </c>
      <c r="C349" t="s">
        <v>74</v>
      </c>
      <c r="D349" t="s">
        <v>74</v>
      </c>
      <c r="E349" t="s">
        <v>74</v>
      </c>
      <c r="F349" t="s">
        <v>3250</v>
      </c>
      <c r="G349" t="s">
        <v>74</v>
      </c>
      <c r="H349" t="s">
        <v>74</v>
      </c>
      <c r="I349" t="s">
        <v>3251</v>
      </c>
      <c r="J349" t="s">
        <v>3252</v>
      </c>
      <c r="K349" t="s">
        <v>74</v>
      </c>
      <c r="L349" t="s">
        <v>74</v>
      </c>
      <c r="M349" t="s">
        <v>74</v>
      </c>
      <c r="N349" t="s">
        <v>74</v>
      </c>
      <c r="O349" t="s">
        <v>74</v>
      </c>
      <c r="P349" t="s">
        <v>74</v>
      </c>
      <c r="Q349" t="s">
        <v>74</v>
      </c>
      <c r="R349" t="s">
        <v>74</v>
      </c>
      <c r="S349" t="s">
        <v>74</v>
      </c>
      <c r="T349" t="s">
        <v>74</v>
      </c>
      <c r="U349" t="s">
        <v>74</v>
      </c>
      <c r="V349" t="s">
        <v>3253</v>
      </c>
      <c r="W349" t="s">
        <v>74</v>
      </c>
      <c r="X349" t="s">
        <v>74</v>
      </c>
      <c r="Y349" t="s">
        <v>74</v>
      </c>
      <c r="Z349" t="s">
        <v>74</v>
      </c>
      <c r="AA349" t="s">
        <v>74</v>
      </c>
      <c r="AB349" t="s">
        <v>74</v>
      </c>
      <c r="AC349" t="s">
        <v>74</v>
      </c>
      <c r="AD349" t="s">
        <v>74</v>
      </c>
      <c r="AE349" t="s">
        <v>74</v>
      </c>
      <c r="AF349" t="s">
        <v>74</v>
      </c>
      <c r="AG349" t="s">
        <v>74</v>
      </c>
      <c r="AH349" t="s">
        <v>74</v>
      </c>
      <c r="AI349" t="s">
        <v>74</v>
      </c>
      <c r="AJ349" t="s">
        <v>74</v>
      </c>
      <c r="AK349" t="s">
        <v>74</v>
      </c>
      <c r="AL349" t="s">
        <v>74</v>
      </c>
      <c r="AM349" t="s">
        <v>74</v>
      </c>
      <c r="AN349" t="s">
        <v>74</v>
      </c>
      <c r="AO349" t="s">
        <v>3254</v>
      </c>
      <c r="AP349" t="s">
        <v>3255</v>
      </c>
      <c r="AQ349" t="s">
        <v>74</v>
      </c>
      <c r="AR349" t="s">
        <v>74</v>
      </c>
      <c r="AS349" t="s">
        <v>74</v>
      </c>
      <c r="AT349" t="s">
        <v>1202</v>
      </c>
      <c r="AU349">
        <v>2023</v>
      </c>
      <c r="AV349">
        <v>22</v>
      </c>
      <c r="AW349">
        <v>2</v>
      </c>
      <c r="AX349" t="s">
        <v>74</v>
      </c>
      <c r="AY349" t="s">
        <v>74</v>
      </c>
      <c r="AZ349" t="s">
        <v>74</v>
      </c>
      <c r="BA349" t="s">
        <v>74</v>
      </c>
      <c r="BB349">
        <v>87</v>
      </c>
      <c r="BC349">
        <v>99</v>
      </c>
      <c r="BD349" t="s">
        <v>74</v>
      </c>
      <c r="BE349" t="s">
        <v>3256</v>
      </c>
      <c r="BF349" t="str">
        <f>HYPERLINK("http://dx.doi.org/10.1177/14738716221137908","http://dx.doi.org/10.1177/14738716221137908")</f>
        <v>http://dx.doi.org/10.1177/14738716221137908</v>
      </c>
      <c r="BG349" t="s">
        <v>74</v>
      </c>
      <c r="BH349" t="s">
        <v>74</v>
      </c>
      <c r="BI349" t="s">
        <v>74</v>
      </c>
      <c r="BJ349" t="s">
        <v>74</v>
      </c>
      <c r="BK349" t="s">
        <v>74</v>
      </c>
      <c r="BL349" t="s">
        <v>74</v>
      </c>
      <c r="BM349" t="s">
        <v>74</v>
      </c>
      <c r="BN349" t="s">
        <v>74</v>
      </c>
      <c r="BO349" t="s">
        <v>74</v>
      </c>
      <c r="BP349" t="s">
        <v>74</v>
      </c>
      <c r="BQ349" t="s">
        <v>74</v>
      </c>
      <c r="BR349" t="s">
        <v>74</v>
      </c>
      <c r="BS349" t="s">
        <v>3257</v>
      </c>
      <c r="BT349" t="str">
        <f>HYPERLINK("https%3A%2F%2Fwww.webofscience.com%2Fwos%2Fwoscc%2Ffull-record%2FWOS:000943739600001","View Full Record in Web of Science")</f>
        <v>View Full Record in Web of Science</v>
      </c>
    </row>
    <row r="350" spans="1:72" x14ac:dyDescent="0.25">
      <c r="A350" t="s">
        <v>72</v>
      </c>
      <c r="B350" t="s">
        <v>3258</v>
      </c>
      <c r="C350" t="s">
        <v>74</v>
      </c>
      <c r="D350" t="s">
        <v>74</v>
      </c>
      <c r="E350" t="s">
        <v>74</v>
      </c>
      <c r="F350" t="s">
        <v>3259</v>
      </c>
      <c r="G350" t="s">
        <v>74</v>
      </c>
      <c r="H350" t="s">
        <v>74</v>
      </c>
      <c r="I350" t="s">
        <v>3260</v>
      </c>
      <c r="J350" t="s">
        <v>3261</v>
      </c>
      <c r="K350" t="s">
        <v>74</v>
      </c>
      <c r="L350" t="s">
        <v>74</v>
      </c>
      <c r="M350" t="s">
        <v>74</v>
      </c>
      <c r="N350" t="s">
        <v>74</v>
      </c>
      <c r="O350" t="s">
        <v>74</v>
      </c>
      <c r="P350" t="s">
        <v>74</v>
      </c>
      <c r="Q350" t="s">
        <v>74</v>
      </c>
      <c r="R350" t="s">
        <v>74</v>
      </c>
      <c r="S350" t="s">
        <v>74</v>
      </c>
      <c r="T350" t="s">
        <v>74</v>
      </c>
      <c r="U350" t="s">
        <v>74</v>
      </c>
      <c r="V350" t="s">
        <v>3262</v>
      </c>
      <c r="W350" t="s">
        <v>74</v>
      </c>
      <c r="X350" t="s">
        <v>74</v>
      </c>
      <c r="Y350" t="s">
        <v>74</v>
      </c>
      <c r="Z350" t="s">
        <v>74</v>
      </c>
      <c r="AA350" t="s">
        <v>74</v>
      </c>
      <c r="AB350" t="s">
        <v>74</v>
      </c>
      <c r="AC350" t="s">
        <v>74</v>
      </c>
      <c r="AD350" t="s">
        <v>74</v>
      </c>
      <c r="AE350" t="s">
        <v>74</v>
      </c>
      <c r="AF350" t="s">
        <v>74</v>
      </c>
      <c r="AG350" t="s">
        <v>74</v>
      </c>
      <c r="AH350" t="s">
        <v>74</v>
      </c>
      <c r="AI350" t="s">
        <v>74</v>
      </c>
      <c r="AJ350" t="s">
        <v>74</v>
      </c>
      <c r="AK350" t="s">
        <v>74</v>
      </c>
      <c r="AL350" t="s">
        <v>74</v>
      </c>
      <c r="AM350" t="s">
        <v>74</v>
      </c>
      <c r="AN350" t="s">
        <v>74</v>
      </c>
      <c r="AO350" t="s">
        <v>3263</v>
      </c>
      <c r="AP350" t="s">
        <v>3264</v>
      </c>
      <c r="AQ350" t="s">
        <v>74</v>
      </c>
      <c r="AR350" t="s">
        <v>74</v>
      </c>
      <c r="AS350" t="s">
        <v>74</v>
      </c>
      <c r="AT350" t="s">
        <v>3265</v>
      </c>
      <c r="AU350">
        <v>2022</v>
      </c>
      <c r="AV350">
        <v>61</v>
      </c>
      <c r="AW350">
        <v>6</v>
      </c>
      <c r="AX350" t="s">
        <v>74</v>
      </c>
      <c r="AY350" t="s">
        <v>74</v>
      </c>
      <c r="AZ350" t="s">
        <v>74</v>
      </c>
      <c r="BA350" t="s">
        <v>74</v>
      </c>
      <c r="BB350" t="s">
        <v>3266</v>
      </c>
      <c r="BC350" t="s">
        <v>3267</v>
      </c>
      <c r="BD350" t="s">
        <v>74</v>
      </c>
      <c r="BE350" t="s">
        <v>3268</v>
      </c>
      <c r="BF350" t="str">
        <f>HYPERLINK("http://dx.doi.org/10.1364/AO.455628","http://dx.doi.org/10.1364/AO.455628")</f>
        <v>http://dx.doi.org/10.1364/AO.455628</v>
      </c>
      <c r="BG350" t="s">
        <v>74</v>
      </c>
      <c r="BH350" t="s">
        <v>74</v>
      </c>
      <c r="BI350" t="s">
        <v>74</v>
      </c>
      <c r="BJ350" t="s">
        <v>74</v>
      </c>
      <c r="BK350" t="s">
        <v>74</v>
      </c>
      <c r="BL350" t="s">
        <v>74</v>
      </c>
      <c r="BM350" t="s">
        <v>74</v>
      </c>
      <c r="BN350">
        <v>35201052</v>
      </c>
      <c r="BO350" t="s">
        <v>74</v>
      </c>
      <c r="BP350" t="s">
        <v>74</v>
      </c>
      <c r="BQ350" t="s">
        <v>74</v>
      </c>
      <c r="BR350" t="s">
        <v>74</v>
      </c>
      <c r="BS350" t="s">
        <v>3269</v>
      </c>
      <c r="BT350" t="str">
        <f>HYPERLINK("https%3A%2F%2Fwww.webofscience.com%2Fwos%2Fwoscc%2Ffull-record%2FWOS:000758796400001","View Full Record in Web of Science")</f>
        <v>View Full Record in Web of Science</v>
      </c>
    </row>
    <row r="351" spans="1:72" x14ac:dyDescent="0.25">
      <c r="A351" t="s">
        <v>72</v>
      </c>
      <c r="B351" t="s">
        <v>3270</v>
      </c>
      <c r="C351" t="s">
        <v>74</v>
      </c>
      <c r="D351" t="s">
        <v>74</v>
      </c>
      <c r="E351" t="s">
        <v>74</v>
      </c>
      <c r="F351" t="s">
        <v>3271</v>
      </c>
      <c r="G351" t="s">
        <v>74</v>
      </c>
      <c r="H351" t="s">
        <v>74</v>
      </c>
      <c r="I351" t="s">
        <v>3272</v>
      </c>
      <c r="J351" t="s">
        <v>119</v>
      </c>
      <c r="K351" t="s">
        <v>74</v>
      </c>
      <c r="L351" t="s">
        <v>74</v>
      </c>
      <c r="M351" t="s">
        <v>74</v>
      </c>
      <c r="N351" t="s">
        <v>74</v>
      </c>
      <c r="O351" t="s">
        <v>74</v>
      </c>
      <c r="P351" t="s">
        <v>74</v>
      </c>
      <c r="Q351" t="s">
        <v>74</v>
      </c>
      <c r="R351" t="s">
        <v>74</v>
      </c>
      <c r="S351" t="s">
        <v>74</v>
      </c>
      <c r="T351" t="s">
        <v>74</v>
      </c>
      <c r="U351" t="s">
        <v>74</v>
      </c>
      <c r="V351" t="s">
        <v>3273</v>
      </c>
      <c r="W351" t="s">
        <v>74</v>
      </c>
      <c r="X351" t="s">
        <v>74</v>
      </c>
      <c r="Y351" t="s">
        <v>74</v>
      </c>
      <c r="Z351" t="s">
        <v>74</v>
      </c>
      <c r="AA351" t="s">
        <v>3274</v>
      </c>
      <c r="AB351" t="s">
        <v>3275</v>
      </c>
      <c r="AC351" t="s">
        <v>74</v>
      </c>
      <c r="AD351" t="s">
        <v>74</v>
      </c>
      <c r="AE351" t="s">
        <v>74</v>
      </c>
      <c r="AF351" t="s">
        <v>74</v>
      </c>
      <c r="AG351" t="s">
        <v>74</v>
      </c>
      <c r="AH351" t="s">
        <v>74</v>
      </c>
      <c r="AI351" t="s">
        <v>74</v>
      </c>
      <c r="AJ351" t="s">
        <v>74</v>
      </c>
      <c r="AK351" t="s">
        <v>74</v>
      </c>
      <c r="AL351" t="s">
        <v>74</v>
      </c>
      <c r="AM351" t="s">
        <v>74</v>
      </c>
      <c r="AN351" t="s">
        <v>74</v>
      </c>
      <c r="AO351" t="s">
        <v>74</v>
      </c>
      <c r="AP351" t="s">
        <v>123</v>
      </c>
      <c r="AQ351" t="s">
        <v>74</v>
      </c>
      <c r="AR351" t="s">
        <v>74</v>
      </c>
      <c r="AS351" t="s">
        <v>74</v>
      </c>
      <c r="AT351" t="s">
        <v>195</v>
      </c>
      <c r="AU351">
        <v>2022</v>
      </c>
      <c r="AV351">
        <v>11</v>
      </c>
      <c r="AW351">
        <v>22</v>
      </c>
      <c r="AX351" t="s">
        <v>74</v>
      </c>
      <c r="AY351" t="s">
        <v>74</v>
      </c>
      <c r="AZ351" t="s">
        <v>74</v>
      </c>
      <c r="BA351" t="s">
        <v>74</v>
      </c>
      <c r="BB351" t="s">
        <v>74</v>
      </c>
      <c r="BC351" t="s">
        <v>74</v>
      </c>
      <c r="BD351">
        <v>3778</v>
      </c>
      <c r="BE351" t="s">
        <v>3276</v>
      </c>
      <c r="BF351" t="str">
        <f>HYPERLINK("http://dx.doi.org/10.3390/electronics11223778","http://dx.doi.org/10.3390/electronics11223778")</f>
        <v>http://dx.doi.org/10.3390/electronics11223778</v>
      </c>
      <c r="BG351" t="s">
        <v>74</v>
      </c>
      <c r="BH351" t="s">
        <v>74</v>
      </c>
      <c r="BI351" t="s">
        <v>74</v>
      </c>
      <c r="BJ351" t="s">
        <v>74</v>
      </c>
      <c r="BK351" t="s">
        <v>74</v>
      </c>
      <c r="BL351" t="s">
        <v>74</v>
      </c>
      <c r="BM351" t="s">
        <v>74</v>
      </c>
      <c r="BN351" t="s">
        <v>74</v>
      </c>
      <c r="BO351" t="s">
        <v>74</v>
      </c>
      <c r="BP351" t="s">
        <v>74</v>
      </c>
      <c r="BQ351" t="s">
        <v>74</v>
      </c>
      <c r="BR351" t="s">
        <v>74</v>
      </c>
      <c r="BS351" t="s">
        <v>3277</v>
      </c>
      <c r="BT351" t="str">
        <f>HYPERLINK("https%3A%2F%2Fwww.webofscience.com%2Fwos%2Fwoscc%2Ffull-record%2FWOS:000887154000001","View Full Record in Web of Science")</f>
        <v>View Full Record in Web of Science</v>
      </c>
    </row>
    <row r="352" spans="1:72" x14ac:dyDescent="0.25">
      <c r="A352" t="s">
        <v>84</v>
      </c>
      <c r="B352" t="s">
        <v>3278</v>
      </c>
      <c r="C352" t="s">
        <v>74</v>
      </c>
      <c r="D352" t="s">
        <v>3279</v>
      </c>
      <c r="E352" t="s">
        <v>74</v>
      </c>
      <c r="F352" t="s">
        <v>3280</v>
      </c>
      <c r="G352" t="s">
        <v>74</v>
      </c>
      <c r="H352" t="s">
        <v>74</v>
      </c>
      <c r="I352" t="s">
        <v>3281</v>
      </c>
      <c r="J352" t="s">
        <v>3282</v>
      </c>
      <c r="K352" t="s">
        <v>3283</v>
      </c>
      <c r="L352" t="s">
        <v>74</v>
      </c>
      <c r="M352" t="s">
        <v>74</v>
      </c>
      <c r="N352" t="s">
        <v>74</v>
      </c>
      <c r="O352" t="s">
        <v>3284</v>
      </c>
      <c r="P352" t="s">
        <v>3285</v>
      </c>
      <c r="Q352" t="s">
        <v>3286</v>
      </c>
      <c r="R352" t="s">
        <v>3287</v>
      </c>
      <c r="S352" t="s">
        <v>3288</v>
      </c>
      <c r="T352" t="s">
        <v>74</v>
      </c>
      <c r="U352" t="s">
        <v>74</v>
      </c>
      <c r="V352" t="s">
        <v>3289</v>
      </c>
      <c r="W352" t="s">
        <v>74</v>
      </c>
      <c r="X352" t="s">
        <v>74</v>
      </c>
      <c r="Y352" t="s">
        <v>74</v>
      </c>
      <c r="Z352" t="s">
        <v>74</v>
      </c>
      <c r="AA352" t="s">
        <v>3290</v>
      </c>
      <c r="AB352" t="s">
        <v>3291</v>
      </c>
      <c r="AC352" t="s">
        <v>74</v>
      </c>
      <c r="AD352" t="s">
        <v>74</v>
      </c>
      <c r="AE352" t="s">
        <v>74</v>
      </c>
      <c r="AF352" t="s">
        <v>74</v>
      </c>
      <c r="AG352" t="s">
        <v>74</v>
      </c>
      <c r="AH352" t="s">
        <v>74</v>
      </c>
      <c r="AI352" t="s">
        <v>74</v>
      </c>
      <c r="AJ352" t="s">
        <v>74</v>
      </c>
      <c r="AK352" t="s">
        <v>74</v>
      </c>
      <c r="AL352" t="s">
        <v>74</v>
      </c>
      <c r="AM352" t="s">
        <v>74</v>
      </c>
      <c r="AN352" t="s">
        <v>74</v>
      </c>
      <c r="AO352" t="s">
        <v>74</v>
      </c>
      <c r="AP352" t="s">
        <v>74</v>
      </c>
      <c r="AQ352" t="s">
        <v>3292</v>
      </c>
      <c r="AR352" t="s">
        <v>74</v>
      </c>
      <c r="AS352" t="s">
        <v>74</v>
      </c>
      <c r="AT352" t="s">
        <v>74</v>
      </c>
      <c r="AU352">
        <v>2022</v>
      </c>
      <c r="AV352" t="s">
        <v>74</v>
      </c>
      <c r="AW352" t="s">
        <v>74</v>
      </c>
      <c r="AX352" t="s">
        <v>74</v>
      </c>
      <c r="AY352" t="s">
        <v>74</v>
      </c>
      <c r="AZ352" t="s">
        <v>74</v>
      </c>
      <c r="BA352" t="s">
        <v>74</v>
      </c>
      <c r="BB352">
        <v>177</v>
      </c>
      <c r="BC352">
        <v>180</v>
      </c>
      <c r="BD352" t="s">
        <v>74</v>
      </c>
      <c r="BE352" t="s">
        <v>3293</v>
      </c>
      <c r="BF352" t="str">
        <f>HYPERLINK("http://dx.doi.org/10.1109/WoWMoM54355.2022.00052","http://dx.doi.org/10.1109/WoWMoM54355.2022.00052")</f>
        <v>http://dx.doi.org/10.1109/WoWMoM54355.2022.00052</v>
      </c>
      <c r="BG352" t="s">
        <v>74</v>
      </c>
      <c r="BH352" t="s">
        <v>74</v>
      </c>
      <c r="BI352" t="s">
        <v>74</v>
      </c>
      <c r="BJ352" t="s">
        <v>74</v>
      </c>
      <c r="BK352" t="s">
        <v>74</v>
      </c>
      <c r="BL352" t="s">
        <v>74</v>
      </c>
      <c r="BM352" t="s">
        <v>74</v>
      </c>
      <c r="BN352" t="s">
        <v>74</v>
      </c>
      <c r="BO352" t="s">
        <v>74</v>
      </c>
      <c r="BP352" t="s">
        <v>74</v>
      </c>
      <c r="BQ352" t="s">
        <v>74</v>
      </c>
      <c r="BR352" t="s">
        <v>74</v>
      </c>
      <c r="BS352" t="s">
        <v>3294</v>
      </c>
      <c r="BT352" t="str">
        <f>HYPERLINK("https%3A%2F%2Fwww.webofscience.com%2Fwos%2Fwoscc%2Ffull-record%2FWOS:000855666300022","View Full Record in Web of Science")</f>
        <v>View Full Record in Web of Science</v>
      </c>
    </row>
    <row r="353" spans="1:72" x14ac:dyDescent="0.25">
      <c r="A353" t="s">
        <v>72</v>
      </c>
      <c r="B353" t="s">
        <v>3295</v>
      </c>
      <c r="C353" t="s">
        <v>74</v>
      </c>
      <c r="D353" t="s">
        <v>74</v>
      </c>
      <c r="E353" t="s">
        <v>74</v>
      </c>
      <c r="F353" t="s">
        <v>3296</v>
      </c>
      <c r="G353" t="s">
        <v>74</v>
      </c>
      <c r="H353" t="s">
        <v>74</v>
      </c>
      <c r="I353" t="s">
        <v>3297</v>
      </c>
      <c r="J353" t="s">
        <v>421</v>
      </c>
      <c r="K353" t="s">
        <v>74</v>
      </c>
      <c r="L353" t="s">
        <v>74</v>
      </c>
      <c r="M353" t="s">
        <v>74</v>
      </c>
      <c r="N353" t="s">
        <v>74</v>
      </c>
      <c r="O353" t="s">
        <v>74</v>
      </c>
      <c r="P353" t="s">
        <v>74</v>
      </c>
      <c r="Q353" t="s">
        <v>74</v>
      </c>
      <c r="R353" t="s">
        <v>74</v>
      </c>
      <c r="S353" t="s">
        <v>74</v>
      </c>
      <c r="T353" t="s">
        <v>74</v>
      </c>
      <c r="U353" t="s">
        <v>74</v>
      </c>
      <c r="V353" t="s">
        <v>3298</v>
      </c>
      <c r="W353" t="s">
        <v>74</v>
      </c>
      <c r="X353" t="s">
        <v>74</v>
      </c>
      <c r="Y353" t="s">
        <v>74</v>
      </c>
      <c r="Z353" t="s">
        <v>74</v>
      </c>
      <c r="AA353" t="s">
        <v>74</v>
      </c>
      <c r="AB353" t="s">
        <v>3299</v>
      </c>
      <c r="AC353" t="s">
        <v>74</v>
      </c>
      <c r="AD353" t="s">
        <v>74</v>
      </c>
      <c r="AE353" t="s">
        <v>74</v>
      </c>
      <c r="AF353" t="s">
        <v>74</v>
      </c>
      <c r="AG353" t="s">
        <v>74</v>
      </c>
      <c r="AH353" t="s">
        <v>74</v>
      </c>
      <c r="AI353" t="s">
        <v>74</v>
      </c>
      <c r="AJ353" t="s">
        <v>74</v>
      </c>
      <c r="AK353" t="s">
        <v>74</v>
      </c>
      <c r="AL353" t="s">
        <v>74</v>
      </c>
      <c r="AM353" t="s">
        <v>74</v>
      </c>
      <c r="AN353" t="s">
        <v>74</v>
      </c>
      <c r="AO353" t="s">
        <v>423</v>
      </c>
      <c r="AP353" t="s">
        <v>424</v>
      </c>
      <c r="AQ353" t="s">
        <v>74</v>
      </c>
      <c r="AR353" t="s">
        <v>74</v>
      </c>
      <c r="AS353" t="s">
        <v>74</v>
      </c>
      <c r="AT353" t="s">
        <v>74</v>
      </c>
      <c r="AU353" t="s">
        <v>74</v>
      </c>
      <c r="AV353" t="s">
        <v>74</v>
      </c>
      <c r="AW353" t="s">
        <v>74</v>
      </c>
      <c r="AX353" t="s">
        <v>74</v>
      </c>
      <c r="AY353" t="s">
        <v>74</v>
      </c>
      <c r="AZ353" t="s">
        <v>74</v>
      </c>
      <c r="BA353" t="s">
        <v>74</v>
      </c>
      <c r="BB353" t="s">
        <v>74</v>
      </c>
      <c r="BC353" t="s">
        <v>74</v>
      </c>
      <c r="BD353" t="s">
        <v>74</v>
      </c>
      <c r="BE353" t="s">
        <v>3300</v>
      </c>
      <c r="BF353" t="str">
        <f>HYPERLINK("http://dx.doi.org/10.1109/TSMC.2022.3228270","http://dx.doi.org/10.1109/TSMC.2022.3228270")</f>
        <v>http://dx.doi.org/10.1109/TSMC.2022.3228270</v>
      </c>
      <c r="BG353" t="s">
        <v>74</v>
      </c>
      <c r="BH353" t="s">
        <v>426</v>
      </c>
      <c r="BI353" t="s">
        <v>74</v>
      </c>
      <c r="BJ353" t="s">
        <v>74</v>
      </c>
      <c r="BK353" t="s">
        <v>74</v>
      </c>
      <c r="BL353" t="s">
        <v>74</v>
      </c>
      <c r="BM353" t="s">
        <v>74</v>
      </c>
      <c r="BN353" t="s">
        <v>74</v>
      </c>
      <c r="BO353" t="s">
        <v>74</v>
      </c>
      <c r="BP353" t="s">
        <v>74</v>
      </c>
      <c r="BQ353" t="s">
        <v>74</v>
      </c>
      <c r="BR353" t="s">
        <v>74</v>
      </c>
      <c r="BS353" t="s">
        <v>3301</v>
      </c>
      <c r="BT353" t="str">
        <f>HYPERLINK("https%3A%2F%2Fwww.webofscience.com%2Fwos%2Fwoscc%2Ffull-record%2FWOS:000903378100001","View Full Record in Web of Science")</f>
        <v>View Full Record in Web of Science</v>
      </c>
    </row>
    <row r="354" spans="1:72" x14ac:dyDescent="0.25">
      <c r="A354" t="s">
        <v>72</v>
      </c>
      <c r="B354" t="s">
        <v>3302</v>
      </c>
      <c r="C354" t="s">
        <v>74</v>
      </c>
      <c r="D354" t="s">
        <v>74</v>
      </c>
      <c r="E354" t="s">
        <v>74</v>
      </c>
      <c r="F354" t="s">
        <v>3303</v>
      </c>
      <c r="G354" t="s">
        <v>74</v>
      </c>
      <c r="H354" t="s">
        <v>74</v>
      </c>
      <c r="I354" t="s">
        <v>3304</v>
      </c>
      <c r="J354" t="s">
        <v>421</v>
      </c>
      <c r="K354" t="s">
        <v>74</v>
      </c>
      <c r="L354" t="s">
        <v>74</v>
      </c>
      <c r="M354" t="s">
        <v>74</v>
      </c>
      <c r="N354" t="s">
        <v>74</v>
      </c>
      <c r="O354" t="s">
        <v>74</v>
      </c>
      <c r="P354" t="s">
        <v>74</v>
      </c>
      <c r="Q354" t="s">
        <v>74</v>
      </c>
      <c r="R354" t="s">
        <v>74</v>
      </c>
      <c r="S354" t="s">
        <v>74</v>
      </c>
      <c r="T354" t="s">
        <v>74</v>
      </c>
      <c r="U354" t="s">
        <v>74</v>
      </c>
      <c r="V354" t="s">
        <v>3305</v>
      </c>
      <c r="W354" t="s">
        <v>74</v>
      </c>
      <c r="X354" t="s">
        <v>74</v>
      </c>
      <c r="Y354" t="s">
        <v>74</v>
      </c>
      <c r="Z354" t="s">
        <v>74</v>
      </c>
      <c r="AA354" t="s">
        <v>3306</v>
      </c>
      <c r="AB354" t="s">
        <v>3307</v>
      </c>
      <c r="AC354" t="s">
        <v>74</v>
      </c>
      <c r="AD354" t="s">
        <v>74</v>
      </c>
      <c r="AE354" t="s">
        <v>74</v>
      </c>
      <c r="AF354" t="s">
        <v>74</v>
      </c>
      <c r="AG354" t="s">
        <v>74</v>
      </c>
      <c r="AH354" t="s">
        <v>74</v>
      </c>
      <c r="AI354" t="s">
        <v>74</v>
      </c>
      <c r="AJ354" t="s">
        <v>74</v>
      </c>
      <c r="AK354" t="s">
        <v>74</v>
      </c>
      <c r="AL354" t="s">
        <v>74</v>
      </c>
      <c r="AM354" t="s">
        <v>74</v>
      </c>
      <c r="AN354" t="s">
        <v>74</v>
      </c>
      <c r="AO354" t="s">
        <v>423</v>
      </c>
      <c r="AP354" t="s">
        <v>424</v>
      </c>
      <c r="AQ354" t="s">
        <v>74</v>
      </c>
      <c r="AR354" t="s">
        <v>74</v>
      </c>
      <c r="AS354" t="s">
        <v>74</v>
      </c>
      <c r="AT354" t="s">
        <v>74</v>
      </c>
      <c r="AU354" t="s">
        <v>74</v>
      </c>
      <c r="AV354" t="s">
        <v>74</v>
      </c>
      <c r="AW354" t="s">
        <v>74</v>
      </c>
      <c r="AX354" t="s">
        <v>74</v>
      </c>
      <c r="AY354" t="s">
        <v>74</v>
      </c>
      <c r="AZ354" t="s">
        <v>74</v>
      </c>
      <c r="BA354" t="s">
        <v>74</v>
      </c>
      <c r="BB354" t="s">
        <v>74</v>
      </c>
      <c r="BC354" t="s">
        <v>74</v>
      </c>
      <c r="BD354" t="s">
        <v>74</v>
      </c>
      <c r="BE354" t="s">
        <v>3308</v>
      </c>
      <c r="BF354" t="str">
        <f>HYPERLINK("http://dx.doi.org/10.1109/TSMC.2022.3225250","http://dx.doi.org/10.1109/TSMC.2022.3225250")</f>
        <v>http://dx.doi.org/10.1109/TSMC.2022.3225250</v>
      </c>
      <c r="BG354" t="s">
        <v>74</v>
      </c>
      <c r="BH354" t="s">
        <v>426</v>
      </c>
      <c r="BI354" t="s">
        <v>74</v>
      </c>
      <c r="BJ354" t="s">
        <v>74</v>
      </c>
      <c r="BK354" t="s">
        <v>74</v>
      </c>
      <c r="BL354" t="s">
        <v>74</v>
      </c>
      <c r="BM354" t="s">
        <v>74</v>
      </c>
      <c r="BN354" t="s">
        <v>74</v>
      </c>
      <c r="BO354" t="s">
        <v>74</v>
      </c>
      <c r="BP354" t="s">
        <v>74</v>
      </c>
      <c r="BQ354" t="s">
        <v>74</v>
      </c>
      <c r="BR354" t="s">
        <v>74</v>
      </c>
      <c r="BS354" t="s">
        <v>3309</v>
      </c>
      <c r="BT354" t="str">
        <f>HYPERLINK("https%3A%2F%2Fwww.webofscience.com%2Fwos%2Fwoscc%2Ffull-record%2FWOS:000899976200001","View Full Record in Web of Science")</f>
        <v>View Full Record in Web of Science</v>
      </c>
    </row>
    <row r="355" spans="1:72" x14ac:dyDescent="0.25">
      <c r="A355" t="s">
        <v>84</v>
      </c>
      <c r="B355" t="s">
        <v>3310</v>
      </c>
      <c r="C355" t="s">
        <v>74</v>
      </c>
      <c r="D355" t="s">
        <v>3311</v>
      </c>
      <c r="E355" t="s">
        <v>74</v>
      </c>
      <c r="F355" t="s">
        <v>3312</v>
      </c>
      <c r="G355" t="s">
        <v>74</v>
      </c>
      <c r="H355" t="s">
        <v>74</v>
      </c>
      <c r="I355" t="s">
        <v>3313</v>
      </c>
      <c r="J355" t="s">
        <v>3314</v>
      </c>
      <c r="K355" t="s">
        <v>158</v>
      </c>
      <c r="L355" t="s">
        <v>74</v>
      </c>
      <c r="M355" t="s">
        <v>74</v>
      </c>
      <c r="N355" t="s">
        <v>74</v>
      </c>
      <c r="O355" t="s">
        <v>3315</v>
      </c>
      <c r="P355" t="s">
        <v>288</v>
      </c>
      <c r="Q355" t="s">
        <v>108</v>
      </c>
      <c r="R355" t="s">
        <v>74</v>
      </c>
      <c r="S355" t="s">
        <v>74</v>
      </c>
      <c r="T355" t="s">
        <v>74</v>
      </c>
      <c r="U355" t="s">
        <v>74</v>
      </c>
      <c r="V355" t="s">
        <v>3316</v>
      </c>
      <c r="W355" t="s">
        <v>74</v>
      </c>
      <c r="X355" t="s">
        <v>74</v>
      </c>
      <c r="Y355" t="s">
        <v>74</v>
      </c>
      <c r="Z355" t="s">
        <v>74</v>
      </c>
      <c r="AA355" t="s">
        <v>3317</v>
      </c>
      <c r="AB355" t="s">
        <v>74</v>
      </c>
      <c r="AC355" t="s">
        <v>74</v>
      </c>
      <c r="AD355" t="s">
        <v>74</v>
      </c>
      <c r="AE355" t="s">
        <v>74</v>
      </c>
      <c r="AF355" t="s">
        <v>74</v>
      </c>
      <c r="AG355" t="s">
        <v>74</v>
      </c>
      <c r="AH355" t="s">
        <v>74</v>
      </c>
      <c r="AI355" t="s">
        <v>74</v>
      </c>
      <c r="AJ355" t="s">
        <v>74</v>
      </c>
      <c r="AK355" t="s">
        <v>74</v>
      </c>
      <c r="AL355" t="s">
        <v>74</v>
      </c>
      <c r="AM355" t="s">
        <v>74</v>
      </c>
      <c r="AN355" t="s">
        <v>74</v>
      </c>
      <c r="AO355" t="s">
        <v>164</v>
      </c>
      <c r="AP355" t="s">
        <v>165</v>
      </c>
      <c r="AQ355" t="s">
        <v>3318</v>
      </c>
      <c r="AR355" t="s">
        <v>74</v>
      </c>
      <c r="AS355" t="s">
        <v>74</v>
      </c>
      <c r="AT355" t="s">
        <v>74</v>
      </c>
      <c r="AU355">
        <v>2022</v>
      </c>
      <c r="AV355">
        <v>13337</v>
      </c>
      <c r="AW355" t="s">
        <v>74</v>
      </c>
      <c r="AX355" t="s">
        <v>74</v>
      </c>
      <c r="AY355" t="s">
        <v>74</v>
      </c>
      <c r="AZ355" t="s">
        <v>74</v>
      </c>
      <c r="BA355" t="s">
        <v>74</v>
      </c>
      <c r="BB355">
        <v>107</v>
      </c>
      <c r="BC355">
        <v>116</v>
      </c>
      <c r="BD355" t="s">
        <v>74</v>
      </c>
      <c r="BE355" t="s">
        <v>3319</v>
      </c>
      <c r="BF355" t="str">
        <f>HYPERLINK("http://dx.doi.org/10.1007/978-3-031-05014-5_9","http://dx.doi.org/10.1007/978-3-031-05014-5_9")</f>
        <v>http://dx.doi.org/10.1007/978-3-031-05014-5_9</v>
      </c>
      <c r="BG355" t="s">
        <v>74</v>
      </c>
      <c r="BH355" t="s">
        <v>74</v>
      </c>
      <c r="BI355" t="s">
        <v>74</v>
      </c>
      <c r="BJ355" t="s">
        <v>74</v>
      </c>
      <c r="BK355" t="s">
        <v>74</v>
      </c>
      <c r="BL355" t="s">
        <v>74</v>
      </c>
      <c r="BM355" t="s">
        <v>74</v>
      </c>
      <c r="BN355" t="s">
        <v>74</v>
      </c>
      <c r="BO355" t="s">
        <v>74</v>
      </c>
      <c r="BP355" t="s">
        <v>74</v>
      </c>
      <c r="BQ355" t="s">
        <v>74</v>
      </c>
      <c r="BR355" t="s">
        <v>74</v>
      </c>
      <c r="BS355" t="s">
        <v>3320</v>
      </c>
      <c r="BT355" t="str">
        <f>HYPERLINK("https%3A%2F%2Fwww.webofscience.com%2Fwos%2Fwoscc%2Ffull-record%2FWOS:000873574900009","View Full Record in Web of Science")</f>
        <v>View Full Record in Web of Science</v>
      </c>
    </row>
    <row r="356" spans="1:72" x14ac:dyDescent="0.25">
      <c r="A356" t="s">
        <v>72</v>
      </c>
      <c r="B356" t="s">
        <v>3321</v>
      </c>
      <c r="C356" t="s">
        <v>74</v>
      </c>
      <c r="D356" t="s">
        <v>74</v>
      </c>
      <c r="E356" t="s">
        <v>74</v>
      </c>
      <c r="F356" t="s">
        <v>3322</v>
      </c>
      <c r="G356" t="s">
        <v>74</v>
      </c>
      <c r="H356" t="s">
        <v>74</v>
      </c>
      <c r="I356" t="s">
        <v>3323</v>
      </c>
      <c r="J356" t="s">
        <v>2227</v>
      </c>
      <c r="K356" t="s">
        <v>74</v>
      </c>
      <c r="L356" t="s">
        <v>74</v>
      </c>
      <c r="M356" t="s">
        <v>74</v>
      </c>
      <c r="N356" t="s">
        <v>74</v>
      </c>
      <c r="O356" t="s">
        <v>74</v>
      </c>
      <c r="P356" t="s">
        <v>74</v>
      </c>
      <c r="Q356" t="s">
        <v>74</v>
      </c>
      <c r="R356" t="s">
        <v>74</v>
      </c>
      <c r="S356" t="s">
        <v>74</v>
      </c>
      <c r="T356" t="s">
        <v>74</v>
      </c>
      <c r="U356" t="s">
        <v>74</v>
      </c>
      <c r="V356" t="s">
        <v>3324</v>
      </c>
      <c r="W356" t="s">
        <v>74</v>
      </c>
      <c r="X356" t="s">
        <v>74</v>
      </c>
      <c r="Y356" t="s">
        <v>74</v>
      </c>
      <c r="Z356" t="s">
        <v>74</v>
      </c>
      <c r="AA356" t="s">
        <v>74</v>
      </c>
      <c r="AB356" t="s">
        <v>74</v>
      </c>
      <c r="AC356" t="s">
        <v>74</v>
      </c>
      <c r="AD356" t="s">
        <v>74</v>
      </c>
      <c r="AE356" t="s">
        <v>74</v>
      </c>
      <c r="AF356" t="s">
        <v>74</v>
      </c>
      <c r="AG356" t="s">
        <v>74</v>
      </c>
      <c r="AH356" t="s">
        <v>74</v>
      </c>
      <c r="AI356" t="s">
        <v>74</v>
      </c>
      <c r="AJ356" t="s">
        <v>74</v>
      </c>
      <c r="AK356" t="s">
        <v>74</v>
      </c>
      <c r="AL356" t="s">
        <v>74</v>
      </c>
      <c r="AM356" t="s">
        <v>74</v>
      </c>
      <c r="AN356" t="s">
        <v>74</v>
      </c>
      <c r="AO356" t="s">
        <v>2231</v>
      </c>
      <c r="AP356" t="s">
        <v>74</v>
      </c>
      <c r="AQ356" t="s">
        <v>74</v>
      </c>
      <c r="AR356" t="s">
        <v>74</v>
      </c>
      <c r="AS356" t="s">
        <v>74</v>
      </c>
      <c r="AT356" t="s">
        <v>3325</v>
      </c>
      <c r="AU356">
        <v>2022</v>
      </c>
      <c r="AV356">
        <v>30</v>
      </c>
      <c r="AW356">
        <v>17</v>
      </c>
      <c r="AX356" t="s">
        <v>74</v>
      </c>
      <c r="AY356" t="s">
        <v>74</v>
      </c>
      <c r="AZ356" t="s">
        <v>74</v>
      </c>
      <c r="BA356" t="s">
        <v>74</v>
      </c>
      <c r="BB356">
        <v>31256</v>
      </c>
      <c r="BC356">
        <v>31266</v>
      </c>
      <c r="BD356" t="s">
        <v>74</v>
      </c>
      <c r="BE356" t="s">
        <v>3326</v>
      </c>
      <c r="BF356" t="str">
        <f>HYPERLINK("http://dx.doi.org/10.1364/OE.470299","http://dx.doi.org/10.1364/OE.470299")</f>
        <v>http://dx.doi.org/10.1364/OE.470299</v>
      </c>
      <c r="BG356" t="s">
        <v>74</v>
      </c>
      <c r="BH356" t="s">
        <v>74</v>
      </c>
      <c r="BI356" t="s">
        <v>74</v>
      </c>
      <c r="BJ356" t="s">
        <v>74</v>
      </c>
      <c r="BK356" t="s">
        <v>74</v>
      </c>
      <c r="BL356" t="s">
        <v>74</v>
      </c>
      <c r="BM356" t="s">
        <v>74</v>
      </c>
      <c r="BN356">
        <v>36242212</v>
      </c>
      <c r="BO356" t="s">
        <v>74</v>
      </c>
      <c r="BP356" t="s">
        <v>74</v>
      </c>
      <c r="BQ356" t="s">
        <v>74</v>
      </c>
      <c r="BR356" t="s">
        <v>74</v>
      </c>
      <c r="BS356" t="s">
        <v>3327</v>
      </c>
      <c r="BT356" t="str">
        <f>HYPERLINK("https%3A%2F%2Fwww.webofscience.com%2Fwos%2Fwoscc%2Ffull-record%2FWOS:000842044600113","View Full Record in Web of Science")</f>
        <v>View Full Record in Web of Science</v>
      </c>
    </row>
    <row r="357" spans="1:72" x14ac:dyDescent="0.25">
      <c r="A357" t="s">
        <v>84</v>
      </c>
      <c r="B357" t="s">
        <v>3328</v>
      </c>
      <c r="C357" t="s">
        <v>74</v>
      </c>
      <c r="D357" t="s">
        <v>74</v>
      </c>
      <c r="E357" t="s">
        <v>233</v>
      </c>
      <c r="F357" t="s">
        <v>3329</v>
      </c>
      <c r="G357" t="s">
        <v>74</v>
      </c>
      <c r="H357" t="s">
        <v>74</v>
      </c>
      <c r="I357" t="s">
        <v>3330</v>
      </c>
      <c r="J357" t="s">
        <v>798</v>
      </c>
      <c r="K357" t="s">
        <v>74</v>
      </c>
      <c r="L357" t="s">
        <v>74</v>
      </c>
      <c r="M357" t="s">
        <v>74</v>
      </c>
      <c r="N357" t="s">
        <v>74</v>
      </c>
      <c r="O357" t="s">
        <v>799</v>
      </c>
      <c r="P357" t="s">
        <v>800</v>
      </c>
      <c r="Q357" t="s">
        <v>108</v>
      </c>
      <c r="R357" t="s">
        <v>801</v>
      </c>
      <c r="S357" t="s">
        <v>74</v>
      </c>
      <c r="T357" t="s">
        <v>74</v>
      </c>
      <c r="U357" t="s">
        <v>74</v>
      </c>
      <c r="V357" t="s">
        <v>3331</v>
      </c>
      <c r="W357" t="s">
        <v>74</v>
      </c>
      <c r="X357" t="s">
        <v>74</v>
      </c>
      <c r="Y357" t="s">
        <v>74</v>
      </c>
      <c r="Z357" t="s">
        <v>74</v>
      </c>
      <c r="AA357" t="s">
        <v>74</v>
      </c>
      <c r="AB357" t="s">
        <v>3332</v>
      </c>
      <c r="AC357" t="s">
        <v>74</v>
      </c>
      <c r="AD357" t="s">
        <v>74</v>
      </c>
      <c r="AE357" t="s">
        <v>74</v>
      </c>
      <c r="AF357" t="s">
        <v>74</v>
      </c>
      <c r="AG357" t="s">
        <v>74</v>
      </c>
      <c r="AH357" t="s">
        <v>74</v>
      </c>
      <c r="AI357" t="s">
        <v>74</v>
      </c>
      <c r="AJ357" t="s">
        <v>74</v>
      </c>
      <c r="AK357" t="s">
        <v>74</v>
      </c>
      <c r="AL357" t="s">
        <v>74</v>
      </c>
      <c r="AM357" t="s">
        <v>74</v>
      </c>
      <c r="AN357" t="s">
        <v>74</v>
      </c>
      <c r="AO357" t="s">
        <v>74</v>
      </c>
      <c r="AP357" t="s">
        <v>74</v>
      </c>
      <c r="AQ357" t="s">
        <v>804</v>
      </c>
      <c r="AR357" t="s">
        <v>74</v>
      </c>
      <c r="AS357" t="s">
        <v>74</v>
      </c>
      <c r="AT357" t="s">
        <v>74</v>
      </c>
      <c r="AU357">
        <v>2022</v>
      </c>
      <c r="AV357" t="s">
        <v>74</v>
      </c>
      <c r="AW357" t="s">
        <v>74</v>
      </c>
      <c r="AX357" t="s">
        <v>74</v>
      </c>
      <c r="AY357" t="s">
        <v>74</v>
      </c>
      <c r="AZ357" t="s">
        <v>74</v>
      </c>
      <c r="BA357" t="s">
        <v>74</v>
      </c>
      <c r="BB357">
        <v>224</v>
      </c>
      <c r="BC357">
        <v>228</v>
      </c>
      <c r="BD357" t="s">
        <v>74</v>
      </c>
      <c r="BE357" t="s">
        <v>3333</v>
      </c>
      <c r="BF357" t="str">
        <f>HYPERLINK("http://dx.doi.org/10.1109/VRW55335.2022.00055","http://dx.doi.org/10.1109/VRW55335.2022.00055")</f>
        <v>http://dx.doi.org/10.1109/VRW55335.2022.00055</v>
      </c>
      <c r="BG357" t="s">
        <v>74</v>
      </c>
      <c r="BH357" t="s">
        <v>74</v>
      </c>
      <c r="BI357" t="s">
        <v>74</v>
      </c>
      <c r="BJ357" t="s">
        <v>74</v>
      </c>
      <c r="BK357" t="s">
        <v>74</v>
      </c>
      <c r="BL357" t="s">
        <v>74</v>
      </c>
      <c r="BM357" t="s">
        <v>74</v>
      </c>
      <c r="BN357" t="s">
        <v>74</v>
      </c>
      <c r="BO357" t="s">
        <v>74</v>
      </c>
      <c r="BP357" t="s">
        <v>74</v>
      </c>
      <c r="BQ357" t="s">
        <v>74</v>
      </c>
      <c r="BR357" t="s">
        <v>74</v>
      </c>
      <c r="BS357" t="s">
        <v>3334</v>
      </c>
      <c r="BT357" t="str">
        <f>HYPERLINK("https%3A%2F%2Fwww.webofscience.com%2Fwos%2Fwoscc%2Ffull-record%2FWOS:000808111800046","View Full Record in Web of Science")</f>
        <v>View Full Record in Web of Science</v>
      </c>
    </row>
    <row r="358" spans="1:72" x14ac:dyDescent="0.25">
      <c r="A358" t="s">
        <v>84</v>
      </c>
      <c r="B358" t="s">
        <v>3335</v>
      </c>
      <c r="C358" t="s">
        <v>74</v>
      </c>
      <c r="D358" t="s">
        <v>1262</v>
      </c>
      <c r="E358" t="s">
        <v>74</v>
      </c>
      <c r="F358" t="s">
        <v>3336</v>
      </c>
      <c r="G358" t="s">
        <v>74</v>
      </c>
      <c r="H358" t="s">
        <v>74</v>
      </c>
      <c r="I358" t="s">
        <v>3337</v>
      </c>
      <c r="J358" t="s">
        <v>1265</v>
      </c>
      <c r="K358" t="s">
        <v>158</v>
      </c>
      <c r="L358" t="s">
        <v>74</v>
      </c>
      <c r="M358" t="s">
        <v>74</v>
      </c>
      <c r="N358" t="s">
        <v>74</v>
      </c>
      <c r="O358" t="s">
        <v>1266</v>
      </c>
      <c r="P358" t="s">
        <v>1267</v>
      </c>
      <c r="Q358" t="s">
        <v>1268</v>
      </c>
      <c r="R358" t="s">
        <v>1269</v>
      </c>
      <c r="S358" t="s">
        <v>74</v>
      </c>
      <c r="T358" t="s">
        <v>74</v>
      </c>
      <c r="U358" t="s">
        <v>74</v>
      </c>
      <c r="V358" t="s">
        <v>3338</v>
      </c>
      <c r="W358" t="s">
        <v>74</v>
      </c>
      <c r="X358" t="s">
        <v>74</v>
      </c>
      <c r="Y358" t="s">
        <v>74</v>
      </c>
      <c r="Z358" t="s">
        <v>74</v>
      </c>
      <c r="AA358" t="s">
        <v>3339</v>
      </c>
      <c r="AB358" t="s">
        <v>3340</v>
      </c>
      <c r="AC358" t="s">
        <v>74</v>
      </c>
      <c r="AD358" t="s">
        <v>74</v>
      </c>
      <c r="AE358" t="s">
        <v>74</v>
      </c>
      <c r="AF358" t="s">
        <v>74</v>
      </c>
      <c r="AG358" t="s">
        <v>74</v>
      </c>
      <c r="AH358" t="s">
        <v>74</v>
      </c>
      <c r="AI358" t="s">
        <v>74</v>
      </c>
      <c r="AJ358" t="s">
        <v>74</v>
      </c>
      <c r="AK358" t="s">
        <v>74</v>
      </c>
      <c r="AL358" t="s">
        <v>74</v>
      </c>
      <c r="AM358" t="s">
        <v>74</v>
      </c>
      <c r="AN358" t="s">
        <v>74</v>
      </c>
      <c r="AO358" t="s">
        <v>164</v>
      </c>
      <c r="AP358" t="s">
        <v>165</v>
      </c>
      <c r="AQ358" t="s">
        <v>1271</v>
      </c>
      <c r="AR358" t="s">
        <v>74</v>
      </c>
      <c r="AS358" t="s">
        <v>74</v>
      </c>
      <c r="AT358" t="s">
        <v>74</v>
      </c>
      <c r="AU358">
        <v>2022</v>
      </c>
      <c r="AV358">
        <v>13445</v>
      </c>
      <c r="AW358" t="s">
        <v>74</v>
      </c>
      <c r="AX358" t="s">
        <v>74</v>
      </c>
      <c r="AY358" t="s">
        <v>74</v>
      </c>
      <c r="AZ358" t="s">
        <v>74</v>
      </c>
      <c r="BA358" t="s">
        <v>74</v>
      </c>
      <c r="BB358">
        <v>229</v>
      </c>
      <c r="BC358">
        <v>238</v>
      </c>
      <c r="BD358" t="s">
        <v>74</v>
      </c>
      <c r="BE358" t="s">
        <v>3341</v>
      </c>
      <c r="BF358" t="str">
        <f>HYPERLINK("http://dx.doi.org/10.1007/978-3-031-15546-8_20","http://dx.doi.org/10.1007/978-3-031-15546-8_20")</f>
        <v>http://dx.doi.org/10.1007/978-3-031-15546-8_20</v>
      </c>
      <c r="BG358" t="s">
        <v>74</v>
      </c>
      <c r="BH358" t="s">
        <v>74</v>
      </c>
      <c r="BI358" t="s">
        <v>74</v>
      </c>
      <c r="BJ358" t="s">
        <v>74</v>
      </c>
      <c r="BK358" t="s">
        <v>74</v>
      </c>
      <c r="BL358" t="s">
        <v>74</v>
      </c>
      <c r="BM358" t="s">
        <v>74</v>
      </c>
      <c r="BN358" t="s">
        <v>74</v>
      </c>
      <c r="BO358" t="s">
        <v>74</v>
      </c>
      <c r="BP358" t="s">
        <v>74</v>
      </c>
      <c r="BQ358" t="s">
        <v>74</v>
      </c>
      <c r="BR358" t="s">
        <v>74</v>
      </c>
      <c r="BS358" t="s">
        <v>3342</v>
      </c>
      <c r="BT358" t="str">
        <f>HYPERLINK("https%3A%2F%2Fwww.webofscience.com%2Fwos%2Fwoscc%2Ffull-record%2FWOS:000886159100020","View Full Record in Web of Science")</f>
        <v>View Full Record in Web of Science</v>
      </c>
    </row>
    <row r="359" spans="1:72" x14ac:dyDescent="0.25">
      <c r="A359" t="s">
        <v>72</v>
      </c>
      <c r="B359" t="s">
        <v>3343</v>
      </c>
      <c r="C359" t="s">
        <v>74</v>
      </c>
      <c r="D359" t="s">
        <v>74</v>
      </c>
      <c r="E359" t="s">
        <v>74</v>
      </c>
      <c r="F359" t="s">
        <v>3344</v>
      </c>
      <c r="G359" t="s">
        <v>74</v>
      </c>
      <c r="H359" t="s">
        <v>74</v>
      </c>
      <c r="I359" t="s">
        <v>3345</v>
      </c>
      <c r="J359" t="s">
        <v>460</v>
      </c>
      <c r="K359" t="s">
        <v>74</v>
      </c>
      <c r="L359" t="s">
        <v>74</v>
      </c>
      <c r="M359" t="s">
        <v>74</v>
      </c>
      <c r="N359" t="s">
        <v>74</v>
      </c>
      <c r="O359" t="s">
        <v>74</v>
      </c>
      <c r="P359" t="s">
        <v>74</v>
      </c>
      <c r="Q359" t="s">
        <v>74</v>
      </c>
      <c r="R359" t="s">
        <v>74</v>
      </c>
      <c r="S359" t="s">
        <v>74</v>
      </c>
      <c r="T359" t="s">
        <v>74</v>
      </c>
      <c r="U359" t="s">
        <v>74</v>
      </c>
      <c r="V359" t="s">
        <v>3346</v>
      </c>
      <c r="W359" t="s">
        <v>74</v>
      </c>
      <c r="X359" t="s">
        <v>74</v>
      </c>
      <c r="Y359" t="s">
        <v>74</v>
      </c>
      <c r="Z359" t="s">
        <v>74</v>
      </c>
      <c r="AA359" t="s">
        <v>3347</v>
      </c>
      <c r="AB359" t="s">
        <v>3348</v>
      </c>
      <c r="AC359" t="s">
        <v>74</v>
      </c>
      <c r="AD359" t="s">
        <v>74</v>
      </c>
      <c r="AE359" t="s">
        <v>74</v>
      </c>
      <c r="AF359" t="s">
        <v>74</v>
      </c>
      <c r="AG359" t="s">
        <v>74</v>
      </c>
      <c r="AH359" t="s">
        <v>74</v>
      </c>
      <c r="AI359" t="s">
        <v>74</v>
      </c>
      <c r="AJ359" t="s">
        <v>74</v>
      </c>
      <c r="AK359" t="s">
        <v>74</v>
      </c>
      <c r="AL359" t="s">
        <v>74</v>
      </c>
      <c r="AM359" t="s">
        <v>74</v>
      </c>
      <c r="AN359" t="s">
        <v>74</v>
      </c>
      <c r="AO359" t="s">
        <v>74</v>
      </c>
      <c r="AP359" t="s">
        <v>464</v>
      </c>
      <c r="AQ359" t="s">
        <v>74</v>
      </c>
      <c r="AR359" t="s">
        <v>74</v>
      </c>
      <c r="AS359" t="s">
        <v>74</v>
      </c>
      <c r="AT359" t="s">
        <v>712</v>
      </c>
      <c r="AU359">
        <v>2021</v>
      </c>
      <c r="AV359">
        <v>13</v>
      </c>
      <c r="AW359">
        <v>16</v>
      </c>
      <c r="AX359" t="s">
        <v>74</v>
      </c>
      <c r="AY359" t="s">
        <v>74</v>
      </c>
      <c r="AZ359" t="s">
        <v>74</v>
      </c>
      <c r="BA359" t="s">
        <v>74</v>
      </c>
      <c r="BB359" t="s">
        <v>74</v>
      </c>
      <c r="BC359" t="s">
        <v>74</v>
      </c>
      <c r="BD359">
        <v>9121</v>
      </c>
      <c r="BE359" t="s">
        <v>3349</v>
      </c>
      <c r="BF359" t="str">
        <f>HYPERLINK("http://dx.doi.org/10.3390/su13169121","http://dx.doi.org/10.3390/su13169121")</f>
        <v>http://dx.doi.org/10.3390/su13169121</v>
      </c>
      <c r="BG359" t="s">
        <v>74</v>
      </c>
      <c r="BH359" t="s">
        <v>74</v>
      </c>
      <c r="BI359" t="s">
        <v>74</v>
      </c>
      <c r="BJ359" t="s">
        <v>74</v>
      </c>
      <c r="BK359" t="s">
        <v>74</v>
      </c>
      <c r="BL359" t="s">
        <v>74</v>
      </c>
      <c r="BM359" t="s">
        <v>74</v>
      </c>
      <c r="BN359" t="s">
        <v>74</v>
      </c>
      <c r="BO359" t="s">
        <v>74</v>
      </c>
      <c r="BP359" t="s">
        <v>74</v>
      </c>
      <c r="BQ359" t="s">
        <v>74</v>
      </c>
      <c r="BR359" t="s">
        <v>74</v>
      </c>
      <c r="BS359" t="s">
        <v>3350</v>
      </c>
      <c r="BT359" t="str">
        <f>HYPERLINK("https%3A%2F%2Fwww.webofscience.com%2Fwos%2Fwoscc%2Ffull-record%2FWOS:000689938200001","View Full Record in Web of Science")</f>
        <v>View Full Record in Web of Science</v>
      </c>
    </row>
    <row r="360" spans="1:72" x14ac:dyDescent="0.25">
      <c r="A360" t="s">
        <v>72</v>
      </c>
      <c r="B360" t="s">
        <v>3351</v>
      </c>
      <c r="C360" t="s">
        <v>74</v>
      </c>
      <c r="D360" t="s">
        <v>74</v>
      </c>
      <c r="E360" t="s">
        <v>74</v>
      </c>
      <c r="F360" t="s">
        <v>3352</v>
      </c>
      <c r="G360" t="s">
        <v>74</v>
      </c>
      <c r="H360" t="s">
        <v>74</v>
      </c>
      <c r="I360" t="s">
        <v>3353</v>
      </c>
      <c r="J360" t="s">
        <v>3354</v>
      </c>
      <c r="K360" t="s">
        <v>74</v>
      </c>
      <c r="L360" t="s">
        <v>74</v>
      </c>
      <c r="M360" t="s">
        <v>74</v>
      </c>
      <c r="N360" t="s">
        <v>74</v>
      </c>
      <c r="O360" t="s">
        <v>74</v>
      </c>
      <c r="P360" t="s">
        <v>74</v>
      </c>
      <c r="Q360" t="s">
        <v>74</v>
      </c>
      <c r="R360" t="s">
        <v>74</v>
      </c>
      <c r="S360" t="s">
        <v>74</v>
      </c>
      <c r="T360" t="s">
        <v>74</v>
      </c>
      <c r="U360" t="s">
        <v>74</v>
      </c>
      <c r="V360" t="s">
        <v>3355</v>
      </c>
      <c r="W360" t="s">
        <v>74</v>
      </c>
      <c r="X360" t="s">
        <v>74</v>
      </c>
      <c r="Y360" t="s">
        <v>74</v>
      </c>
      <c r="Z360" t="s">
        <v>74</v>
      </c>
      <c r="AA360" t="s">
        <v>3356</v>
      </c>
      <c r="AB360" t="s">
        <v>3357</v>
      </c>
      <c r="AC360" t="s">
        <v>74</v>
      </c>
      <c r="AD360" t="s">
        <v>74</v>
      </c>
      <c r="AE360" t="s">
        <v>74</v>
      </c>
      <c r="AF360" t="s">
        <v>74</v>
      </c>
      <c r="AG360" t="s">
        <v>74</v>
      </c>
      <c r="AH360" t="s">
        <v>74</v>
      </c>
      <c r="AI360" t="s">
        <v>74</v>
      </c>
      <c r="AJ360" t="s">
        <v>74</v>
      </c>
      <c r="AK360" t="s">
        <v>74</v>
      </c>
      <c r="AL360" t="s">
        <v>74</v>
      </c>
      <c r="AM360" t="s">
        <v>74</v>
      </c>
      <c r="AN360" t="s">
        <v>74</v>
      </c>
      <c r="AO360" t="s">
        <v>3358</v>
      </c>
      <c r="AP360" t="s">
        <v>3359</v>
      </c>
      <c r="AQ360" t="s">
        <v>74</v>
      </c>
      <c r="AR360" t="s">
        <v>74</v>
      </c>
      <c r="AS360" t="s">
        <v>74</v>
      </c>
      <c r="AT360" t="s">
        <v>124</v>
      </c>
      <c r="AU360">
        <v>2022</v>
      </c>
      <c r="AV360">
        <v>39</v>
      </c>
      <c r="AW360">
        <v>3</v>
      </c>
      <c r="AX360" t="s">
        <v>74</v>
      </c>
      <c r="AY360" t="s">
        <v>74</v>
      </c>
      <c r="AZ360" t="s">
        <v>74</v>
      </c>
      <c r="BA360" t="s">
        <v>74</v>
      </c>
      <c r="BB360">
        <v>63</v>
      </c>
      <c r="BC360">
        <v>89</v>
      </c>
      <c r="BD360" t="s">
        <v>74</v>
      </c>
      <c r="BE360" t="s">
        <v>3360</v>
      </c>
      <c r="BF360" t="str">
        <f>HYPERLINK("http://dx.doi.org/10.1109/MSP.2021.3110108","http://dx.doi.org/10.1109/MSP.2021.3110108")</f>
        <v>http://dx.doi.org/10.1109/MSP.2021.3110108</v>
      </c>
      <c r="BG360" t="s">
        <v>74</v>
      </c>
      <c r="BH360" t="s">
        <v>74</v>
      </c>
      <c r="BI360" t="s">
        <v>74</v>
      </c>
      <c r="BJ360" t="s">
        <v>74</v>
      </c>
      <c r="BK360" t="s">
        <v>74</v>
      </c>
      <c r="BL360" t="s">
        <v>74</v>
      </c>
      <c r="BM360" t="s">
        <v>74</v>
      </c>
      <c r="BN360" t="s">
        <v>74</v>
      </c>
      <c r="BO360" t="s">
        <v>74</v>
      </c>
      <c r="BP360" t="s">
        <v>74</v>
      </c>
      <c r="BQ360" t="s">
        <v>74</v>
      </c>
      <c r="BR360" t="s">
        <v>74</v>
      </c>
      <c r="BS360" t="s">
        <v>3361</v>
      </c>
      <c r="BT360" t="str">
        <f>HYPERLINK("https%3A%2F%2Fwww.webofscience.com%2Fwos%2Fwoscc%2Ffull-record%2FWOS:000803108800010","View Full Record in Web of Science")</f>
        <v>View Full Record in Web of Science</v>
      </c>
    </row>
    <row r="361" spans="1:72" x14ac:dyDescent="0.25">
      <c r="A361" t="s">
        <v>84</v>
      </c>
      <c r="B361" t="s">
        <v>3362</v>
      </c>
      <c r="C361" t="s">
        <v>74</v>
      </c>
      <c r="D361" t="s">
        <v>3363</v>
      </c>
      <c r="E361" t="s">
        <v>74</v>
      </c>
      <c r="F361" t="s">
        <v>3364</v>
      </c>
      <c r="G361" t="s">
        <v>74</v>
      </c>
      <c r="H361" t="s">
        <v>74</v>
      </c>
      <c r="I361" t="s">
        <v>3365</v>
      </c>
      <c r="J361" t="s">
        <v>3366</v>
      </c>
      <c r="K361" t="s">
        <v>158</v>
      </c>
      <c r="L361" t="s">
        <v>74</v>
      </c>
      <c r="M361" t="s">
        <v>74</v>
      </c>
      <c r="N361" t="s">
        <v>74</v>
      </c>
      <c r="O361" t="s">
        <v>3367</v>
      </c>
      <c r="P361" t="s">
        <v>288</v>
      </c>
      <c r="Q361" t="s">
        <v>108</v>
      </c>
      <c r="R361" t="s">
        <v>74</v>
      </c>
      <c r="S361" t="s">
        <v>74</v>
      </c>
      <c r="T361" t="s">
        <v>74</v>
      </c>
      <c r="U361" t="s">
        <v>74</v>
      </c>
      <c r="V361" t="s">
        <v>3368</v>
      </c>
      <c r="W361" t="s">
        <v>74</v>
      </c>
      <c r="X361" t="s">
        <v>74</v>
      </c>
      <c r="Y361" t="s">
        <v>74</v>
      </c>
      <c r="Z361" t="s">
        <v>74</v>
      </c>
      <c r="AA361" t="s">
        <v>74</v>
      </c>
      <c r="AB361" t="s">
        <v>74</v>
      </c>
      <c r="AC361" t="s">
        <v>74</v>
      </c>
      <c r="AD361" t="s">
        <v>74</v>
      </c>
      <c r="AE361" t="s">
        <v>74</v>
      </c>
      <c r="AF361" t="s">
        <v>74</v>
      </c>
      <c r="AG361" t="s">
        <v>74</v>
      </c>
      <c r="AH361" t="s">
        <v>74</v>
      </c>
      <c r="AI361" t="s">
        <v>74</v>
      </c>
      <c r="AJ361" t="s">
        <v>74</v>
      </c>
      <c r="AK361" t="s">
        <v>74</v>
      </c>
      <c r="AL361" t="s">
        <v>74</v>
      </c>
      <c r="AM361" t="s">
        <v>74</v>
      </c>
      <c r="AN361" t="s">
        <v>74</v>
      </c>
      <c r="AO361" t="s">
        <v>164</v>
      </c>
      <c r="AP361" t="s">
        <v>165</v>
      </c>
      <c r="AQ361" t="s">
        <v>3369</v>
      </c>
      <c r="AR361" t="s">
        <v>74</v>
      </c>
      <c r="AS361" t="s">
        <v>74</v>
      </c>
      <c r="AT361" t="s">
        <v>74</v>
      </c>
      <c r="AU361">
        <v>2022</v>
      </c>
      <c r="AV361">
        <v>13321</v>
      </c>
      <c r="AW361" t="s">
        <v>74</v>
      </c>
      <c r="AX361" t="s">
        <v>74</v>
      </c>
      <c r="AY361" t="s">
        <v>74</v>
      </c>
      <c r="AZ361" t="s">
        <v>74</v>
      </c>
      <c r="BA361" t="s">
        <v>74</v>
      </c>
      <c r="BB361">
        <v>295</v>
      </c>
      <c r="BC361">
        <v>313</v>
      </c>
      <c r="BD361" t="s">
        <v>74</v>
      </c>
      <c r="BE361" t="s">
        <v>3370</v>
      </c>
      <c r="BF361" t="str">
        <f>HYPERLINK("http://dx.doi.org/10.1007/978-3-031-05897-4_21","http://dx.doi.org/10.1007/978-3-031-05897-4_21")</f>
        <v>http://dx.doi.org/10.1007/978-3-031-05897-4_21</v>
      </c>
      <c r="BG361" t="s">
        <v>74</v>
      </c>
      <c r="BH361" t="s">
        <v>74</v>
      </c>
      <c r="BI361" t="s">
        <v>74</v>
      </c>
      <c r="BJ361" t="s">
        <v>74</v>
      </c>
      <c r="BK361" t="s">
        <v>74</v>
      </c>
      <c r="BL361" t="s">
        <v>74</v>
      </c>
      <c r="BM361" t="s">
        <v>74</v>
      </c>
      <c r="BN361" t="s">
        <v>74</v>
      </c>
      <c r="BO361" t="s">
        <v>74</v>
      </c>
      <c r="BP361" t="s">
        <v>74</v>
      </c>
      <c r="BQ361" t="s">
        <v>74</v>
      </c>
      <c r="BR361" t="s">
        <v>74</v>
      </c>
      <c r="BS361" t="s">
        <v>3371</v>
      </c>
      <c r="BT361" t="str">
        <f>HYPERLINK("https%3A%2F%2Fwww.webofscience.com%2Fwos%2Fwoscc%2Ffull-record%2FWOS:000870210500021","View Full Record in Web of Science")</f>
        <v>View Full Record in Web of Science</v>
      </c>
    </row>
    <row r="362" spans="1:72" x14ac:dyDescent="0.25">
      <c r="A362" t="s">
        <v>84</v>
      </c>
      <c r="B362" t="s">
        <v>3372</v>
      </c>
      <c r="C362" t="s">
        <v>74</v>
      </c>
      <c r="D362" t="s">
        <v>3373</v>
      </c>
      <c r="E362" t="s">
        <v>74</v>
      </c>
      <c r="F362" t="s">
        <v>3374</v>
      </c>
      <c r="G362" t="s">
        <v>74</v>
      </c>
      <c r="H362" t="s">
        <v>74</v>
      </c>
      <c r="I362" t="s">
        <v>3375</v>
      </c>
      <c r="J362" t="s">
        <v>3376</v>
      </c>
      <c r="K362" t="s">
        <v>3377</v>
      </c>
      <c r="L362" t="s">
        <v>74</v>
      </c>
      <c r="M362" t="s">
        <v>74</v>
      </c>
      <c r="N362" t="s">
        <v>74</v>
      </c>
      <c r="O362" t="s">
        <v>3378</v>
      </c>
      <c r="P362" t="s">
        <v>3379</v>
      </c>
      <c r="Q362" t="s">
        <v>3380</v>
      </c>
      <c r="R362" t="s">
        <v>3381</v>
      </c>
      <c r="S362" t="s">
        <v>74</v>
      </c>
      <c r="T362" t="s">
        <v>74</v>
      </c>
      <c r="U362" t="s">
        <v>74</v>
      </c>
      <c r="V362" t="s">
        <v>3382</v>
      </c>
      <c r="W362" t="s">
        <v>74</v>
      </c>
      <c r="X362" t="s">
        <v>74</v>
      </c>
      <c r="Y362" t="s">
        <v>74</v>
      </c>
      <c r="Z362" t="s">
        <v>74</v>
      </c>
      <c r="AA362" t="s">
        <v>74</v>
      </c>
      <c r="AB362" t="s">
        <v>3383</v>
      </c>
      <c r="AC362" t="s">
        <v>74</v>
      </c>
      <c r="AD362" t="s">
        <v>74</v>
      </c>
      <c r="AE362" t="s">
        <v>74</v>
      </c>
      <c r="AF362" t="s">
        <v>74</v>
      </c>
      <c r="AG362" t="s">
        <v>74</v>
      </c>
      <c r="AH362" t="s">
        <v>74</v>
      </c>
      <c r="AI362" t="s">
        <v>74</v>
      </c>
      <c r="AJ362" t="s">
        <v>74</v>
      </c>
      <c r="AK362" t="s">
        <v>74</v>
      </c>
      <c r="AL362" t="s">
        <v>74</v>
      </c>
      <c r="AM362" t="s">
        <v>74</v>
      </c>
      <c r="AN362" t="s">
        <v>74</v>
      </c>
      <c r="AO362" t="s">
        <v>3384</v>
      </c>
      <c r="AP362" t="s">
        <v>3385</v>
      </c>
      <c r="AQ362" t="s">
        <v>3386</v>
      </c>
      <c r="AR362" t="s">
        <v>74</v>
      </c>
      <c r="AS362" t="s">
        <v>74</v>
      </c>
      <c r="AT362" t="s">
        <v>74</v>
      </c>
      <c r="AU362">
        <v>2022</v>
      </c>
      <c r="AV362">
        <v>1431</v>
      </c>
      <c r="AW362" t="s">
        <v>74</v>
      </c>
      <c r="AX362" t="s">
        <v>74</v>
      </c>
      <c r="AY362" t="s">
        <v>74</v>
      </c>
      <c r="AZ362" t="s">
        <v>74</v>
      </c>
      <c r="BA362" t="s">
        <v>74</v>
      </c>
      <c r="BB362">
        <v>490</v>
      </c>
      <c r="BC362">
        <v>493</v>
      </c>
      <c r="BD362" t="s">
        <v>74</v>
      </c>
      <c r="BE362" t="s">
        <v>3387</v>
      </c>
      <c r="BF362" t="str">
        <f>HYPERLINK("http://dx.doi.org/10.1007/978-3-031-14054-9_45","http://dx.doi.org/10.1007/978-3-031-14054-9_45")</f>
        <v>http://dx.doi.org/10.1007/978-3-031-14054-9_45</v>
      </c>
      <c r="BG362" t="s">
        <v>74</v>
      </c>
      <c r="BH362" t="s">
        <v>74</v>
      </c>
      <c r="BI362" t="s">
        <v>74</v>
      </c>
      <c r="BJ362" t="s">
        <v>74</v>
      </c>
      <c r="BK362" t="s">
        <v>74</v>
      </c>
      <c r="BL362" t="s">
        <v>74</v>
      </c>
      <c r="BM362" t="s">
        <v>74</v>
      </c>
      <c r="BN362" t="s">
        <v>74</v>
      </c>
      <c r="BO362" t="s">
        <v>74</v>
      </c>
      <c r="BP362" t="s">
        <v>74</v>
      </c>
      <c r="BQ362" t="s">
        <v>74</v>
      </c>
      <c r="BR362" t="s">
        <v>74</v>
      </c>
      <c r="BS362" t="s">
        <v>3388</v>
      </c>
      <c r="BT362" t="str">
        <f>HYPERLINK("https%3A%2F%2Fwww.webofscience.com%2Fwos%2Fwoscc%2Ffull-record%2FWOS:000870592700045","View Full Record in Web of Science")</f>
        <v>View Full Record in Web of Science</v>
      </c>
    </row>
    <row r="363" spans="1:72" x14ac:dyDescent="0.25">
      <c r="A363" t="s">
        <v>72</v>
      </c>
      <c r="B363" t="s">
        <v>3389</v>
      </c>
      <c r="C363" t="s">
        <v>74</v>
      </c>
      <c r="D363" t="s">
        <v>74</v>
      </c>
      <c r="E363" t="s">
        <v>74</v>
      </c>
      <c r="F363" t="s">
        <v>3390</v>
      </c>
      <c r="G363" t="s">
        <v>74</v>
      </c>
      <c r="H363" t="s">
        <v>74</v>
      </c>
      <c r="I363" t="s">
        <v>3391</v>
      </c>
      <c r="J363" t="s">
        <v>3392</v>
      </c>
      <c r="K363" t="s">
        <v>74</v>
      </c>
      <c r="L363" t="s">
        <v>74</v>
      </c>
      <c r="M363" t="s">
        <v>74</v>
      </c>
      <c r="N363" t="s">
        <v>74</v>
      </c>
      <c r="O363" t="s">
        <v>74</v>
      </c>
      <c r="P363" t="s">
        <v>74</v>
      </c>
      <c r="Q363" t="s">
        <v>74</v>
      </c>
      <c r="R363" t="s">
        <v>74</v>
      </c>
      <c r="S363" t="s">
        <v>74</v>
      </c>
      <c r="T363" t="s">
        <v>74</v>
      </c>
      <c r="U363" t="s">
        <v>74</v>
      </c>
      <c r="V363" t="s">
        <v>3393</v>
      </c>
      <c r="W363" t="s">
        <v>74</v>
      </c>
      <c r="X363" t="s">
        <v>74</v>
      </c>
      <c r="Y363" t="s">
        <v>74</v>
      </c>
      <c r="Z363" t="s">
        <v>74</v>
      </c>
      <c r="AA363" t="s">
        <v>74</v>
      </c>
      <c r="AB363" t="s">
        <v>3394</v>
      </c>
      <c r="AC363" t="s">
        <v>74</v>
      </c>
      <c r="AD363" t="s">
        <v>74</v>
      </c>
      <c r="AE363" t="s">
        <v>74</v>
      </c>
      <c r="AF363" t="s">
        <v>74</v>
      </c>
      <c r="AG363" t="s">
        <v>74</v>
      </c>
      <c r="AH363" t="s">
        <v>74</v>
      </c>
      <c r="AI363" t="s">
        <v>74</v>
      </c>
      <c r="AJ363" t="s">
        <v>74</v>
      </c>
      <c r="AK363" t="s">
        <v>74</v>
      </c>
      <c r="AL363" t="s">
        <v>74</v>
      </c>
      <c r="AM363" t="s">
        <v>74</v>
      </c>
      <c r="AN363" t="s">
        <v>74</v>
      </c>
      <c r="AO363" t="s">
        <v>3395</v>
      </c>
      <c r="AP363" t="s">
        <v>3396</v>
      </c>
      <c r="AQ363" t="s">
        <v>74</v>
      </c>
      <c r="AR363" t="s">
        <v>74</v>
      </c>
      <c r="AS363" t="s">
        <v>74</v>
      </c>
      <c r="AT363" t="s">
        <v>74</v>
      </c>
      <c r="AU363">
        <v>2022</v>
      </c>
      <c r="AV363">
        <v>50</v>
      </c>
      <c r="AW363">
        <v>3</v>
      </c>
      <c r="AX363" t="s">
        <v>74</v>
      </c>
      <c r="AY363" t="s">
        <v>74</v>
      </c>
      <c r="AZ363" t="s">
        <v>1366</v>
      </c>
      <c r="BA363" t="s">
        <v>74</v>
      </c>
      <c r="BB363">
        <v>583</v>
      </c>
      <c r="BC363">
        <v>596</v>
      </c>
      <c r="BD363" t="s">
        <v>3397</v>
      </c>
      <c r="BE363" t="s">
        <v>3398</v>
      </c>
      <c r="BF363" t="str">
        <f>HYPERLINK("http://dx.doi.org/10.1017/jme.2022.97","http://dx.doi.org/10.1017/jme.2022.97")</f>
        <v>http://dx.doi.org/10.1017/jme.2022.97</v>
      </c>
      <c r="BG363" t="s">
        <v>74</v>
      </c>
      <c r="BH363" t="s">
        <v>74</v>
      </c>
      <c r="BI363" t="s">
        <v>74</v>
      </c>
      <c r="BJ363" t="s">
        <v>74</v>
      </c>
      <c r="BK363" t="s">
        <v>74</v>
      </c>
      <c r="BL363" t="s">
        <v>74</v>
      </c>
      <c r="BM363" t="s">
        <v>74</v>
      </c>
      <c r="BN363">
        <v>36398633</v>
      </c>
      <c r="BO363" t="s">
        <v>74</v>
      </c>
      <c r="BP363" t="s">
        <v>74</v>
      </c>
      <c r="BQ363" t="s">
        <v>74</v>
      </c>
      <c r="BR363" t="s">
        <v>74</v>
      </c>
      <c r="BS363" t="s">
        <v>3399</v>
      </c>
      <c r="BT363" t="str">
        <f>HYPERLINK("https%3A%2F%2Fwww.webofscience.com%2Fwos%2Fwoscc%2Ffull-record%2FWOS:000889694100016","View Full Record in Web of Science")</f>
        <v>View Full Record in Web of Science</v>
      </c>
    </row>
    <row r="364" spans="1:72" x14ac:dyDescent="0.25">
      <c r="A364" t="s">
        <v>72</v>
      </c>
      <c r="B364" t="s">
        <v>3400</v>
      </c>
      <c r="C364" t="s">
        <v>74</v>
      </c>
      <c r="D364" t="s">
        <v>74</v>
      </c>
      <c r="E364" t="s">
        <v>74</v>
      </c>
      <c r="F364" t="s">
        <v>3401</v>
      </c>
      <c r="G364" t="s">
        <v>74</v>
      </c>
      <c r="H364" t="s">
        <v>74</v>
      </c>
      <c r="I364" t="s">
        <v>3402</v>
      </c>
      <c r="J364" t="s">
        <v>3403</v>
      </c>
      <c r="K364" t="s">
        <v>74</v>
      </c>
      <c r="L364" t="s">
        <v>74</v>
      </c>
      <c r="M364" t="s">
        <v>74</v>
      </c>
      <c r="N364" t="s">
        <v>74</v>
      </c>
      <c r="O364" t="s">
        <v>74</v>
      </c>
      <c r="P364" t="s">
        <v>74</v>
      </c>
      <c r="Q364" t="s">
        <v>74</v>
      </c>
      <c r="R364" t="s">
        <v>74</v>
      </c>
      <c r="S364" t="s">
        <v>74</v>
      </c>
      <c r="T364" t="s">
        <v>74</v>
      </c>
      <c r="U364" t="s">
        <v>74</v>
      </c>
      <c r="V364" t="s">
        <v>3404</v>
      </c>
      <c r="W364" t="s">
        <v>74</v>
      </c>
      <c r="X364" t="s">
        <v>74</v>
      </c>
      <c r="Y364" t="s">
        <v>74</v>
      </c>
      <c r="Z364" t="s">
        <v>74</v>
      </c>
      <c r="AA364" t="s">
        <v>74</v>
      </c>
      <c r="AB364" t="s">
        <v>74</v>
      </c>
      <c r="AC364" t="s">
        <v>74</v>
      </c>
      <c r="AD364" t="s">
        <v>74</v>
      </c>
      <c r="AE364" t="s">
        <v>74</v>
      </c>
      <c r="AF364" t="s">
        <v>74</v>
      </c>
      <c r="AG364" t="s">
        <v>74</v>
      </c>
      <c r="AH364" t="s">
        <v>74</v>
      </c>
      <c r="AI364" t="s">
        <v>74</v>
      </c>
      <c r="AJ364" t="s">
        <v>74</v>
      </c>
      <c r="AK364" t="s">
        <v>74</v>
      </c>
      <c r="AL364" t="s">
        <v>74</v>
      </c>
      <c r="AM364" t="s">
        <v>74</v>
      </c>
      <c r="AN364" t="s">
        <v>74</v>
      </c>
      <c r="AO364" t="s">
        <v>3405</v>
      </c>
      <c r="AP364" t="s">
        <v>3406</v>
      </c>
      <c r="AQ364" t="s">
        <v>74</v>
      </c>
      <c r="AR364" t="s">
        <v>74</v>
      </c>
      <c r="AS364" t="s">
        <v>74</v>
      </c>
      <c r="AT364" t="s">
        <v>3407</v>
      </c>
      <c r="AU364">
        <v>2023</v>
      </c>
      <c r="AV364">
        <v>111</v>
      </c>
      <c r="AW364" t="s">
        <v>74</v>
      </c>
      <c r="AX364" t="s">
        <v>74</v>
      </c>
      <c r="AY364" t="s">
        <v>74</v>
      </c>
      <c r="AZ364" t="s">
        <v>74</v>
      </c>
      <c r="BA364" t="s">
        <v>74</v>
      </c>
      <c r="BB364" t="s">
        <v>74</v>
      </c>
      <c r="BC364" t="s">
        <v>74</v>
      </c>
      <c r="BD364">
        <v>108366</v>
      </c>
      <c r="BE364" t="s">
        <v>3408</v>
      </c>
      <c r="BF364" t="str">
        <f>HYPERLINK("http://dx.doi.org/10.1016/j.nanoen.2023.108366","http://dx.doi.org/10.1016/j.nanoen.2023.108366")</f>
        <v>http://dx.doi.org/10.1016/j.nanoen.2023.108366</v>
      </c>
      <c r="BG364" t="s">
        <v>74</v>
      </c>
      <c r="BH364" t="s">
        <v>611</v>
      </c>
      <c r="BI364" t="s">
        <v>74</v>
      </c>
      <c r="BJ364" t="s">
        <v>74</v>
      </c>
      <c r="BK364" t="s">
        <v>74</v>
      </c>
      <c r="BL364" t="s">
        <v>74</v>
      </c>
      <c r="BM364" t="s">
        <v>74</v>
      </c>
      <c r="BN364" t="s">
        <v>74</v>
      </c>
      <c r="BO364" t="s">
        <v>74</v>
      </c>
      <c r="BP364" t="s">
        <v>74</v>
      </c>
      <c r="BQ364" t="s">
        <v>74</v>
      </c>
      <c r="BR364" t="s">
        <v>74</v>
      </c>
      <c r="BS364" t="s">
        <v>3409</v>
      </c>
      <c r="BT364" t="str">
        <f>HYPERLINK("https%3A%2F%2Fwww.webofscience.com%2Fwos%2Fwoscc%2Ffull-record%2FWOS:000978056100001","View Full Record in Web of Science")</f>
        <v>View Full Record in Web of Science</v>
      </c>
    </row>
    <row r="365" spans="1:72" x14ac:dyDescent="0.25">
      <c r="A365" t="s">
        <v>84</v>
      </c>
      <c r="B365" t="s">
        <v>3410</v>
      </c>
      <c r="C365" t="s">
        <v>74</v>
      </c>
      <c r="D365" t="s">
        <v>3411</v>
      </c>
      <c r="E365" t="s">
        <v>74</v>
      </c>
      <c r="F365" t="s">
        <v>3412</v>
      </c>
      <c r="G365" t="s">
        <v>74</v>
      </c>
      <c r="H365" t="s">
        <v>74</v>
      </c>
      <c r="I365" t="s">
        <v>3413</v>
      </c>
      <c r="J365" t="s">
        <v>3414</v>
      </c>
      <c r="K365" t="s">
        <v>3415</v>
      </c>
      <c r="L365" t="s">
        <v>74</v>
      </c>
      <c r="M365" t="s">
        <v>74</v>
      </c>
      <c r="N365" t="s">
        <v>74</v>
      </c>
      <c r="O365" t="s">
        <v>3416</v>
      </c>
      <c r="P365" t="s">
        <v>3417</v>
      </c>
      <c r="Q365" t="s">
        <v>3418</v>
      </c>
      <c r="R365" t="s">
        <v>3419</v>
      </c>
      <c r="S365" t="s">
        <v>74</v>
      </c>
      <c r="T365" t="s">
        <v>74</v>
      </c>
      <c r="U365" t="s">
        <v>74</v>
      </c>
      <c r="V365" t="s">
        <v>3420</v>
      </c>
      <c r="W365" t="s">
        <v>74</v>
      </c>
      <c r="X365" t="s">
        <v>74</v>
      </c>
      <c r="Y365" t="s">
        <v>74</v>
      </c>
      <c r="Z365" t="s">
        <v>74</v>
      </c>
      <c r="AA365" t="s">
        <v>74</v>
      </c>
      <c r="AB365" t="s">
        <v>74</v>
      </c>
      <c r="AC365" t="s">
        <v>74</v>
      </c>
      <c r="AD365" t="s">
        <v>74</v>
      </c>
      <c r="AE365" t="s">
        <v>74</v>
      </c>
      <c r="AF365" t="s">
        <v>74</v>
      </c>
      <c r="AG365" t="s">
        <v>74</v>
      </c>
      <c r="AH365" t="s">
        <v>74</v>
      </c>
      <c r="AI365" t="s">
        <v>74</v>
      </c>
      <c r="AJ365" t="s">
        <v>74</v>
      </c>
      <c r="AK365" t="s">
        <v>74</v>
      </c>
      <c r="AL365" t="s">
        <v>74</v>
      </c>
      <c r="AM365" t="s">
        <v>74</v>
      </c>
      <c r="AN365" t="s">
        <v>74</v>
      </c>
      <c r="AO365" t="s">
        <v>3421</v>
      </c>
      <c r="AP365" t="s">
        <v>3422</v>
      </c>
      <c r="AQ365" t="s">
        <v>3423</v>
      </c>
      <c r="AR365" t="s">
        <v>74</v>
      </c>
      <c r="AS365" t="s">
        <v>74</v>
      </c>
      <c r="AT365" t="s">
        <v>74</v>
      </c>
      <c r="AU365">
        <v>2022</v>
      </c>
      <c r="AV365">
        <v>12267</v>
      </c>
      <c r="AW365" t="s">
        <v>74</v>
      </c>
      <c r="AX365" t="s">
        <v>74</v>
      </c>
      <c r="AY365" t="s">
        <v>74</v>
      </c>
      <c r="AZ365" t="s">
        <v>74</v>
      </c>
      <c r="BA365" t="s">
        <v>74</v>
      </c>
      <c r="BB365" t="s">
        <v>74</v>
      </c>
      <c r="BC365" t="s">
        <v>74</v>
      </c>
      <c r="BD365">
        <v>1226714</v>
      </c>
      <c r="BE365" t="s">
        <v>3424</v>
      </c>
      <c r="BF365" t="str">
        <f>HYPERLINK("http://dx.doi.org/10.1117/12.2638450","http://dx.doi.org/10.1117/12.2638450")</f>
        <v>http://dx.doi.org/10.1117/12.2638450</v>
      </c>
      <c r="BG365" t="s">
        <v>74</v>
      </c>
      <c r="BH365" t="s">
        <v>74</v>
      </c>
      <c r="BI365" t="s">
        <v>74</v>
      </c>
      <c r="BJ365" t="s">
        <v>74</v>
      </c>
      <c r="BK365" t="s">
        <v>74</v>
      </c>
      <c r="BL365" t="s">
        <v>74</v>
      </c>
      <c r="BM365" t="s">
        <v>74</v>
      </c>
      <c r="BN365" t="s">
        <v>74</v>
      </c>
      <c r="BO365" t="s">
        <v>74</v>
      </c>
      <c r="BP365" t="s">
        <v>74</v>
      </c>
      <c r="BQ365" t="s">
        <v>74</v>
      </c>
      <c r="BR365" t="s">
        <v>74</v>
      </c>
      <c r="BS365" t="s">
        <v>3425</v>
      </c>
      <c r="BT365" t="str">
        <f>HYPERLINK("https%3A%2F%2Fwww.webofscience.com%2Fwos%2Fwoscc%2Ffull-record%2FWOS:000890057500031","View Full Record in Web of Science")</f>
        <v>View Full Record in Web of Science</v>
      </c>
    </row>
    <row r="366" spans="1:72" x14ac:dyDescent="0.25">
      <c r="A366" t="s">
        <v>72</v>
      </c>
      <c r="B366" t="s">
        <v>3426</v>
      </c>
      <c r="C366" t="s">
        <v>74</v>
      </c>
      <c r="D366" t="s">
        <v>74</v>
      </c>
      <c r="E366" t="s">
        <v>74</v>
      </c>
      <c r="F366" t="s">
        <v>3427</v>
      </c>
      <c r="G366" t="s">
        <v>74</v>
      </c>
      <c r="H366" t="s">
        <v>74</v>
      </c>
      <c r="I366" t="s">
        <v>3428</v>
      </c>
      <c r="J366" t="s">
        <v>2227</v>
      </c>
      <c r="K366" t="s">
        <v>74</v>
      </c>
      <c r="L366" t="s">
        <v>74</v>
      </c>
      <c r="M366" t="s">
        <v>74</v>
      </c>
      <c r="N366" t="s">
        <v>74</v>
      </c>
      <c r="O366" t="s">
        <v>74</v>
      </c>
      <c r="P366" t="s">
        <v>74</v>
      </c>
      <c r="Q366" t="s">
        <v>74</v>
      </c>
      <c r="R366" t="s">
        <v>74</v>
      </c>
      <c r="S366" t="s">
        <v>74</v>
      </c>
      <c r="T366" t="s">
        <v>74</v>
      </c>
      <c r="U366" t="s">
        <v>74</v>
      </c>
      <c r="V366" t="s">
        <v>3429</v>
      </c>
      <c r="W366" t="s">
        <v>74</v>
      </c>
      <c r="X366" t="s">
        <v>74</v>
      </c>
      <c r="Y366" t="s">
        <v>74</v>
      </c>
      <c r="Z366" t="s">
        <v>74</v>
      </c>
      <c r="AA366" t="s">
        <v>74</v>
      </c>
      <c r="AB366" t="s">
        <v>3430</v>
      </c>
      <c r="AC366" t="s">
        <v>74</v>
      </c>
      <c r="AD366" t="s">
        <v>74</v>
      </c>
      <c r="AE366" t="s">
        <v>74</v>
      </c>
      <c r="AF366" t="s">
        <v>74</v>
      </c>
      <c r="AG366" t="s">
        <v>74</v>
      </c>
      <c r="AH366" t="s">
        <v>74</v>
      </c>
      <c r="AI366" t="s">
        <v>74</v>
      </c>
      <c r="AJ366" t="s">
        <v>74</v>
      </c>
      <c r="AK366" t="s">
        <v>74</v>
      </c>
      <c r="AL366" t="s">
        <v>74</v>
      </c>
      <c r="AM366" t="s">
        <v>74</v>
      </c>
      <c r="AN366" t="s">
        <v>74</v>
      </c>
      <c r="AO366" t="s">
        <v>2231</v>
      </c>
      <c r="AP366" t="s">
        <v>74</v>
      </c>
      <c r="AQ366" t="s">
        <v>74</v>
      </c>
      <c r="AR366" t="s">
        <v>74</v>
      </c>
      <c r="AS366" t="s">
        <v>74</v>
      </c>
      <c r="AT366" t="s">
        <v>3431</v>
      </c>
      <c r="AU366">
        <v>2022</v>
      </c>
      <c r="AV366">
        <v>30</v>
      </c>
      <c r="AW366">
        <v>25</v>
      </c>
      <c r="AX366" t="s">
        <v>74</v>
      </c>
      <c r="AY366" t="s">
        <v>74</v>
      </c>
      <c r="AZ366" t="s">
        <v>74</v>
      </c>
      <c r="BA366" t="s">
        <v>74</v>
      </c>
      <c r="BB366">
        <v>44518</v>
      </c>
      <c r="BC366">
        <v>44532</v>
      </c>
      <c r="BD366" t="s">
        <v>74</v>
      </c>
      <c r="BE366" t="s">
        <v>3432</v>
      </c>
      <c r="BF366" t="str">
        <f>HYPERLINK("http://dx.doi.org/10.1364/OE.475634","http://dx.doi.org/10.1364/OE.475634")</f>
        <v>http://dx.doi.org/10.1364/OE.475634</v>
      </c>
      <c r="BG366" t="s">
        <v>74</v>
      </c>
      <c r="BH366" t="s">
        <v>74</v>
      </c>
      <c r="BI366" t="s">
        <v>74</v>
      </c>
      <c r="BJ366" t="s">
        <v>74</v>
      </c>
      <c r="BK366" t="s">
        <v>74</v>
      </c>
      <c r="BL366" t="s">
        <v>74</v>
      </c>
      <c r="BM366" t="s">
        <v>74</v>
      </c>
      <c r="BN366">
        <v>36522875</v>
      </c>
      <c r="BO366" t="s">
        <v>74</v>
      </c>
      <c r="BP366" t="s">
        <v>74</v>
      </c>
      <c r="BQ366" t="s">
        <v>74</v>
      </c>
      <c r="BR366" t="s">
        <v>74</v>
      </c>
      <c r="BS366" t="s">
        <v>3433</v>
      </c>
      <c r="BT366" t="str">
        <f>HYPERLINK("https%3A%2F%2Fwww.webofscience.com%2Fwos%2Fwoscc%2Ffull-record%2FWOS:000917358400002","View Full Record in Web of Science")</f>
        <v>View Full Record in Web of Science</v>
      </c>
    </row>
    <row r="367" spans="1:72" x14ac:dyDescent="0.25">
      <c r="A367" t="s">
        <v>72</v>
      </c>
      <c r="B367" t="s">
        <v>3434</v>
      </c>
      <c r="C367" t="s">
        <v>74</v>
      </c>
      <c r="D367" t="s">
        <v>74</v>
      </c>
      <c r="E367" t="s">
        <v>74</v>
      </c>
      <c r="F367" t="s">
        <v>3435</v>
      </c>
      <c r="G367" t="s">
        <v>74</v>
      </c>
      <c r="H367" t="s">
        <v>74</v>
      </c>
      <c r="I367" t="s">
        <v>3436</v>
      </c>
      <c r="J367" t="s">
        <v>3437</v>
      </c>
      <c r="K367" t="s">
        <v>74</v>
      </c>
      <c r="L367" t="s">
        <v>74</v>
      </c>
      <c r="M367" t="s">
        <v>74</v>
      </c>
      <c r="N367" t="s">
        <v>74</v>
      </c>
      <c r="O367" t="s">
        <v>74</v>
      </c>
      <c r="P367" t="s">
        <v>74</v>
      </c>
      <c r="Q367" t="s">
        <v>74</v>
      </c>
      <c r="R367" t="s">
        <v>74</v>
      </c>
      <c r="S367" t="s">
        <v>74</v>
      </c>
      <c r="T367" t="s">
        <v>74</v>
      </c>
      <c r="U367" t="s">
        <v>74</v>
      </c>
      <c r="V367" t="s">
        <v>3438</v>
      </c>
      <c r="W367" t="s">
        <v>74</v>
      </c>
      <c r="X367" t="s">
        <v>74</v>
      </c>
      <c r="Y367" t="s">
        <v>74</v>
      </c>
      <c r="Z367" t="s">
        <v>74</v>
      </c>
      <c r="AA367" t="s">
        <v>74</v>
      </c>
      <c r="AB367" t="s">
        <v>74</v>
      </c>
      <c r="AC367" t="s">
        <v>74</v>
      </c>
      <c r="AD367" t="s">
        <v>74</v>
      </c>
      <c r="AE367" t="s">
        <v>74</v>
      </c>
      <c r="AF367" t="s">
        <v>74</v>
      </c>
      <c r="AG367" t="s">
        <v>74</v>
      </c>
      <c r="AH367" t="s">
        <v>74</v>
      </c>
      <c r="AI367" t="s">
        <v>74</v>
      </c>
      <c r="AJ367" t="s">
        <v>74</v>
      </c>
      <c r="AK367" t="s">
        <v>74</v>
      </c>
      <c r="AL367" t="s">
        <v>74</v>
      </c>
      <c r="AM367" t="s">
        <v>74</v>
      </c>
      <c r="AN367" t="s">
        <v>74</v>
      </c>
      <c r="AO367" t="s">
        <v>3439</v>
      </c>
      <c r="AP367" t="s">
        <v>3440</v>
      </c>
      <c r="AQ367" t="s">
        <v>74</v>
      </c>
      <c r="AR367" t="s">
        <v>74</v>
      </c>
      <c r="AS367" t="s">
        <v>74</v>
      </c>
      <c r="AT367" t="s">
        <v>435</v>
      </c>
      <c r="AU367">
        <v>2023</v>
      </c>
      <c r="AV367">
        <v>44</v>
      </c>
      <c r="AW367">
        <v>2</v>
      </c>
      <c r="AX367" t="s">
        <v>74</v>
      </c>
      <c r="AY367" t="s">
        <v>74</v>
      </c>
      <c r="AZ367" t="s">
        <v>74</v>
      </c>
      <c r="BA367" t="s">
        <v>74</v>
      </c>
      <c r="BB367">
        <v>281</v>
      </c>
      <c r="BC367">
        <v>284</v>
      </c>
      <c r="BD367" t="s">
        <v>74</v>
      </c>
      <c r="BE367" t="s">
        <v>3441</v>
      </c>
      <c r="BF367" t="str">
        <f>HYPERLINK("http://dx.doi.org/10.1109/LED.2022.3228529","http://dx.doi.org/10.1109/LED.2022.3228529")</f>
        <v>http://dx.doi.org/10.1109/LED.2022.3228529</v>
      </c>
      <c r="BG367" t="s">
        <v>74</v>
      </c>
      <c r="BH367" t="s">
        <v>74</v>
      </c>
      <c r="BI367" t="s">
        <v>74</v>
      </c>
      <c r="BJ367" t="s">
        <v>74</v>
      </c>
      <c r="BK367" t="s">
        <v>74</v>
      </c>
      <c r="BL367" t="s">
        <v>74</v>
      </c>
      <c r="BM367" t="s">
        <v>74</v>
      </c>
      <c r="BN367" t="s">
        <v>74</v>
      </c>
      <c r="BO367" t="s">
        <v>74</v>
      </c>
      <c r="BP367" t="s">
        <v>74</v>
      </c>
      <c r="BQ367" t="s">
        <v>74</v>
      </c>
      <c r="BR367" t="s">
        <v>74</v>
      </c>
      <c r="BS367" t="s">
        <v>3442</v>
      </c>
      <c r="BT367" t="str">
        <f>HYPERLINK("https%3A%2F%2Fwww.webofscience.com%2Fwos%2Fwoscc%2Ffull-record%2FWOS:000966133700001","View Full Record in Web of Science")</f>
        <v>View Full Record in Web of Science</v>
      </c>
    </row>
    <row r="368" spans="1:72" x14ac:dyDescent="0.25">
      <c r="A368" t="s">
        <v>72</v>
      </c>
      <c r="B368" t="s">
        <v>3443</v>
      </c>
      <c r="C368" t="s">
        <v>74</v>
      </c>
      <c r="D368" t="s">
        <v>74</v>
      </c>
      <c r="E368" t="s">
        <v>74</v>
      </c>
      <c r="F368" t="s">
        <v>3444</v>
      </c>
      <c r="G368" t="s">
        <v>74</v>
      </c>
      <c r="H368" t="s">
        <v>74</v>
      </c>
      <c r="I368" t="s">
        <v>3445</v>
      </c>
      <c r="J368" t="s">
        <v>2401</v>
      </c>
      <c r="K368" t="s">
        <v>74</v>
      </c>
      <c r="L368" t="s">
        <v>74</v>
      </c>
      <c r="M368" t="s">
        <v>74</v>
      </c>
      <c r="N368" t="s">
        <v>74</v>
      </c>
      <c r="O368" t="s">
        <v>74</v>
      </c>
      <c r="P368" t="s">
        <v>74</v>
      </c>
      <c r="Q368" t="s">
        <v>74</v>
      </c>
      <c r="R368" t="s">
        <v>74</v>
      </c>
      <c r="S368" t="s">
        <v>74</v>
      </c>
      <c r="T368" t="s">
        <v>74</v>
      </c>
      <c r="U368" t="s">
        <v>74</v>
      </c>
      <c r="V368" t="s">
        <v>3446</v>
      </c>
      <c r="W368" t="s">
        <v>74</v>
      </c>
      <c r="X368" t="s">
        <v>74</v>
      </c>
      <c r="Y368" t="s">
        <v>74</v>
      </c>
      <c r="Z368" t="s">
        <v>74</v>
      </c>
      <c r="AA368" t="s">
        <v>3447</v>
      </c>
      <c r="AB368" t="s">
        <v>3448</v>
      </c>
      <c r="AC368" t="s">
        <v>74</v>
      </c>
      <c r="AD368" t="s">
        <v>74</v>
      </c>
      <c r="AE368" t="s">
        <v>74</v>
      </c>
      <c r="AF368" t="s">
        <v>74</v>
      </c>
      <c r="AG368" t="s">
        <v>74</v>
      </c>
      <c r="AH368" t="s">
        <v>74</v>
      </c>
      <c r="AI368" t="s">
        <v>74</v>
      </c>
      <c r="AJ368" t="s">
        <v>74</v>
      </c>
      <c r="AK368" t="s">
        <v>74</v>
      </c>
      <c r="AL368" t="s">
        <v>74</v>
      </c>
      <c r="AM368" t="s">
        <v>74</v>
      </c>
      <c r="AN368" t="s">
        <v>74</v>
      </c>
      <c r="AO368" t="s">
        <v>2404</v>
      </c>
      <c r="AP368" t="s">
        <v>2405</v>
      </c>
      <c r="AQ368" t="s">
        <v>74</v>
      </c>
      <c r="AR368" t="s">
        <v>74</v>
      </c>
      <c r="AS368" t="s">
        <v>74</v>
      </c>
      <c r="AT368" t="s">
        <v>598</v>
      </c>
      <c r="AU368">
        <v>2022</v>
      </c>
      <c r="AV368">
        <v>37</v>
      </c>
      <c r="AW368">
        <v>4</v>
      </c>
      <c r="AX368" t="s">
        <v>74</v>
      </c>
      <c r="AY368" t="s">
        <v>74</v>
      </c>
      <c r="AZ368" t="s">
        <v>74</v>
      </c>
      <c r="BA368" t="s">
        <v>74</v>
      </c>
      <c r="BB368">
        <v>97</v>
      </c>
      <c r="BC368">
        <v>102</v>
      </c>
      <c r="BD368" t="s">
        <v>74</v>
      </c>
      <c r="BE368" t="s">
        <v>3449</v>
      </c>
      <c r="BF368" t="str">
        <f>HYPERLINK("http://dx.doi.org/10.1109/MIS.2022.3196592","http://dx.doi.org/10.1109/MIS.2022.3196592")</f>
        <v>http://dx.doi.org/10.1109/MIS.2022.3196592</v>
      </c>
      <c r="BG368" t="s">
        <v>74</v>
      </c>
      <c r="BH368" t="s">
        <v>74</v>
      </c>
      <c r="BI368" t="s">
        <v>74</v>
      </c>
      <c r="BJ368" t="s">
        <v>74</v>
      </c>
      <c r="BK368" t="s">
        <v>74</v>
      </c>
      <c r="BL368" t="s">
        <v>74</v>
      </c>
      <c r="BM368" t="s">
        <v>74</v>
      </c>
      <c r="BN368" t="s">
        <v>74</v>
      </c>
      <c r="BO368" t="s">
        <v>74</v>
      </c>
      <c r="BP368" t="s">
        <v>74</v>
      </c>
      <c r="BQ368" t="s">
        <v>74</v>
      </c>
      <c r="BR368" t="s">
        <v>74</v>
      </c>
      <c r="BS368" t="s">
        <v>3450</v>
      </c>
      <c r="BT368" t="str">
        <f>HYPERLINK("https%3A%2F%2Fwww.webofscience.com%2Fwos%2Fwoscc%2Ffull-record%2FWOS:000858007500012","View Full Record in Web of Science")</f>
        <v>View Full Record in Web of Science</v>
      </c>
    </row>
    <row r="369" spans="1:72" x14ac:dyDescent="0.25">
      <c r="A369" t="s">
        <v>72</v>
      </c>
      <c r="B369" t="s">
        <v>3451</v>
      </c>
      <c r="C369" t="s">
        <v>74</v>
      </c>
      <c r="D369" t="s">
        <v>74</v>
      </c>
      <c r="E369" t="s">
        <v>74</v>
      </c>
      <c r="F369" t="s">
        <v>3452</v>
      </c>
      <c r="G369" t="s">
        <v>74</v>
      </c>
      <c r="H369" t="s">
        <v>74</v>
      </c>
      <c r="I369" t="s">
        <v>3453</v>
      </c>
      <c r="J369" t="s">
        <v>3454</v>
      </c>
      <c r="K369" t="s">
        <v>74</v>
      </c>
      <c r="L369" t="s">
        <v>74</v>
      </c>
      <c r="M369" t="s">
        <v>74</v>
      </c>
      <c r="N369" t="s">
        <v>74</v>
      </c>
      <c r="O369" t="s">
        <v>74</v>
      </c>
      <c r="P369" t="s">
        <v>74</v>
      </c>
      <c r="Q369" t="s">
        <v>74</v>
      </c>
      <c r="R369" t="s">
        <v>74</v>
      </c>
      <c r="S369" t="s">
        <v>74</v>
      </c>
      <c r="T369" t="s">
        <v>74</v>
      </c>
      <c r="U369" t="s">
        <v>74</v>
      </c>
      <c r="V369" t="s">
        <v>3455</v>
      </c>
      <c r="W369" t="s">
        <v>74</v>
      </c>
      <c r="X369" t="s">
        <v>74</v>
      </c>
      <c r="Y369" t="s">
        <v>74</v>
      </c>
      <c r="Z369" t="s">
        <v>74</v>
      </c>
      <c r="AA369" t="s">
        <v>3456</v>
      </c>
      <c r="AB369" t="s">
        <v>3457</v>
      </c>
      <c r="AC369" t="s">
        <v>74</v>
      </c>
      <c r="AD369" t="s">
        <v>74</v>
      </c>
      <c r="AE369" t="s">
        <v>74</v>
      </c>
      <c r="AF369" t="s">
        <v>74</v>
      </c>
      <c r="AG369" t="s">
        <v>74</v>
      </c>
      <c r="AH369" t="s">
        <v>74</v>
      </c>
      <c r="AI369" t="s">
        <v>74</v>
      </c>
      <c r="AJ369" t="s">
        <v>74</v>
      </c>
      <c r="AK369" t="s">
        <v>74</v>
      </c>
      <c r="AL369" t="s">
        <v>74</v>
      </c>
      <c r="AM369" t="s">
        <v>74</v>
      </c>
      <c r="AN369" t="s">
        <v>74</v>
      </c>
      <c r="AO369" t="s">
        <v>3458</v>
      </c>
      <c r="AP369" t="s">
        <v>3459</v>
      </c>
      <c r="AQ369" t="s">
        <v>74</v>
      </c>
      <c r="AR369" t="s">
        <v>74</v>
      </c>
      <c r="AS369" t="s">
        <v>74</v>
      </c>
      <c r="AT369" t="s">
        <v>74</v>
      </c>
      <c r="AU369" t="s">
        <v>74</v>
      </c>
      <c r="AV369" t="s">
        <v>74</v>
      </c>
      <c r="AW369" t="s">
        <v>74</v>
      </c>
      <c r="AX369" t="s">
        <v>74</v>
      </c>
      <c r="AY369" t="s">
        <v>74</v>
      </c>
      <c r="AZ369" t="s">
        <v>74</v>
      </c>
      <c r="BA369" t="s">
        <v>74</v>
      </c>
      <c r="BB369" t="s">
        <v>74</v>
      </c>
      <c r="BC369" t="s">
        <v>74</v>
      </c>
      <c r="BD369" t="s">
        <v>74</v>
      </c>
      <c r="BE369" t="s">
        <v>3460</v>
      </c>
      <c r="BF369" t="str">
        <f>HYPERLINK("http://dx.doi.org/10.1159/000529587","http://dx.doi.org/10.1159/000529587")</f>
        <v>http://dx.doi.org/10.1159/000529587</v>
      </c>
      <c r="BG369" t="s">
        <v>74</v>
      </c>
      <c r="BH369" t="s">
        <v>218</v>
      </c>
      <c r="BI369" t="s">
        <v>74</v>
      </c>
      <c r="BJ369" t="s">
        <v>74</v>
      </c>
      <c r="BK369" t="s">
        <v>74</v>
      </c>
      <c r="BL369" t="s">
        <v>74</v>
      </c>
      <c r="BM369" t="s">
        <v>74</v>
      </c>
      <c r="BN369" t="s">
        <v>74</v>
      </c>
      <c r="BO369" t="s">
        <v>74</v>
      </c>
      <c r="BP369" t="s">
        <v>74</v>
      </c>
      <c r="BQ369" t="s">
        <v>74</v>
      </c>
      <c r="BR369" t="s">
        <v>74</v>
      </c>
      <c r="BS369" t="s">
        <v>3461</v>
      </c>
      <c r="BT369" t="str">
        <f>HYPERLINK("https%3A%2F%2Fwww.webofscience.com%2Fwos%2Fwoscc%2Ffull-record%2FWOS:000931474400001","View Full Record in Web of Science")</f>
        <v>View Full Record in Web of Science</v>
      </c>
    </row>
    <row r="370" spans="1:72" x14ac:dyDescent="0.25">
      <c r="A370" t="s">
        <v>72</v>
      </c>
      <c r="B370" t="s">
        <v>3434</v>
      </c>
      <c r="C370" t="s">
        <v>74</v>
      </c>
      <c r="D370" t="s">
        <v>74</v>
      </c>
      <c r="E370" t="s">
        <v>74</v>
      </c>
      <c r="F370" t="s">
        <v>3435</v>
      </c>
      <c r="G370" t="s">
        <v>74</v>
      </c>
      <c r="H370" t="s">
        <v>74</v>
      </c>
      <c r="I370" t="s">
        <v>3436</v>
      </c>
      <c r="J370" t="s">
        <v>3437</v>
      </c>
      <c r="K370" t="s">
        <v>74</v>
      </c>
      <c r="L370" t="s">
        <v>74</v>
      </c>
      <c r="M370" t="s">
        <v>74</v>
      </c>
      <c r="N370" t="s">
        <v>74</v>
      </c>
      <c r="O370" t="s">
        <v>74</v>
      </c>
      <c r="P370" t="s">
        <v>74</v>
      </c>
      <c r="Q370" t="s">
        <v>74</v>
      </c>
      <c r="R370" t="s">
        <v>74</v>
      </c>
      <c r="S370" t="s">
        <v>74</v>
      </c>
      <c r="T370" t="s">
        <v>74</v>
      </c>
      <c r="U370" t="s">
        <v>74</v>
      </c>
      <c r="V370" t="s">
        <v>3462</v>
      </c>
      <c r="W370" t="s">
        <v>74</v>
      </c>
      <c r="X370" t="s">
        <v>74</v>
      </c>
      <c r="Y370" t="s">
        <v>74</v>
      </c>
      <c r="Z370" t="s">
        <v>74</v>
      </c>
      <c r="AA370" t="s">
        <v>74</v>
      </c>
      <c r="AB370" t="s">
        <v>74</v>
      </c>
      <c r="AC370" t="s">
        <v>74</v>
      </c>
      <c r="AD370" t="s">
        <v>74</v>
      </c>
      <c r="AE370" t="s">
        <v>74</v>
      </c>
      <c r="AF370" t="s">
        <v>74</v>
      </c>
      <c r="AG370" t="s">
        <v>74</v>
      </c>
      <c r="AH370" t="s">
        <v>74</v>
      </c>
      <c r="AI370" t="s">
        <v>74</v>
      </c>
      <c r="AJ370" t="s">
        <v>74</v>
      </c>
      <c r="AK370" t="s">
        <v>74</v>
      </c>
      <c r="AL370" t="s">
        <v>74</v>
      </c>
      <c r="AM370" t="s">
        <v>74</v>
      </c>
      <c r="AN370" t="s">
        <v>74</v>
      </c>
      <c r="AO370" t="s">
        <v>3439</v>
      </c>
      <c r="AP370" t="s">
        <v>3440</v>
      </c>
      <c r="AQ370" t="s">
        <v>74</v>
      </c>
      <c r="AR370" t="s">
        <v>74</v>
      </c>
      <c r="AS370" t="s">
        <v>74</v>
      </c>
      <c r="AT370" t="s">
        <v>435</v>
      </c>
      <c r="AU370">
        <v>2023</v>
      </c>
      <c r="AV370">
        <v>44</v>
      </c>
      <c r="AW370">
        <v>2</v>
      </c>
      <c r="AX370" t="s">
        <v>74</v>
      </c>
      <c r="AY370" t="s">
        <v>74</v>
      </c>
      <c r="AZ370" t="s">
        <v>74</v>
      </c>
      <c r="BA370" t="s">
        <v>74</v>
      </c>
      <c r="BB370">
        <v>281</v>
      </c>
      <c r="BC370">
        <v>284</v>
      </c>
      <c r="BD370" t="s">
        <v>74</v>
      </c>
      <c r="BE370" t="s">
        <v>3441</v>
      </c>
      <c r="BF370" t="str">
        <f>HYPERLINK("http://dx.doi.org/10.1109/LED.2022.3228529","http://dx.doi.org/10.1109/LED.2022.3228529")</f>
        <v>http://dx.doi.org/10.1109/LED.2022.3228529</v>
      </c>
      <c r="BG370" t="s">
        <v>74</v>
      </c>
      <c r="BH370" t="s">
        <v>74</v>
      </c>
      <c r="BI370" t="s">
        <v>74</v>
      </c>
      <c r="BJ370" t="s">
        <v>74</v>
      </c>
      <c r="BK370" t="s">
        <v>74</v>
      </c>
      <c r="BL370" t="s">
        <v>74</v>
      </c>
      <c r="BM370" t="s">
        <v>74</v>
      </c>
      <c r="BN370" t="s">
        <v>74</v>
      </c>
      <c r="BO370" t="s">
        <v>74</v>
      </c>
      <c r="BP370" t="s">
        <v>74</v>
      </c>
      <c r="BQ370" t="s">
        <v>74</v>
      </c>
      <c r="BR370" t="s">
        <v>74</v>
      </c>
      <c r="BS370" t="s">
        <v>3463</v>
      </c>
      <c r="BT370" t="str">
        <f>HYPERLINK("https%3A%2F%2Fwww.webofscience.com%2Fwos%2Fwoscc%2Ffull-record%2FWOS:000967587800023","View Full Record in Web of Science")</f>
        <v>View Full Record in Web of Science</v>
      </c>
    </row>
    <row r="371" spans="1:72" x14ac:dyDescent="0.25">
      <c r="A371" t="s">
        <v>84</v>
      </c>
      <c r="B371" t="s">
        <v>3464</v>
      </c>
      <c r="C371" t="s">
        <v>74</v>
      </c>
      <c r="D371" t="s">
        <v>74</v>
      </c>
      <c r="E371" t="s">
        <v>233</v>
      </c>
      <c r="F371" t="s">
        <v>3465</v>
      </c>
      <c r="G371" t="s">
        <v>74</v>
      </c>
      <c r="H371" t="s">
        <v>74</v>
      </c>
      <c r="I371" t="s">
        <v>3466</v>
      </c>
      <c r="J371" t="s">
        <v>1689</v>
      </c>
      <c r="K371" t="s">
        <v>1690</v>
      </c>
      <c r="L371" t="s">
        <v>74</v>
      </c>
      <c r="M371" t="s">
        <v>74</v>
      </c>
      <c r="N371" t="s">
        <v>74</v>
      </c>
      <c r="O371" t="s">
        <v>1691</v>
      </c>
      <c r="P371" t="s">
        <v>1692</v>
      </c>
      <c r="Q371" t="s">
        <v>1693</v>
      </c>
      <c r="R371" t="s">
        <v>1694</v>
      </c>
      <c r="S371" t="s">
        <v>74</v>
      </c>
      <c r="T371" t="s">
        <v>74</v>
      </c>
      <c r="U371" t="s">
        <v>74</v>
      </c>
      <c r="V371" t="s">
        <v>3467</v>
      </c>
      <c r="W371" t="s">
        <v>74</v>
      </c>
      <c r="X371" t="s">
        <v>74</v>
      </c>
      <c r="Y371" t="s">
        <v>74</v>
      </c>
      <c r="Z371" t="s">
        <v>74</v>
      </c>
      <c r="AA371" t="s">
        <v>74</v>
      </c>
      <c r="AB371" t="s">
        <v>811</v>
      </c>
      <c r="AC371" t="s">
        <v>74</v>
      </c>
      <c r="AD371" t="s">
        <v>74</v>
      </c>
      <c r="AE371" t="s">
        <v>74</v>
      </c>
      <c r="AF371" t="s">
        <v>74</v>
      </c>
      <c r="AG371" t="s">
        <v>74</v>
      </c>
      <c r="AH371" t="s">
        <v>74</v>
      </c>
      <c r="AI371" t="s">
        <v>74</v>
      </c>
      <c r="AJ371" t="s">
        <v>74</v>
      </c>
      <c r="AK371" t="s">
        <v>74</v>
      </c>
      <c r="AL371" t="s">
        <v>74</v>
      </c>
      <c r="AM371" t="s">
        <v>74</v>
      </c>
      <c r="AN371" t="s">
        <v>74</v>
      </c>
      <c r="AO371" t="s">
        <v>1696</v>
      </c>
      <c r="AP371" t="s">
        <v>1697</v>
      </c>
      <c r="AQ371" t="s">
        <v>1698</v>
      </c>
      <c r="AR371" t="s">
        <v>74</v>
      </c>
      <c r="AS371" t="s">
        <v>74</v>
      </c>
      <c r="AT371" t="s">
        <v>74</v>
      </c>
      <c r="AU371">
        <v>2022</v>
      </c>
      <c r="AV371" t="s">
        <v>74</v>
      </c>
      <c r="AW371" t="s">
        <v>74</v>
      </c>
      <c r="AX371" t="s">
        <v>74</v>
      </c>
      <c r="AY371" t="s">
        <v>74</v>
      </c>
      <c r="AZ371" t="s">
        <v>74</v>
      </c>
      <c r="BA371" t="s">
        <v>74</v>
      </c>
      <c r="BB371">
        <v>44</v>
      </c>
      <c r="BC371">
        <v>54</v>
      </c>
      <c r="BD371" t="s">
        <v>74</v>
      </c>
      <c r="BE371" t="s">
        <v>3468</v>
      </c>
      <c r="BF371" t="str">
        <f>HYPERLINK("http://dx.doi.org/10.1109/ISMAR-Adjunct57072.2022.00019","http://dx.doi.org/10.1109/ISMAR-Adjunct57072.2022.00019")</f>
        <v>http://dx.doi.org/10.1109/ISMAR-Adjunct57072.2022.00019</v>
      </c>
      <c r="BG371" t="s">
        <v>74</v>
      </c>
      <c r="BH371" t="s">
        <v>74</v>
      </c>
      <c r="BI371" t="s">
        <v>74</v>
      </c>
      <c r="BJ371" t="s">
        <v>74</v>
      </c>
      <c r="BK371" t="s">
        <v>74</v>
      </c>
      <c r="BL371" t="s">
        <v>74</v>
      </c>
      <c r="BM371" t="s">
        <v>74</v>
      </c>
      <c r="BN371" t="s">
        <v>74</v>
      </c>
      <c r="BO371" t="s">
        <v>74</v>
      </c>
      <c r="BP371" t="s">
        <v>74</v>
      </c>
      <c r="BQ371" t="s">
        <v>74</v>
      </c>
      <c r="BR371" t="s">
        <v>74</v>
      </c>
      <c r="BS371" t="s">
        <v>3469</v>
      </c>
      <c r="BT371" t="str">
        <f>HYPERLINK("https%3A%2F%2Fwww.webofscience.com%2Fwos%2Fwoscc%2Ffull-record%2FWOS:000918030200010","View Full Record in Web of Science")</f>
        <v>View Full Record in Web of Science</v>
      </c>
    </row>
    <row r="372" spans="1:72" x14ac:dyDescent="0.25">
      <c r="A372" t="s">
        <v>72</v>
      </c>
      <c r="B372" t="s">
        <v>3470</v>
      </c>
      <c r="C372" t="s">
        <v>74</v>
      </c>
      <c r="D372" t="s">
        <v>74</v>
      </c>
      <c r="E372" t="s">
        <v>74</v>
      </c>
      <c r="F372" t="s">
        <v>3471</v>
      </c>
      <c r="G372" t="s">
        <v>74</v>
      </c>
      <c r="H372" t="s">
        <v>74</v>
      </c>
      <c r="I372" t="s">
        <v>3472</v>
      </c>
      <c r="J372" t="s">
        <v>2227</v>
      </c>
      <c r="K372" t="s">
        <v>74</v>
      </c>
      <c r="L372" t="s">
        <v>74</v>
      </c>
      <c r="M372" t="s">
        <v>74</v>
      </c>
      <c r="N372" t="s">
        <v>74</v>
      </c>
      <c r="O372" t="s">
        <v>74</v>
      </c>
      <c r="P372" t="s">
        <v>74</v>
      </c>
      <c r="Q372" t="s">
        <v>74</v>
      </c>
      <c r="R372" t="s">
        <v>74</v>
      </c>
      <c r="S372" t="s">
        <v>74</v>
      </c>
      <c r="T372" t="s">
        <v>74</v>
      </c>
      <c r="U372" t="s">
        <v>74</v>
      </c>
      <c r="V372" t="s">
        <v>3473</v>
      </c>
      <c r="W372" t="s">
        <v>74</v>
      </c>
      <c r="X372" t="s">
        <v>74</v>
      </c>
      <c r="Y372" t="s">
        <v>74</v>
      </c>
      <c r="Z372" t="s">
        <v>74</v>
      </c>
      <c r="AA372" t="s">
        <v>3474</v>
      </c>
      <c r="AB372" t="s">
        <v>3475</v>
      </c>
      <c r="AC372" t="s">
        <v>74</v>
      </c>
      <c r="AD372" t="s">
        <v>74</v>
      </c>
      <c r="AE372" t="s">
        <v>74</v>
      </c>
      <c r="AF372" t="s">
        <v>74</v>
      </c>
      <c r="AG372" t="s">
        <v>74</v>
      </c>
      <c r="AH372" t="s">
        <v>74</v>
      </c>
      <c r="AI372" t="s">
        <v>74</v>
      </c>
      <c r="AJ372" t="s">
        <v>74</v>
      </c>
      <c r="AK372" t="s">
        <v>74</v>
      </c>
      <c r="AL372" t="s">
        <v>74</v>
      </c>
      <c r="AM372" t="s">
        <v>74</v>
      </c>
      <c r="AN372" t="s">
        <v>74</v>
      </c>
      <c r="AO372" t="s">
        <v>2231</v>
      </c>
      <c r="AP372" t="s">
        <v>74</v>
      </c>
      <c r="AQ372" t="s">
        <v>74</v>
      </c>
      <c r="AR372" t="s">
        <v>74</v>
      </c>
      <c r="AS372" t="s">
        <v>74</v>
      </c>
      <c r="AT372" t="s">
        <v>2508</v>
      </c>
      <c r="AU372">
        <v>2022</v>
      </c>
      <c r="AV372">
        <v>30</v>
      </c>
      <c r="AW372">
        <v>10</v>
      </c>
      <c r="AX372" t="s">
        <v>74</v>
      </c>
      <c r="AY372" t="s">
        <v>74</v>
      </c>
      <c r="AZ372" t="s">
        <v>74</v>
      </c>
      <c r="BA372" t="s">
        <v>74</v>
      </c>
      <c r="BB372">
        <v>15929</v>
      </c>
      <c r="BC372">
        <v>15938</v>
      </c>
      <c r="BD372" t="s">
        <v>74</v>
      </c>
      <c r="BE372" t="s">
        <v>3476</v>
      </c>
      <c r="BF372" t="str">
        <f>HYPERLINK("http://dx.doi.org/10.1364/OE.456824","http://dx.doi.org/10.1364/OE.456824")</f>
        <v>http://dx.doi.org/10.1364/OE.456824</v>
      </c>
      <c r="BG372" t="s">
        <v>74</v>
      </c>
      <c r="BH372" t="s">
        <v>74</v>
      </c>
      <c r="BI372" t="s">
        <v>74</v>
      </c>
      <c r="BJ372" t="s">
        <v>74</v>
      </c>
      <c r="BK372" t="s">
        <v>74</v>
      </c>
      <c r="BL372" t="s">
        <v>74</v>
      </c>
      <c r="BM372" t="s">
        <v>74</v>
      </c>
      <c r="BN372">
        <v>36221447</v>
      </c>
      <c r="BO372" t="s">
        <v>74</v>
      </c>
      <c r="BP372" t="s">
        <v>74</v>
      </c>
      <c r="BQ372" t="s">
        <v>74</v>
      </c>
      <c r="BR372" t="s">
        <v>74</v>
      </c>
      <c r="BS372" t="s">
        <v>3477</v>
      </c>
      <c r="BT372" t="str">
        <f>HYPERLINK("https%3A%2F%2Fwww.webofscience.com%2Fwos%2Fwoscc%2Ffull-record%2FWOS:000796530400052","View Full Record in Web of Science")</f>
        <v>View Full Record in Web of Science</v>
      </c>
    </row>
    <row r="373" spans="1:72" x14ac:dyDescent="0.25">
      <c r="A373" t="s">
        <v>84</v>
      </c>
      <c r="B373" t="s">
        <v>3478</v>
      </c>
      <c r="C373" t="s">
        <v>74</v>
      </c>
      <c r="D373" t="s">
        <v>3479</v>
      </c>
      <c r="E373" t="s">
        <v>74</v>
      </c>
      <c r="F373" t="s">
        <v>3480</v>
      </c>
      <c r="G373" t="s">
        <v>74</v>
      </c>
      <c r="H373" t="s">
        <v>74</v>
      </c>
      <c r="I373" t="s">
        <v>3481</v>
      </c>
      <c r="J373" t="s">
        <v>3482</v>
      </c>
      <c r="K373" t="s">
        <v>3415</v>
      </c>
      <c r="L373" t="s">
        <v>74</v>
      </c>
      <c r="M373" t="s">
        <v>74</v>
      </c>
      <c r="N373" t="s">
        <v>74</v>
      </c>
      <c r="O373" t="s">
        <v>3483</v>
      </c>
      <c r="P373" t="s">
        <v>3484</v>
      </c>
      <c r="Q373" t="s">
        <v>108</v>
      </c>
      <c r="R373" t="s">
        <v>3419</v>
      </c>
      <c r="S373" t="s">
        <v>74</v>
      </c>
      <c r="T373" t="s">
        <v>74</v>
      </c>
      <c r="U373" t="s">
        <v>74</v>
      </c>
      <c r="V373" t="s">
        <v>3485</v>
      </c>
      <c r="W373" t="s">
        <v>74</v>
      </c>
      <c r="X373" t="s">
        <v>74</v>
      </c>
      <c r="Y373" t="s">
        <v>74</v>
      </c>
      <c r="Z373" t="s">
        <v>74</v>
      </c>
      <c r="AA373" t="s">
        <v>74</v>
      </c>
      <c r="AB373" t="s">
        <v>74</v>
      </c>
      <c r="AC373" t="s">
        <v>74</v>
      </c>
      <c r="AD373" t="s">
        <v>74</v>
      </c>
      <c r="AE373" t="s">
        <v>74</v>
      </c>
      <c r="AF373" t="s">
        <v>74</v>
      </c>
      <c r="AG373" t="s">
        <v>74</v>
      </c>
      <c r="AH373" t="s">
        <v>74</v>
      </c>
      <c r="AI373" t="s">
        <v>74</v>
      </c>
      <c r="AJ373" t="s">
        <v>74</v>
      </c>
      <c r="AK373" t="s">
        <v>74</v>
      </c>
      <c r="AL373" t="s">
        <v>74</v>
      </c>
      <c r="AM373" t="s">
        <v>74</v>
      </c>
      <c r="AN373" t="s">
        <v>74</v>
      </c>
      <c r="AO373" t="s">
        <v>3421</v>
      </c>
      <c r="AP373" t="s">
        <v>3422</v>
      </c>
      <c r="AQ373" t="s">
        <v>3486</v>
      </c>
      <c r="AR373" t="s">
        <v>74</v>
      </c>
      <c r="AS373" t="s">
        <v>74</v>
      </c>
      <c r="AT373" t="s">
        <v>74</v>
      </c>
      <c r="AU373">
        <v>2022</v>
      </c>
      <c r="AV373">
        <v>12025</v>
      </c>
      <c r="AW373" t="s">
        <v>74</v>
      </c>
      <c r="AX373" t="s">
        <v>74</v>
      </c>
      <c r="AY373" t="s">
        <v>74</v>
      </c>
      <c r="AZ373" t="s">
        <v>74</v>
      </c>
      <c r="BA373" t="s">
        <v>74</v>
      </c>
      <c r="BB373" t="s">
        <v>74</v>
      </c>
      <c r="BC373" t="s">
        <v>74</v>
      </c>
      <c r="BD373">
        <v>1202502</v>
      </c>
      <c r="BE373" t="s">
        <v>3487</v>
      </c>
      <c r="BF373" t="str">
        <f>HYPERLINK("http://dx.doi.org/10.1117/12.2613577","http://dx.doi.org/10.1117/12.2613577")</f>
        <v>http://dx.doi.org/10.1117/12.2613577</v>
      </c>
      <c r="BG373" t="s">
        <v>74</v>
      </c>
      <c r="BH373" t="s">
        <v>74</v>
      </c>
      <c r="BI373" t="s">
        <v>74</v>
      </c>
      <c r="BJ373" t="s">
        <v>74</v>
      </c>
      <c r="BK373" t="s">
        <v>74</v>
      </c>
      <c r="BL373" t="s">
        <v>74</v>
      </c>
      <c r="BM373" t="s">
        <v>74</v>
      </c>
      <c r="BN373" t="s">
        <v>74</v>
      </c>
      <c r="BO373" t="s">
        <v>74</v>
      </c>
      <c r="BP373" t="s">
        <v>74</v>
      </c>
      <c r="BQ373" t="s">
        <v>74</v>
      </c>
      <c r="BR373" t="s">
        <v>74</v>
      </c>
      <c r="BS373" t="s">
        <v>3488</v>
      </c>
      <c r="BT373" t="str">
        <f>HYPERLINK("https%3A%2F%2Fwww.webofscience.com%2Fwos%2Fwoscc%2Ffull-record%2FWOS:000831853000001","View Full Record in Web of Science")</f>
        <v>View Full Record in Web of Science</v>
      </c>
    </row>
    <row r="374" spans="1:72" x14ac:dyDescent="0.25">
      <c r="A374" t="s">
        <v>72</v>
      </c>
      <c r="B374" t="s">
        <v>3489</v>
      </c>
      <c r="C374" t="s">
        <v>74</v>
      </c>
      <c r="D374" t="s">
        <v>74</v>
      </c>
      <c r="E374" t="s">
        <v>74</v>
      </c>
      <c r="F374" t="s">
        <v>3490</v>
      </c>
      <c r="G374" t="s">
        <v>74</v>
      </c>
      <c r="H374" t="s">
        <v>74</v>
      </c>
      <c r="I374" t="s">
        <v>3491</v>
      </c>
      <c r="J374" t="s">
        <v>201</v>
      </c>
      <c r="K374" t="s">
        <v>74</v>
      </c>
      <c r="L374" t="s">
        <v>74</v>
      </c>
      <c r="M374" t="s">
        <v>74</v>
      </c>
      <c r="N374" t="s">
        <v>74</v>
      </c>
      <c r="O374" t="s">
        <v>74</v>
      </c>
      <c r="P374" t="s">
        <v>74</v>
      </c>
      <c r="Q374" t="s">
        <v>74</v>
      </c>
      <c r="R374" t="s">
        <v>74</v>
      </c>
      <c r="S374" t="s">
        <v>74</v>
      </c>
      <c r="T374" t="s">
        <v>74</v>
      </c>
      <c r="U374" t="s">
        <v>74</v>
      </c>
      <c r="V374" t="s">
        <v>3492</v>
      </c>
      <c r="W374" t="s">
        <v>74</v>
      </c>
      <c r="X374" t="s">
        <v>74</v>
      </c>
      <c r="Y374" t="s">
        <v>74</v>
      </c>
      <c r="Z374" t="s">
        <v>74</v>
      </c>
      <c r="AA374" t="s">
        <v>3493</v>
      </c>
      <c r="AB374" t="s">
        <v>3494</v>
      </c>
      <c r="AC374" t="s">
        <v>74</v>
      </c>
      <c r="AD374" t="s">
        <v>74</v>
      </c>
      <c r="AE374" t="s">
        <v>74</v>
      </c>
      <c r="AF374" t="s">
        <v>74</v>
      </c>
      <c r="AG374" t="s">
        <v>74</v>
      </c>
      <c r="AH374" t="s">
        <v>74</v>
      </c>
      <c r="AI374" t="s">
        <v>74</v>
      </c>
      <c r="AJ374" t="s">
        <v>74</v>
      </c>
      <c r="AK374" t="s">
        <v>74</v>
      </c>
      <c r="AL374" t="s">
        <v>74</v>
      </c>
      <c r="AM374" t="s">
        <v>74</v>
      </c>
      <c r="AN374" t="s">
        <v>74</v>
      </c>
      <c r="AO374" t="s">
        <v>205</v>
      </c>
      <c r="AP374" t="s">
        <v>74</v>
      </c>
      <c r="AQ374" t="s">
        <v>74</v>
      </c>
      <c r="AR374" t="s">
        <v>74</v>
      </c>
      <c r="AS374" t="s">
        <v>74</v>
      </c>
      <c r="AT374" t="s">
        <v>74</v>
      </c>
      <c r="AU374">
        <v>2023</v>
      </c>
      <c r="AV374">
        <v>11</v>
      </c>
      <c r="AW374" t="s">
        <v>74</v>
      </c>
      <c r="AX374" t="s">
        <v>74</v>
      </c>
      <c r="AY374" t="s">
        <v>74</v>
      </c>
      <c r="AZ374" t="s">
        <v>74</v>
      </c>
      <c r="BA374" t="s">
        <v>74</v>
      </c>
      <c r="BB374">
        <v>9859</v>
      </c>
      <c r="BC374">
        <v>9875</v>
      </c>
      <c r="BD374" t="s">
        <v>74</v>
      </c>
      <c r="BE374" t="s">
        <v>3495</v>
      </c>
      <c r="BF374" t="str">
        <f>HYPERLINK("http://dx.doi.org/10.1109/ACCESS.2023.3240071","http://dx.doi.org/10.1109/ACCESS.2023.3240071")</f>
        <v>http://dx.doi.org/10.1109/ACCESS.2023.3240071</v>
      </c>
      <c r="BG374" t="s">
        <v>74</v>
      </c>
      <c r="BH374" t="s">
        <v>74</v>
      </c>
      <c r="BI374" t="s">
        <v>74</v>
      </c>
      <c r="BJ374" t="s">
        <v>74</v>
      </c>
      <c r="BK374" t="s">
        <v>74</v>
      </c>
      <c r="BL374" t="s">
        <v>74</v>
      </c>
      <c r="BM374" t="s">
        <v>74</v>
      </c>
      <c r="BN374" t="s">
        <v>74</v>
      </c>
      <c r="BO374" t="s">
        <v>74</v>
      </c>
      <c r="BP374" t="s">
        <v>74</v>
      </c>
      <c r="BQ374" t="s">
        <v>74</v>
      </c>
      <c r="BR374" t="s">
        <v>74</v>
      </c>
      <c r="BS374" t="s">
        <v>3496</v>
      </c>
      <c r="BT374" t="str">
        <f>HYPERLINK("https%3A%2F%2Fwww.webofscience.com%2Fwos%2Fwoscc%2Ffull-record%2FWOS:000927849200001","View Full Record in Web of Science")</f>
        <v>View Full Record in Web of Science</v>
      </c>
    </row>
    <row r="375" spans="1:72" x14ac:dyDescent="0.25">
      <c r="A375" t="s">
        <v>72</v>
      </c>
      <c r="B375" t="s">
        <v>3497</v>
      </c>
      <c r="C375" t="s">
        <v>74</v>
      </c>
      <c r="D375" t="s">
        <v>74</v>
      </c>
      <c r="E375" t="s">
        <v>74</v>
      </c>
      <c r="F375" t="s">
        <v>3498</v>
      </c>
      <c r="G375" t="s">
        <v>74</v>
      </c>
      <c r="H375" t="s">
        <v>74</v>
      </c>
      <c r="I375" t="s">
        <v>3499</v>
      </c>
      <c r="J375" t="s">
        <v>873</v>
      </c>
      <c r="K375" t="s">
        <v>74</v>
      </c>
      <c r="L375" t="s">
        <v>74</v>
      </c>
      <c r="M375" t="s">
        <v>74</v>
      </c>
      <c r="N375" t="s">
        <v>74</v>
      </c>
      <c r="O375" t="s">
        <v>74</v>
      </c>
      <c r="P375" t="s">
        <v>74</v>
      </c>
      <c r="Q375" t="s">
        <v>74</v>
      </c>
      <c r="R375" t="s">
        <v>74</v>
      </c>
      <c r="S375" t="s">
        <v>74</v>
      </c>
      <c r="T375" t="s">
        <v>74</v>
      </c>
      <c r="U375" t="s">
        <v>74</v>
      </c>
      <c r="V375" t="s">
        <v>3500</v>
      </c>
      <c r="W375" t="s">
        <v>74</v>
      </c>
      <c r="X375" t="s">
        <v>74</v>
      </c>
      <c r="Y375" t="s">
        <v>74</v>
      </c>
      <c r="Z375" t="s">
        <v>74</v>
      </c>
      <c r="AA375" t="s">
        <v>74</v>
      </c>
      <c r="AB375" t="s">
        <v>74</v>
      </c>
      <c r="AC375" t="s">
        <v>74</v>
      </c>
      <c r="AD375" t="s">
        <v>74</v>
      </c>
      <c r="AE375" t="s">
        <v>74</v>
      </c>
      <c r="AF375" t="s">
        <v>74</v>
      </c>
      <c r="AG375" t="s">
        <v>74</v>
      </c>
      <c r="AH375" t="s">
        <v>74</v>
      </c>
      <c r="AI375" t="s">
        <v>74</v>
      </c>
      <c r="AJ375" t="s">
        <v>74</v>
      </c>
      <c r="AK375" t="s">
        <v>74</v>
      </c>
      <c r="AL375" t="s">
        <v>74</v>
      </c>
      <c r="AM375" t="s">
        <v>74</v>
      </c>
      <c r="AN375" t="s">
        <v>74</v>
      </c>
      <c r="AO375" t="s">
        <v>74</v>
      </c>
      <c r="AP375" t="s">
        <v>877</v>
      </c>
      <c r="AQ375" t="s">
        <v>74</v>
      </c>
      <c r="AR375" t="s">
        <v>74</v>
      </c>
      <c r="AS375" t="s">
        <v>74</v>
      </c>
      <c r="AT375" t="s">
        <v>195</v>
      </c>
      <c r="AU375">
        <v>2022</v>
      </c>
      <c r="AV375">
        <v>22</v>
      </c>
      <c r="AW375">
        <v>21</v>
      </c>
      <c r="AX375" t="s">
        <v>74</v>
      </c>
      <c r="AY375" t="s">
        <v>74</v>
      </c>
      <c r="AZ375" t="s">
        <v>74</v>
      </c>
      <c r="BA375" t="s">
        <v>74</v>
      </c>
      <c r="BB375" t="s">
        <v>74</v>
      </c>
      <c r="BC375" t="s">
        <v>74</v>
      </c>
      <c r="BD375">
        <v>8369</v>
      </c>
      <c r="BE375" t="s">
        <v>3501</v>
      </c>
      <c r="BF375" t="str">
        <f>HYPERLINK("http://dx.doi.org/10.3390/s22218369","http://dx.doi.org/10.3390/s22218369")</f>
        <v>http://dx.doi.org/10.3390/s22218369</v>
      </c>
      <c r="BG375" t="s">
        <v>74</v>
      </c>
      <c r="BH375" t="s">
        <v>74</v>
      </c>
      <c r="BI375" t="s">
        <v>74</v>
      </c>
      <c r="BJ375" t="s">
        <v>74</v>
      </c>
      <c r="BK375" t="s">
        <v>74</v>
      </c>
      <c r="BL375" t="s">
        <v>74</v>
      </c>
      <c r="BM375" t="s">
        <v>74</v>
      </c>
      <c r="BN375">
        <v>36366067</v>
      </c>
      <c r="BO375" t="s">
        <v>74</v>
      </c>
      <c r="BP375" t="s">
        <v>74</v>
      </c>
      <c r="BQ375" t="s">
        <v>74</v>
      </c>
      <c r="BR375" t="s">
        <v>74</v>
      </c>
      <c r="BS375" t="s">
        <v>3502</v>
      </c>
      <c r="BT375" t="str">
        <f>HYPERLINK("https%3A%2F%2Fwww.webofscience.com%2Fwos%2Fwoscc%2Ffull-record%2FWOS:000881679900001","View Full Record in Web of Science")</f>
        <v>View Full Record in Web of Science</v>
      </c>
    </row>
    <row r="376" spans="1:72" x14ac:dyDescent="0.25">
      <c r="A376" t="s">
        <v>84</v>
      </c>
      <c r="B376" t="s">
        <v>3503</v>
      </c>
      <c r="C376" t="s">
        <v>74</v>
      </c>
      <c r="D376" t="s">
        <v>74</v>
      </c>
      <c r="E376" t="s">
        <v>86</v>
      </c>
      <c r="F376" t="s">
        <v>3504</v>
      </c>
      <c r="G376" t="s">
        <v>74</v>
      </c>
      <c r="H376" t="s">
        <v>74</v>
      </c>
      <c r="I376" t="s">
        <v>3505</v>
      </c>
      <c r="J376" t="s">
        <v>3506</v>
      </c>
      <c r="K376" t="s">
        <v>74</v>
      </c>
      <c r="L376" t="s">
        <v>74</v>
      </c>
      <c r="M376" t="s">
        <v>74</v>
      </c>
      <c r="N376" t="s">
        <v>74</v>
      </c>
      <c r="O376" t="s">
        <v>3507</v>
      </c>
      <c r="P376" t="s">
        <v>3508</v>
      </c>
      <c r="Q376" t="s">
        <v>134</v>
      </c>
      <c r="R376" t="s">
        <v>3509</v>
      </c>
      <c r="S376" t="s">
        <v>74</v>
      </c>
      <c r="T376" t="s">
        <v>74</v>
      </c>
      <c r="U376" t="s">
        <v>74</v>
      </c>
      <c r="V376" t="s">
        <v>3510</v>
      </c>
      <c r="W376" t="s">
        <v>74</v>
      </c>
      <c r="X376" t="s">
        <v>74</v>
      </c>
      <c r="Y376" t="s">
        <v>74</v>
      </c>
      <c r="Z376" t="s">
        <v>74</v>
      </c>
      <c r="AA376" t="s">
        <v>74</v>
      </c>
      <c r="AB376" t="s">
        <v>3511</v>
      </c>
      <c r="AC376" t="s">
        <v>74</v>
      </c>
      <c r="AD376" t="s">
        <v>74</v>
      </c>
      <c r="AE376" t="s">
        <v>74</v>
      </c>
      <c r="AF376" t="s">
        <v>74</v>
      </c>
      <c r="AG376" t="s">
        <v>74</v>
      </c>
      <c r="AH376" t="s">
        <v>74</v>
      </c>
      <c r="AI376" t="s">
        <v>74</v>
      </c>
      <c r="AJ376" t="s">
        <v>74</v>
      </c>
      <c r="AK376" t="s">
        <v>74</v>
      </c>
      <c r="AL376" t="s">
        <v>74</v>
      </c>
      <c r="AM376" t="s">
        <v>74</v>
      </c>
      <c r="AN376" t="s">
        <v>74</v>
      </c>
      <c r="AO376" t="s">
        <v>74</v>
      </c>
      <c r="AP376" t="s">
        <v>74</v>
      </c>
      <c r="AQ376" t="s">
        <v>3512</v>
      </c>
      <c r="AR376" t="s">
        <v>74</v>
      </c>
      <c r="AS376" t="s">
        <v>74</v>
      </c>
      <c r="AT376" t="s">
        <v>74</v>
      </c>
      <c r="AU376">
        <v>2022</v>
      </c>
      <c r="AV376" t="s">
        <v>74</v>
      </c>
      <c r="AW376" t="s">
        <v>74</v>
      </c>
      <c r="AX376" t="s">
        <v>74</v>
      </c>
      <c r="AY376" t="s">
        <v>74</v>
      </c>
      <c r="AZ376" t="s">
        <v>74</v>
      </c>
      <c r="BA376" t="s">
        <v>74</v>
      </c>
      <c r="BB376">
        <v>304</v>
      </c>
      <c r="BC376">
        <v>309</v>
      </c>
      <c r="BD376" t="s">
        <v>74</v>
      </c>
      <c r="BE376" t="s">
        <v>3513</v>
      </c>
      <c r="BF376" t="str">
        <f>HYPERLINK("http://dx.doi.org/10.1109/ICOIN53446.2022.9687247","http://dx.doi.org/10.1109/ICOIN53446.2022.9687247")</f>
        <v>http://dx.doi.org/10.1109/ICOIN53446.2022.9687247</v>
      </c>
      <c r="BG376" t="s">
        <v>74</v>
      </c>
      <c r="BH376" t="s">
        <v>74</v>
      </c>
      <c r="BI376" t="s">
        <v>74</v>
      </c>
      <c r="BJ376" t="s">
        <v>74</v>
      </c>
      <c r="BK376" t="s">
        <v>74</v>
      </c>
      <c r="BL376" t="s">
        <v>74</v>
      </c>
      <c r="BM376" t="s">
        <v>74</v>
      </c>
      <c r="BN376" t="s">
        <v>74</v>
      </c>
      <c r="BO376" t="s">
        <v>74</v>
      </c>
      <c r="BP376" t="s">
        <v>74</v>
      </c>
      <c r="BQ376" t="s">
        <v>74</v>
      </c>
      <c r="BR376" t="s">
        <v>74</v>
      </c>
      <c r="BS376" t="s">
        <v>3514</v>
      </c>
      <c r="BT376" t="str">
        <f>HYPERLINK("https%3A%2F%2Fwww.webofscience.com%2Fwos%2Fwoscc%2Ffull-record%2FWOS:000781898100057","View Full Record in Web of Science")</f>
        <v>View Full Record in Web of Science</v>
      </c>
    </row>
    <row r="377" spans="1:72" x14ac:dyDescent="0.25">
      <c r="A377" t="s">
        <v>72</v>
      </c>
      <c r="B377" t="s">
        <v>3515</v>
      </c>
      <c r="C377" t="s">
        <v>74</v>
      </c>
      <c r="D377" t="s">
        <v>74</v>
      </c>
      <c r="E377" t="s">
        <v>74</v>
      </c>
      <c r="F377" t="s">
        <v>3516</v>
      </c>
      <c r="G377" t="s">
        <v>74</v>
      </c>
      <c r="H377" t="s">
        <v>74</v>
      </c>
      <c r="I377" t="s">
        <v>3517</v>
      </c>
      <c r="J377" t="s">
        <v>513</v>
      </c>
      <c r="K377" t="s">
        <v>74</v>
      </c>
      <c r="L377" t="s">
        <v>74</v>
      </c>
      <c r="M377" t="s">
        <v>74</v>
      </c>
      <c r="N377" t="s">
        <v>74</v>
      </c>
      <c r="O377" t="s">
        <v>74</v>
      </c>
      <c r="P377" t="s">
        <v>74</v>
      </c>
      <c r="Q377" t="s">
        <v>74</v>
      </c>
      <c r="R377" t="s">
        <v>74</v>
      </c>
      <c r="S377" t="s">
        <v>74</v>
      </c>
      <c r="T377" t="s">
        <v>74</v>
      </c>
      <c r="U377" t="s">
        <v>74</v>
      </c>
      <c r="V377" t="s">
        <v>3518</v>
      </c>
      <c r="W377" t="s">
        <v>74</v>
      </c>
      <c r="X377" t="s">
        <v>74</v>
      </c>
      <c r="Y377" t="s">
        <v>74</v>
      </c>
      <c r="Z377" t="s">
        <v>74</v>
      </c>
      <c r="AA377" t="s">
        <v>3519</v>
      </c>
      <c r="AB377" t="s">
        <v>3520</v>
      </c>
      <c r="AC377" t="s">
        <v>74</v>
      </c>
      <c r="AD377" t="s">
        <v>74</v>
      </c>
      <c r="AE377" t="s">
        <v>74</v>
      </c>
      <c r="AF377" t="s">
        <v>74</v>
      </c>
      <c r="AG377" t="s">
        <v>74</v>
      </c>
      <c r="AH377" t="s">
        <v>74</v>
      </c>
      <c r="AI377" t="s">
        <v>74</v>
      </c>
      <c r="AJ377" t="s">
        <v>74</v>
      </c>
      <c r="AK377" t="s">
        <v>74</v>
      </c>
      <c r="AL377" t="s">
        <v>74</v>
      </c>
      <c r="AM377" t="s">
        <v>74</v>
      </c>
      <c r="AN377" t="s">
        <v>74</v>
      </c>
      <c r="AO377" t="s">
        <v>74</v>
      </c>
      <c r="AP377" t="s">
        <v>517</v>
      </c>
      <c r="AQ377" t="s">
        <v>74</v>
      </c>
      <c r="AR377" t="s">
        <v>74</v>
      </c>
      <c r="AS377" t="s">
        <v>74</v>
      </c>
      <c r="AT377" t="s">
        <v>435</v>
      </c>
      <c r="AU377">
        <v>2023</v>
      </c>
      <c r="AV377">
        <v>11</v>
      </c>
      <c r="AW377">
        <v>3</v>
      </c>
      <c r="AX377" t="s">
        <v>74</v>
      </c>
      <c r="AY377" t="s">
        <v>74</v>
      </c>
      <c r="AZ377" t="s">
        <v>74</v>
      </c>
      <c r="BA377" t="s">
        <v>74</v>
      </c>
      <c r="BB377" t="s">
        <v>74</v>
      </c>
      <c r="BC377" t="s">
        <v>74</v>
      </c>
      <c r="BD377">
        <v>601</v>
      </c>
      <c r="BE377" t="s">
        <v>3521</v>
      </c>
      <c r="BF377" t="str">
        <f>HYPERLINK("http://dx.doi.org/10.3390/math11030601","http://dx.doi.org/10.3390/math11030601")</f>
        <v>http://dx.doi.org/10.3390/math11030601</v>
      </c>
      <c r="BG377" t="s">
        <v>74</v>
      </c>
      <c r="BH377" t="s">
        <v>74</v>
      </c>
      <c r="BI377" t="s">
        <v>74</v>
      </c>
      <c r="BJ377" t="s">
        <v>74</v>
      </c>
      <c r="BK377" t="s">
        <v>74</v>
      </c>
      <c r="BL377" t="s">
        <v>74</v>
      </c>
      <c r="BM377" t="s">
        <v>74</v>
      </c>
      <c r="BN377" t="s">
        <v>74</v>
      </c>
      <c r="BO377" t="s">
        <v>74</v>
      </c>
      <c r="BP377" t="s">
        <v>74</v>
      </c>
      <c r="BQ377" t="s">
        <v>74</v>
      </c>
      <c r="BR377" t="s">
        <v>74</v>
      </c>
      <c r="BS377" t="s">
        <v>3522</v>
      </c>
      <c r="BT377" t="str">
        <f>HYPERLINK("https%3A%2F%2Fwww.webofscience.com%2Fwos%2Fwoscc%2Ffull-record%2FWOS:000929576200001","View Full Record in Web of Science")</f>
        <v>View Full Record in Web of Science</v>
      </c>
    </row>
    <row r="378" spans="1:72" x14ac:dyDescent="0.25">
      <c r="A378" t="s">
        <v>72</v>
      </c>
      <c r="B378" t="s">
        <v>3523</v>
      </c>
      <c r="C378" t="s">
        <v>74</v>
      </c>
      <c r="D378" t="s">
        <v>74</v>
      </c>
      <c r="E378" t="s">
        <v>74</v>
      </c>
      <c r="F378" t="s">
        <v>3524</v>
      </c>
      <c r="G378" t="s">
        <v>74</v>
      </c>
      <c r="H378" t="s">
        <v>74</v>
      </c>
      <c r="I378" t="s">
        <v>3525</v>
      </c>
      <c r="J378" t="s">
        <v>77</v>
      </c>
      <c r="K378" t="s">
        <v>74</v>
      </c>
      <c r="L378" t="s">
        <v>74</v>
      </c>
      <c r="M378" t="s">
        <v>74</v>
      </c>
      <c r="N378" t="s">
        <v>74</v>
      </c>
      <c r="O378" t="s">
        <v>74</v>
      </c>
      <c r="P378" t="s">
        <v>74</v>
      </c>
      <c r="Q378" t="s">
        <v>74</v>
      </c>
      <c r="R378" t="s">
        <v>74</v>
      </c>
      <c r="S378" t="s">
        <v>74</v>
      </c>
      <c r="T378" t="s">
        <v>74</v>
      </c>
      <c r="U378" t="s">
        <v>74</v>
      </c>
      <c r="V378" t="s">
        <v>3526</v>
      </c>
      <c r="W378" t="s">
        <v>74</v>
      </c>
      <c r="X378" t="s">
        <v>74</v>
      </c>
      <c r="Y378" t="s">
        <v>74</v>
      </c>
      <c r="Z378" t="s">
        <v>74</v>
      </c>
      <c r="AA378" t="s">
        <v>3047</v>
      </c>
      <c r="AB378" t="s">
        <v>3048</v>
      </c>
      <c r="AC378" t="s">
        <v>74</v>
      </c>
      <c r="AD378" t="s">
        <v>74</v>
      </c>
      <c r="AE378" t="s">
        <v>74</v>
      </c>
      <c r="AF378" t="s">
        <v>74</v>
      </c>
      <c r="AG378" t="s">
        <v>74</v>
      </c>
      <c r="AH378" t="s">
        <v>74</v>
      </c>
      <c r="AI378" t="s">
        <v>74</v>
      </c>
      <c r="AJ378" t="s">
        <v>74</v>
      </c>
      <c r="AK378" t="s">
        <v>74</v>
      </c>
      <c r="AL378" t="s">
        <v>74</v>
      </c>
      <c r="AM378" t="s">
        <v>74</v>
      </c>
      <c r="AN378" t="s">
        <v>74</v>
      </c>
      <c r="AO378" t="s">
        <v>74</v>
      </c>
      <c r="AP378" t="s">
        <v>80</v>
      </c>
      <c r="AQ378" t="s">
        <v>74</v>
      </c>
      <c r="AR378" t="s">
        <v>74</v>
      </c>
      <c r="AS378" t="s">
        <v>74</v>
      </c>
      <c r="AT378" t="s">
        <v>435</v>
      </c>
      <c r="AU378">
        <v>2022</v>
      </c>
      <c r="AV378">
        <v>19</v>
      </c>
      <c r="AW378">
        <v>3</v>
      </c>
      <c r="AX378" t="s">
        <v>74</v>
      </c>
      <c r="AY378" t="s">
        <v>74</v>
      </c>
      <c r="AZ378" t="s">
        <v>74</v>
      </c>
      <c r="BA378" t="s">
        <v>74</v>
      </c>
      <c r="BB378" t="s">
        <v>74</v>
      </c>
      <c r="BC378" t="s">
        <v>74</v>
      </c>
      <c r="BD378">
        <v>1525</v>
      </c>
      <c r="BE378" t="s">
        <v>3527</v>
      </c>
      <c r="BF378" t="str">
        <f>HYPERLINK("http://dx.doi.org/10.3390/ijerph19031525","http://dx.doi.org/10.3390/ijerph19031525")</f>
        <v>http://dx.doi.org/10.3390/ijerph19031525</v>
      </c>
      <c r="BG378" t="s">
        <v>74</v>
      </c>
      <c r="BH378" t="s">
        <v>74</v>
      </c>
      <c r="BI378" t="s">
        <v>74</v>
      </c>
      <c r="BJ378" t="s">
        <v>74</v>
      </c>
      <c r="BK378" t="s">
        <v>74</v>
      </c>
      <c r="BL378" t="s">
        <v>74</v>
      </c>
      <c r="BM378" t="s">
        <v>74</v>
      </c>
      <c r="BN378">
        <v>35162546</v>
      </c>
      <c r="BO378" t="s">
        <v>74</v>
      </c>
      <c r="BP378" t="s">
        <v>74</v>
      </c>
      <c r="BQ378" t="s">
        <v>74</v>
      </c>
      <c r="BR378" t="s">
        <v>74</v>
      </c>
      <c r="BS378" t="s">
        <v>3528</v>
      </c>
      <c r="BT378" t="str">
        <f>HYPERLINK("https%3A%2F%2Fwww.webofscience.com%2Fwos%2Fwoscc%2Ffull-record%2FWOS:000754830600001","View Full Record in Web of Science")</f>
        <v>View Full Record in Web of Science</v>
      </c>
    </row>
    <row r="379" spans="1:72" x14ac:dyDescent="0.25">
      <c r="A379" t="s">
        <v>72</v>
      </c>
      <c r="B379" t="s">
        <v>3529</v>
      </c>
      <c r="C379" t="s">
        <v>74</v>
      </c>
      <c r="D379" t="s">
        <v>74</v>
      </c>
      <c r="E379" t="s">
        <v>74</v>
      </c>
      <c r="F379" t="s">
        <v>3530</v>
      </c>
      <c r="G379" t="s">
        <v>74</v>
      </c>
      <c r="H379" t="s">
        <v>74</v>
      </c>
      <c r="I379" t="s">
        <v>3531</v>
      </c>
      <c r="J379" t="s">
        <v>1712</v>
      </c>
      <c r="K379" t="s">
        <v>74</v>
      </c>
      <c r="L379" t="s">
        <v>74</v>
      </c>
      <c r="M379" t="s">
        <v>74</v>
      </c>
      <c r="N379" t="s">
        <v>74</v>
      </c>
      <c r="O379" t="s">
        <v>74</v>
      </c>
      <c r="P379" t="s">
        <v>74</v>
      </c>
      <c r="Q379" t="s">
        <v>74</v>
      </c>
      <c r="R379" t="s">
        <v>74</v>
      </c>
      <c r="S379" t="s">
        <v>74</v>
      </c>
      <c r="T379" t="s">
        <v>74</v>
      </c>
      <c r="U379" t="s">
        <v>74</v>
      </c>
      <c r="V379" t="s">
        <v>3532</v>
      </c>
      <c r="W379" t="s">
        <v>74</v>
      </c>
      <c r="X379" t="s">
        <v>74</v>
      </c>
      <c r="Y379" t="s">
        <v>74</v>
      </c>
      <c r="Z379" t="s">
        <v>74</v>
      </c>
      <c r="AA379" t="s">
        <v>3533</v>
      </c>
      <c r="AB379" t="s">
        <v>3534</v>
      </c>
      <c r="AC379" t="s">
        <v>74</v>
      </c>
      <c r="AD379" t="s">
        <v>74</v>
      </c>
      <c r="AE379" t="s">
        <v>74</v>
      </c>
      <c r="AF379" t="s">
        <v>74</v>
      </c>
      <c r="AG379" t="s">
        <v>74</v>
      </c>
      <c r="AH379" t="s">
        <v>74</v>
      </c>
      <c r="AI379" t="s">
        <v>74</v>
      </c>
      <c r="AJ379" t="s">
        <v>74</v>
      </c>
      <c r="AK379" t="s">
        <v>74</v>
      </c>
      <c r="AL379" t="s">
        <v>74</v>
      </c>
      <c r="AM379" t="s">
        <v>74</v>
      </c>
      <c r="AN379" t="s">
        <v>74</v>
      </c>
      <c r="AO379" t="s">
        <v>1713</v>
      </c>
      <c r="AP379" t="s">
        <v>1714</v>
      </c>
      <c r="AQ379" t="s">
        <v>74</v>
      </c>
      <c r="AR379" t="s">
        <v>74</v>
      </c>
      <c r="AS379" t="s">
        <v>74</v>
      </c>
      <c r="AT379" t="s">
        <v>712</v>
      </c>
      <c r="AU379">
        <v>2022</v>
      </c>
      <c r="AV379">
        <v>70</v>
      </c>
      <c r="AW379">
        <v>8</v>
      </c>
      <c r="AX379" t="s">
        <v>74</v>
      </c>
      <c r="AY379" t="s">
        <v>74</v>
      </c>
      <c r="AZ379" t="s">
        <v>74</v>
      </c>
      <c r="BA379" t="s">
        <v>74</v>
      </c>
      <c r="BB379">
        <v>3116</v>
      </c>
      <c r="BC379">
        <v>3121</v>
      </c>
      <c r="BD379" t="s">
        <v>74</v>
      </c>
      <c r="BE379" t="s">
        <v>3535</v>
      </c>
      <c r="BF379" t="str">
        <f>HYPERLINK("http://dx.doi.org/10.4103/ijo.IJO_120_22","http://dx.doi.org/10.4103/ijo.IJO_120_22")</f>
        <v>http://dx.doi.org/10.4103/ijo.IJO_120_22</v>
      </c>
      <c r="BG379" t="s">
        <v>74</v>
      </c>
      <c r="BH379" t="s">
        <v>74</v>
      </c>
      <c r="BI379" t="s">
        <v>74</v>
      </c>
      <c r="BJ379" t="s">
        <v>74</v>
      </c>
      <c r="BK379" t="s">
        <v>74</v>
      </c>
      <c r="BL379" t="s">
        <v>74</v>
      </c>
      <c r="BM379" t="s">
        <v>74</v>
      </c>
      <c r="BN379">
        <v>35918983</v>
      </c>
      <c r="BO379" t="s">
        <v>74</v>
      </c>
      <c r="BP379" t="s">
        <v>74</v>
      </c>
      <c r="BQ379" t="s">
        <v>74</v>
      </c>
      <c r="BR379" t="s">
        <v>74</v>
      </c>
      <c r="BS379" t="s">
        <v>3536</v>
      </c>
      <c r="BT379" t="str">
        <f>HYPERLINK("https%3A%2F%2Fwww.webofscience.com%2Fwos%2Fwoscc%2Ffull-record%2FWOS:000847240800070","View Full Record in Web of Science")</f>
        <v>View Full Record in Web of Science</v>
      </c>
    </row>
    <row r="380" spans="1:72" x14ac:dyDescent="0.25">
      <c r="A380" t="s">
        <v>84</v>
      </c>
      <c r="B380" t="s">
        <v>3503</v>
      </c>
      <c r="C380" t="s">
        <v>74</v>
      </c>
      <c r="D380" t="s">
        <v>74</v>
      </c>
      <c r="E380" t="s">
        <v>86</v>
      </c>
      <c r="F380" t="s">
        <v>3504</v>
      </c>
      <c r="G380" t="s">
        <v>74</v>
      </c>
      <c r="H380" t="s">
        <v>74</v>
      </c>
      <c r="I380" t="s">
        <v>3537</v>
      </c>
      <c r="J380" t="s">
        <v>3538</v>
      </c>
      <c r="K380" t="s">
        <v>3539</v>
      </c>
      <c r="L380" t="s">
        <v>74</v>
      </c>
      <c r="M380" t="s">
        <v>74</v>
      </c>
      <c r="N380" t="s">
        <v>74</v>
      </c>
      <c r="O380" t="s">
        <v>3540</v>
      </c>
      <c r="P380" t="s">
        <v>3541</v>
      </c>
      <c r="Q380" t="s">
        <v>3542</v>
      </c>
      <c r="R380" t="s">
        <v>3543</v>
      </c>
      <c r="S380" t="s">
        <v>74</v>
      </c>
      <c r="T380" t="s">
        <v>74</v>
      </c>
      <c r="U380" t="s">
        <v>74</v>
      </c>
      <c r="V380" t="s">
        <v>3544</v>
      </c>
      <c r="W380" t="s">
        <v>74</v>
      </c>
      <c r="X380" t="s">
        <v>74</v>
      </c>
      <c r="Y380" t="s">
        <v>74</v>
      </c>
      <c r="Z380" t="s">
        <v>74</v>
      </c>
      <c r="AA380" t="s">
        <v>74</v>
      </c>
      <c r="AB380" t="s">
        <v>3511</v>
      </c>
      <c r="AC380" t="s">
        <v>74</v>
      </c>
      <c r="AD380" t="s">
        <v>74</v>
      </c>
      <c r="AE380" t="s">
        <v>74</v>
      </c>
      <c r="AF380" t="s">
        <v>74</v>
      </c>
      <c r="AG380" t="s">
        <v>74</v>
      </c>
      <c r="AH380" t="s">
        <v>74</v>
      </c>
      <c r="AI380" t="s">
        <v>74</v>
      </c>
      <c r="AJ380" t="s">
        <v>74</v>
      </c>
      <c r="AK380" t="s">
        <v>74</v>
      </c>
      <c r="AL380" t="s">
        <v>74</v>
      </c>
      <c r="AM380" t="s">
        <v>74</v>
      </c>
      <c r="AN380" t="s">
        <v>74</v>
      </c>
      <c r="AO380" t="s">
        <v>3545</v>
      </c>
      <c r="AP380" t="s">
        <v>74</v>
      </c>
      <c r="AQ380" t="s">
        <v>3546</v>
      </c>
      <c r="AR380" t="s">
        <v>74</v>
      </c>
      <c r="AS380" t="s">
        <v>74</v>
      </c>
      <c r="AT380" t="s">
        <v>74</v>
      </c>
      <c r="AU380">
        <v>2021</v>
      </c>
      <c r="AV380" t="s">
        <v>74</v>
      </c>
      <c r="AW380" t="s">
        <v>74</v>
      </c>
      <c r="AX380" t="s">
        <v>74</v>
      </c>
      <c r="AY380" t="s">
        <v>74</v>
      </c>
      <c r="AZ380" t="s">
        <v>74</v>
      </c>
      <c r="BA380" t="s">
        <v>74</v>
      </c>
      <c r="BB380" t="s">
        <v>74</v>
      </c>
      <c r="BC380" t="s">
        <v>74</v>
      </c>
      <c r="BD380" t="s">
        <v>74</v>
      </c>
      <c r="BE380" t="s">
        <v>3547</v>
      </c>
      <c r="BF380" t="str">
        <f>HYPERLINK("http://dx.doi.org/10.1109/VCIP53242.2021.9675419","http://dx.doi.org/10.1109/VCIP53242.2021.9675419")</f>
        <v>http://dx.doi.org/10.1109/VCIP53242.2021.9675419</v>
      </c>
      <c r="BG380" t="s">
        <v>74</v>
      </c>
      <c r="BH380" t="s">
        <v>74</v>
      </c>
      <c r="BI380" t="s">
        <v>74</v>
      </c>
      <c r="BJ380" t="s">
        <v>74</v>
      </c>
      <c r="BK380" t="s">
        <v>74</v>
      </c>
      <c r="BL380" t="s">
        <v>74</v>
      </c>
      <c r="BM380" t="s">
        <v>74</v>
      </c>
      <c r="BN380" t="s">
        <v>74</v>
      </c>
      <c r="BO380" t="s">
        <v>74</v>
      </c>
      <c r="BP380" t="s">
        <v>74</v>
      </c>
      <c r="BQ380" t="s">
        <v>74</v>
      </c>
      <c r="BR380" t="s">
        <v>74</v>
      </c>
      <c r="BS380" t="s">
        <v>3548</v>
      </c>
      <c r="BT380" t="str">
        <f>HYPERLINK("https%3A%2F%2Fwww.webofscience.com%2Fwos%2Fwoscc%2Ffull-record%2FWOS:000768800300100","View Full Record in Web of Science")</f>
        <v>View Full Record in Web of Science</v>
      </c>
    </row>
    <row r="381" spans="1:72" x14ac:dyDescent="0.25">
      <c r="A381" t="s">
        <v>72</v>
      </c>
      <c r="B381" t="s">
        <v>3549</v>
      </c>
      <c r="C381" t="s">
        <v>74</v>
      </c>
      <c r="D381" t="s">
        <v>74</v>
      </c>
      <c r="E381" t="s">
        <v>74</v>
      </c>
      <c r="F381" t="s">
        <v>3550</v>
      </c>
      <c r="G381" t="s">
        <v>74</v>
      </c>
      <c r="H381" t="s">
        <v>74</v>
      </c>
      <c r="I381" t="s">
        <v>3551</v>
      </c>
      <c r="J381" t="s">
        <v>709</v>
      </c>
      <c r="K381" t="s">
        <v>74</v>
      </c>
      <c r="L381" t="s">
        <v>74</v>
      </c>
      <c r="M381" t="s">
        <v>74</v>
      </c>
      <c r="N381" t="s">
        <v>74</v>
      </c>
      <c r="O381" t="s">
        <v>74</v>
      </c>
      <c r="P381" t="s">
        <v>74</v>
      </c>
      <c r="Q381" t="s">
        <v>74</v>
      </c>
      <c r="R381" t="s">
        <v>74</v>
      </c>
      <c r="S381" t="s">
        <v>74</v>
      </c>
      <c r="T381" t="s">
        <v>74</v>
      </c>
      <c r="U381" t="s">
        <v>74</v>
      </c>
      <c r="V381" t="s">
        <v>3552</v>
      </c>
      <c r="W381" t="s">
        <v>74</v>
      </c>
      <c r="X381" t="s">
        <v>74</v>
      </c>
      <c r="Y381" t="s">
        <v>74</v>
      </c>
      <c r="Z381" t="s">
        <v>74</v>
      </c>
      <c r="AA381" t="s">
        <v>74</v>
      </c>
      <c r="AB381" t="s">
        <v>74</v>
      </c>
      <c r="AC381" t="s">
        <v>74</v>
      </c>
      <c r="AD381" t="s">
        <v>74</v>
      </c>
      <c r="AE381" t="s">
        <v>74</v>
      </c>
      <c r="AF381" t="s">
        <v>74</v>
      </c>
      <c r="AG381" t="s">
        <v>74</v>
      </c>
      <c r="AH381" t="s">
        <v>74</v>
      </c>
      <c r="AI381" t="s">
        <v>74</v>
      </c>
      <c r="AJ381" t="s">
        <v>74</v>
      </c>
      <c r="AK381" t="s">
        <v>74</v>
      </c>
      <c r="AL381" t="s">
        <v>74</v>
      </c>
      <c r="AM381" t="s">
        <v>74</v>
      </c>
      <c r="AN381" t="s">
        <v>74</v>
      </c>
      <c r="AO381" t="s">
        <v>74</v>
      </c>
      <c r="AP381" t="s">
        <v>711</v>
      </c>
      <c r="AQ381" t="s">
        <v>74</v>
      </c>
      <c r="AR381" t="s">
        <v>74</v>
      </c>
      <c r="AS381" t="s">
        <v>74</v>
      </c>
      <c r="AT381" t="s">
        <v>465</v>
      </c>
      <c r="AU381">
        <v>2022</v>
      </c>
      <c r="AV381">
        <v>12</v>
      </c>
      <c r="AW381">
        <v>23</v>
      </c>
      <c r="AX381" t="s">
        <v>74</v>
      </c>
      <c r="AY381" t="s">
        <v>74</v>
      </c>
      <c r="AZ381" t="s">
        <v>74</v>
      </c>
      <c r="BA381" t="s">
        <v>74</v>
      </c>
      <c r="BB381" t="s">
        <v>74</v>
      </c>
      <c r="BC381" t="s">
        <v>74</v>
      </c>
      <c r="BD381">
        <v>12467</v>
      </c>
      <c r="BE381" t="s">
        <v>3553</v>
      </c>
      <c r="BF381" t="str">
        <f>HYPERLINK("http://dx.doi.org/10.3390/app122312467","http://dx.doi.org/10.3390/app122312467")</f>
        <v>http://dx.doi.org/10.3390/app122312467</v>
      </c>
      <c r="BG381" t="s">
        <v>74</v>
      </c>
      <c r="BH381" t="s">
        <v>74</v>
      </c>
      <c r="BI381" t="s">
        <v>74</v>
      </c>
      <c r="BJ381" t="s">
        <v>74</v>
      </c>
      <c r="BK381" t="s">
        <v>74</v>
      </c>
      <c r="BL381" t="s">
        <v>74</v>
      </c>
      <c r="BM381" t="s">
        <v>74</v>
      </c>
      <c r="BN381" t="s">
        <v>74</v>
      </c>
      <c r="BO381" t="s">
        <v>74</v>
      </c>
      <c r="BP381" t="s">
        <v>74</v>
      </c>
      <c r="BQ381" t="s">
        <v>74</v>
      </c>
      <c r="BR381" t="s">
        <v>74</v>
      </c>
      <c r="BS381" t="s">
        <v>3554</v>
      </c>
      <c r="BT381" t="str">
        <f>HYPERLINK("https%3A%2F%2Fwww.webofscience.com%2Fwos%2Fwoscc%2Ffull-record%2FWOS:000912269400001","View Full Record in Web of Science")</f>
        <v>View Full Record in Web of Science</v>
      </c>
    </row>
    <row r="382" spans="1:72" x14ac:dyDescent="0.25">
      <c r="A382" t="s">
        <v>72</v>
      </c>
      <c r="B382" t="s">
        <v>3555</v>
      </c>
      <c r="C382" t="s">
        <v>74</v>
      </c>
      <c r="D382" t="s">
        <v>74</v>
      </c>
      <c r="E382" t="s">
        <v>74</v>
      </c>
      <c r="F382" t="s">
        <v>3556</v>
      </c>
      <c r="G382" t="s">
        <v>74</v>
      </c>
      <c r="H382" t="s">
        <v>74</v>
      </c>
      <c r="I382" t="s">
        <v>3557</v>
      </c>
      <c r="J382" t="s">
        <v>305</v>
      </c>
      <c r="K382" t="s">
        <v>74</v>
      </c>
      <c r="L382" t="s">
        <v>74</v>
      </c>
      <c r="M382" t="s">
        <v>74</v>
      </c>
      <c r="N382" t="s">
        <v>74</v>
      </c>
      <c r="O382" t="s">
        <v>74</v>
      </c>
      <c r="P382" t="s">
        <v>74</v>
      </c>
      <c r="Q382" t="s">
        <v>74</v>
      </c>
      <c r="R382" t="s">
        <v>74</v>
      </c>
      <c r="S382" t="s">
        <v>74</v>
      </c>
      <c r="T382" t="s">
        <v>74</v>
      </c>
      <c r="U382" t="s">
        <v>74</v>
      </c>
      <c r="V382" t="s">
        <v>3558</v>
      </c>
      <c r="W382" t="s">
        <v>74</v>
      </c>
      <c r="X382" t="s">
        <v>74</v>
      </c>
      <c r="Y382" t="s">
        <v>74</v>
      </c>
      <c r="Z382" t="s">
        <v>74</v>
      </c>
      <c r="AA382" t="s">
        <v>74</v>
      </c>
      <c r="AB382" t="s">
        <v>74</v>
      </c>
      <c r="AC382" t="s">
        <v>74</v>
      </c>
      <c r="AD382" t="s">
        <v>74</v>
      </c>
      <c r="AE382" t="s">
        <v>74</v>
      </c>
      <c r="AF382" t="s">
        <v>74</v>
      </c>
      <c r="AG382" t="s">
        <v>74</v>
      </c>
      <c r="AH382" t="s">
        <v>74</v>
      </c>
      <c r="AI382" t="s">
        <v>74</v>
      </c>
      <c r="AJ382" t="s">
        <v>74</v>
      </c>
      <c r="AK382" t="s">
        <v>74</v>
      </c>
      <c r="AL382" t="s">
        <v>74</v>
      </c>
      <c r="AM382" t="s">
        <v>74</v>
      </c>
      <c r="AN382" t="s">
        <v>74</v>
      </c>
      <c r="AO382" t="s">
        <v>307</v>
      </c>
      <c r="AP382" t="s">
        <v>308</v>
      </c>
      <c r="AQ382" t="s">
        <v>74</v>
      </c>
      <c r="AR382" t="s">
        <v>74</v>
      </c>
      <c r="AS382" t="s">
        <v>74</v>
      </c>
      <c r="AT382" t="s">
        <v>309</v>
      </c>
      <c r="AU382">
        <v>2022</v>
      </c>
      <c r="AV382">
        <v>24</v>
      </c>
      <c r="AW382">
        <v>6</v>
      </c>
      <c r="AX382" t="s">
        <v>74</v>
      </c>
      <c r="AY382" t="s">
        <v>74</v>
      </c>
      <c r="AZ382" t="s">
        <v>74</v>
      </c>
      <c r="BA382" t="s">
        <v>74</v>
      </c>
      <c r="BB382">
        <v>18</v>
      </c>
      <c r="BC382">
        <v>19</v>
      </c>
      <c r="BD382" t="s">
        <v>74</v>
      </c>
      <c r="BE382" t="s">
        <v>3559</v>
      </c>
      <c r="BF382" t="str">
        <f>HYPERLINK("http://dx.doi.org/10.1109/MITP.2022.3224263","http://dx.doi.org/10.1109/MITP.2022.3224263")</f>
        <v>http://dx.doi.org/10.1109/MITP.2022.3224263</v>
      </c>
      <c r="BG382" t="s">
        <v>74</v>
      </c>
      <c r="BH382" t="s">
        <v>74</v>
      </c>
      <c r="BI382" t="s">
        <v>74</v>
      </c>
      <c r="BJ382" t="s">
        <v>74</v>
      </c>
      <c r="BK382" t="s">
        <v>74</v>
      </c>
      <c r="BL382" t="s">
        <v>74</v>
      </c>
      <c r="BM382" t="s">
        <v>74</v>
      </c>
      <c r="BN382" t="s">
        <v>74</v>
      </c>
      <c r="BO382" t="s">
        <v>74</v>
      </c>
      <c r="BP382" t="s">
        <v>74</v>
      </c>
      <c r="BQ382" t="s">
        <v>74</v>
      </c>
      <c r="BR382" t="s">
        <v>74</v>
      </c>
      <c r="BS382" t="s">
        <v>3560</v>
      </c>
      <c r="BT382" t="str">
        <f>HYPERLINK("https%3A%2F%2Fwww.webofscience.com%2Fwos%2Fwoscc%2Ffull-record%2FWOS:000917257500005","View Full Record in Web of Science")</f>
        <v>View Full Record in Web of Science</v>
      </c>
    </row>
    <row r="383" spans="1:72" x14ac:dyDescent="0.25">
      <c r="A383" t="s">
        <v>72</v>
      </c>
      <c r="B383" t="s">
        <v>3561</v>
      </c>
      <c r="C383" t="s">
        <v>74</v>
      </c>
      <c r="D383" t="s">
        <v>74</v>
      </c>
      <c r="E383" t="s">
        <v>74</v>
      </c>
      <c r="F383" t="s">
        <v>3562</v>
      </c>
      <c r="G383" t="s">
        <v>74</v>
      </c>
      <c r="H383" t="s">
        <v>74</v>
      </c>
      <c r="I383" t="s">
        <v>3563</v>
      </c>
      <c r="J383" t="s">
        <v>873</v>
      </c>
      <c r="K383" t="s">
        <v>74</v>
      </c>
      <c r="L383" t="s">
        <v>74</v>
      </c>
      <c r="M383" t="s">
        <v>74</v>
      </c>
      <c r="N383" t="s">
        <v>74</v>
      </c>
      <c r="O383" t="s">
        <v>74</v>
      </c>
      <c r="P383" t="s">
        <v>74</v>
      </c>
      <c r="Q383" t="s">
        <v>74</v>
      </c>
      <c r="R383" t="s">
        <v>74</v>
      </c>
      <c r="S383" t="s">
        <v>74</v>
      </c>
      <c r="T383" t="s">
        <v>74</v>
      </c>
      <c r="U383" t="s">
        <v>74</v>
      </c>
      <c r="V383" t="s">
        <v>3564</v>
      </c>
      <c r="W383" t="s">
        <v>74</v>
      </c>
      <c r="X383" t="s">
        <v>74</v>
      </c>
      <c r="Y383" t="s">
        <v>74</v>
      </c>
      <c r="Z383" t="s">
        <v>74</v>
      </c>
      <c r="AA383" t="s">
        <v>74</v>
      </c>
      <c r="AB383" t="s">
        <v>3565</v>
      </c>
      <c r="AC383" t="s">
        <v>74</v>
      </c>
      <c r="AD383" t="s">
        <v>74</v>
      </c>
      <c r="AE383" t="s">
        <v>74</v>
      </c>
      <c r="AF383" t="s">
        <v>74</v>
      </c>
      <c r="AG383" t="s">
        <v>74</v>
      </c>
      <c r="AH383" t="s">
        <v>74</v>
      </c>
      <c r="AI383" t="s">
        <v>74</v>
      </c>
      <c r="AJ383" t="s">
        <v>74</v>
      </c>
      <c r="AK383" t="s">
        <v>74</v>
      </c>
      <c r="AL383" t="s">
        <v>74</v>
      </c>
      <c r="AM383" t="s">
        <v>74</v>
      </c>
      <c r="AN383" t="s">
        <v>74</v>
      </c>
      <c r="AO383" t="s">
        <v>74</v>
      </c>
      <c r="AP383" t="s">
        <v>877</v>
      </c>
      <c r="AQ383" t="s">
        <v>74</v>
      </c>
      <c r="AR383" t="s">
        <v>74</v>
      </c>
      <c r="AS383" t="s">
        <v>74</v>
      </c>
      <c r="AT383" t="s">
        <v>465</v>
      </c>
      <c r="AU383">
        <v>2021</v>
      </c>
      <c r="AV383">
        <v>21</v>
      </c>
      <c r="AW383">
        <v>24</v>
      </c>
      <c r="AX383" t="s">
        <v>74</v>
      </c>
      <c r="AY383" t="s">
        <v>74</v>
      </c>
      <c r="AZ383" t="s">
        <v>74</v>
      </c>
      <c r="BA383" t="s">
        <v>74</v>
      </c>
      <c r="BB383" t="s">
        <v>74</v>
      </c>
      <c r="BC383" t="s">
        <v>74</v>
      </c>
      <c r="BD383">
        <v>8382</v>
      </c>
      <c r="BE383" t="s">
        <v>3566</v>
      </c>
      <c r="BF383" t="str">
        <f>HYPERLINK("http://dx.doi.org/10.3390/s21248382","http://dx.doi.org/10.3390/s21248382")</f>
        <v>http://dx.doi.org/10.3390/s21248382</v>
      </c>
      <c r="BG383" t="s">
        <v>74</v>
      </c>
      <c r="BH383" t="s">
        <v>74</v>
      </c>
      <c r="BI383" t="s">
        <v>74</v>
      </c>
      <c r="BJ383" t="s">
        <v>74</v>
      </c>
      <c r="BK383" t="s">
        <v>74</v>
      </c>
      <c r="BL383" t="s">
        <v>74</v>
      </c>
      <c r="BM383" t="s">
        <v>74</v>
      </c>
      <c r="BN383">
        <v>34960470</v>
      </c>
      <c r="BO383" t="s">
        <v>74</v>
      </c>
      <c r="BP383" t="s">
        <v>74</v>
      </c>
      <c r="BQ383" t="s">
        <v>74</v>
      </c>
      <c r="BR383" t="s">
        <v>74</v>
      </c>
      <c r="BS383" t="s">
        <v>3567</v>
      </c>
      <c r="BT383" t="str">
        <f>HYPERLINK("https%3A%2F%2Fwww.webofscience.com%2Fwos%2Fwoscc%2Ffull-record%2FWOS:000737682800001","View Full Record in Web of Science")</f>
        <v>View Full Record in Web of Science</v>
      </c>
    </row>
    <row r="384" spans="1:72" x14ac:dyDescent="0.25">
      <c r="A384" t="s">
        <v>84</v>
      </c>
      <c r="B384" t="s">
        <v>3568</v>
      </c>
      <c r="C384" t="s">
        <v>74</v>
      </c>
      <c r="D384" t="s">
        <v>74</v>
      </c>
      <c r="E384" t="s">
        <v>86</v>
      </c>
      <c r="F384" t="s">
        <v>3569</v>
      </c>
      <c r="G384" t="s">
        <v>74</v>
      </c>
      <c r="H384" t="s">
        <v>74</v>
      </c>
      <c r="I384" t="s">
        <v>3570</v>
      </c>
      <c r="J384" t="s">
        <v>3571</v>
      </c>
      <c r="K384" t="s">
        <v>3572</v>
      </c>
      <c r="L384" t="s">
        <v>74</v>
      </c>
      <c r="M384" t="s">
        <v>74</v>
      </c>
      <c r="N384" t="s">
        <v>74</v>
      </c>
      <c r="O384" t="s">
        <v>3573</v>
      </c>
      <c r="P384" t="s">
        <v>3574</v>
      </c>
      <c r="Q384" t="s">
        <v>108</v>
      </c>
      <c r="R384" t="s">
        <v>86</v>
      </c>
      <c r="S384" t="s">
        <v>74</v>
      </c>
      <c r="T384" t="s">
        <v>74</v>
      </c>
      <c r="U384" t="s">
        <v>74</v>
      </c>
      <c r="V384" t="s">
        <v>3575</v>
      </c>
      <c r="W384" t="s">
        <v>74</v>
      </c>
      <c r="X384" t="s">
        <v>74</v>
      </c>
      <c r="Y384" t="s">
        <v>74</v>
      </c>
      <c r="Z384" t="s">
        <v>74</v>
      </c>
      <c r="AA384" t="s">
        <v>3576</v>
      </c>
      <c r="AB384" t="s">
        <v>3577</v>
      </c>
      <c r="AC384" t="s">
        <v>74</v>
      </c>
      <c r="AD384" t="s">
        <v>74</v>
      </c>
      <c r="AE384" t="s">
        <v>74</v>
      </c>
      <c r="AF384" t="s">
        <v>74</v>
      </c>
      <c r="AG384" t="s">
        <v>74</v>
      </c>
      <c r="AH384" t="s">
        <v>74</v>
      </c>
      <c r="AI384" t="s">
        <v>74</v>
      </c>
      <c r="AJ384" t="s">
        <v>74</v>
      </c>
      <c r="AK384" t="s">
        <v>74</v>
      </c>
      <c r="AL384" t="s">
        <v>74</v>
      </c>
      <c r="AM384" t="s">
        <v>74</v>
      </c>
      <c r="AN384" t="s">
        <v>74</v>
      </c>
      <c r="AO384" t="s">
        <v>3578</v>
      </c>
      <c r="AP384" t="s">
        <v>74</v>
      </c>
      <c r="AQ384" t="s">
        <v>3579</v>
      </c>
      <c r="AR384" t="s">
        <v>74</v>
      </c>
      <c r="AS384" t="s">
        <v>74</v>
      </c>
      <c r="AT384" t="s">
        <v>74</v>
      </c>
      <c r="AU384">
        <v>2022</v>
      </c>
      <c r="AV384" t="s">
        <v>74</v>
      </c>
      <c r="AW384" t="s">
        <v>74</v>
      </c>
      <c r="AX384" t="s">
        <v>74</v>
      </c>
      <c r="AY384" t="s">
        <v>74</v>
      </c>
      <c r="AZ384" t="s">
        <v>74</v>
      </c>
      <c r="BA384" t="s">
        <v>74</v>
      </c>
      <c r="BB384">
        <v>464</v>
      </c>
      <c r="BC384">
        <v>469</v>
      </c>
      <c r="BD384" t="s">
        <v>74</v>
      </c>
      <c r="BE384" t="s">
        <v>3580</v>
      </c>
      <c r="BF384" t="str">
        <f>HYPERLINK("http://dx.doi.org/10.1109/MDM55031.2022.00100","http://dx.doi.org/10.1109/MDM55031.2022.00100")</f>
        <v>http://dx.doi.org/10.1109/MDM55031.2022.00100</v>
      </c>
      <c r="BG384" t="s">
        <v>74</v>
      </c>
      <c r="BH384" t="s">
        <v>74</v>
      </c>
      <c r="BI384" t="s">
        <v>74</v>
      </c>
      <c r="BJ384" t="s">
        <v>74</v>
      </c>
      <c r="BK384" t="s">
        <v>74</v>
      </c>
      <c r="BL384" t="s">
        <v>74</v>
      </c>
      <c r="BM384" t="s">
        <v>74</v>
      </c>
      <c r="BN384" t="s">
        <v>74</v>
      </c>
      <c r="BO384" t="s">
        <v>74</v>
      </c>
      <c r="BP384" t="s">
        <v>74</v>
      </c>
      <c r="BQ384" t="s">
        <v>74</v>
      </c>
      <c r="BR384" t="s">
        <v>74</v>
      </c>
      <c r="BS384" t="s">
        <v>3581</v>
      </c>
      <c r="BT384" t="str">
        <f>HYPERLINK("https%3A%2F%2Fwww.webofscience.com%2Fwos%2Fwoscc%2Ffull-record%2FWOS:000861618300080","View Full Record in Web of Science")</f>
        <v>View Full Record in Web of Science</v>
      </c>
    </row>
    <row r="385" spans="1:72" x14ac:dyDescent="0.25">
      <c r="A385" t="s">
        <v>72</v>
      </c>
      <c r="B385" t="s">
        <v>3582</v>
      </c>
      <c r="C385" t="s">
        <v>74</v>
      </c>
      <c r="D385" t="s">
        <v>74</v>
      </c>
      <c r="E385" t="s">
        <v>74</v>
      </c>
      <c r="F385" t="s">
        <v>3583</v>
      </c>
      <c r="G385" t="s">
        <v>74</v>
      </c>
      <c r="H385" t="s">
        <v>74</v>
      </c>
      <c r="I385" t="s">
        <v>3584</v>
      </c>
      <c r="J385" t="s">
        <v>3199</v>
      </c>
      <c r="K385" t="s">
        <v>74</v>
      </c>
      <c r="L385" t="s">
        <v>74</v>
      </c>
      <c r="M385" t="s">
        <v>74</v>
      </c>
      <c r="N385" t="s">
        <v>74</v>
      </c>
      <c r="O385" t="s">
        <v>74</v>
      </c>
      <c r="P385" t="s">
        <v>74</v>
      </c>
      <c r="Q385" t="s">
        <v>74</v>
      </c>
      <c r="R385" t="s">
        <v>74</v>
      </c>
      <c r="S385" t="s">
        <v>74</v>
      </c>
      <c r="T385" t="s">
        <v>74</v>
      </c>
      <c r="U385" t="s">
        <v>74</v>
      </c>
      <c r="V385" t="s">
        <v>3585</v>
      </c>
      <c r="W385" t="s">
        <v>74</v>
      </c>
      <c r="X385" t="s">
        <v>74</v>
      </c>
      <c r="Y385" t="s">
        <v>74</v>
      </c>
      <c r="Z385" t="s">
        <v>74</v>
      </c>
      <c r="AA385" t="s">
        <v>3586</v>
      </c>
      <c r="AB385" t="s">
        <v>3587</v>
      </c>
      <c r="AC385" t="s">
        <v>74</v>
      </c>
      <c r="AD385" t="s">
        <v>74</v>
      </c>
      <c r="AE385" t="s">
        <v>74</v>
      </c>
      <c r="AF385" t="s">
        <v>74</v>
      </c>
      <c r="AG385" t="s">
        <v>74</v>
      </c>
      <c r="AH385" t="s">
        <v>74</v>
      </c>
      <c r="AI385" t="s">
        <v>74</v>
      </c>
      <c r="AJ385" t="s">
        <v>74</v>
      </c>
      <c r="AK385" t="s">
        <v>74</v>
      </c>
      <c r="AL385" t="s">
        <v>74</v>
      </c>
      <c r="AM385" t="s">
        <v>74</v>
      </c>
      <c r="AN385" t="s">
        <v>74</v>
      </c>
      <c r="AO385" t="s">
        <v>3201</v>
      </c>
      <c r="AP385" t="s">
        <v>3202</v>
      </c>
      <c r="AQ385" t="s">
        <v>74</v>
      </c>
      <c r="AR385" t="s">
        <v>74</v>
      </c>
      <c r="AS385" t="s">
        <v>74</v>
      </c>
      <c r="AT385" t="s">
        <v>195</v>
      </c>
      <c r="AU385">
        <v>2022</v>
      </c>
      <c r="AV385">
        <v>60</v>
      </c>
      <c r="AW385">
        <v>11</v>
      </c>
      <c r="AX385" t="s">
        <v>74</v>
      </c>
      <c r="AY385" t="s">
        <v>74</v>
      </c>
      <c r="AZ385" t="s">
        <v>74</v>
      </c>
      <c r="BA385" t="s">
        <v>74</v>
      </c>
      <c r="BB385">
        <v>22</v>
      </c>
      <c r="BC385">
        <v>27</v>
      </c>
      <c r="BD385" t="s">
        <v>74</v>
      </c>
      <c r="BE385" t="s">
        <v>74</v>
      </c>
      <c r="BF385" t="s">
        <v>74</v>
      </c>
      <c r="BG385" t="s">
        <v>74</v>
      </c>
      <c r="BH385" t="s">
        <v>74</v>
      </c>
      <c r="BI385" t="s">
        <v>74</v>
      </c>
      <c r="BJ385" t="s">
        <v>74</v>
      </c>
      <c r="BK385" t="s">
        <v>74</v>
      </c>
      <c r="BL385" t="s">
        <v>74</v>
      </c>
      <c r="BM385" t="s">
        <v>74</v>
      </c>
      <c r="BN385" t="s">
        <v>74</v>
      </c>
      <c r="BO385" t="s">
        <v>74</v>
      </c>
      <c r="BP385" t="s">
        <v>74</v>
      </c>
      <c r="BQ385" t="s">
        <v>74</v>
      </c>
      <c r="BR385" t="s">
        <v>74</v>
      </c>
      <c r="BS385" t="s">
        <v>3588</v>
      </c>
      <c r="BT385" t="str">
        <f>HYPERLINK("https%3A%2F%2Fwww.webofscience.com%2Fwos%2Fwoscc%2Ffull-record%2FWOS:000881980700005","View Full Record in Web of Science")</f>
        <v>View Full Record in Web of Science</v>
      </c>
    </row>
    <row r="386" spans="1:72" x14ac:dyDescent="0.25">
      <c r="A386" t="s">
        <v>84</v>
      </c>
      <c r="B386" t="s">
        <v>3589</v>
      </c>
      <c r="C386" t="s">
        <v>74</v>
      </c>
      <c r="D386" t="s">
        <v>3590</v>
      </c>
      <c r="E386" t="s">
        <v>74</v>
      </c>
      <c r="F386" t="s">
        <v>3591</v>
      </c>
      <c r="G386" t="s">
        <v>74</v>
      </c>
      <c r="H386" t="s">
        <v>74</v>
      </c>
      <c r="I386" t="s">
        <v>3592</v>
      </c>
      <c r="J386" t="s">
        <v>3593</v>
      </c>
      <c r="K386" t="s">
        <v>2927</v>
      </c>
      <c r="L386" t="s">
        <v>74</v>
      </c>
      <c r="M386" t="s">
        <v>74</v>
      </c>
      <c r="N386" t="s">
        <v>74</v>
      </c>
      <c r="O386" t="s">
        <v>3594</v>
      </c>
      <c r="P386" t="s">
        <v>3595</v>
      </c>
      <c r="Q386" t="s">
        <v>108</v>
      </c>
      <c r="R386" t="s">
        <v>3596</v>
      </c>
      <c r="S386" t="s">
        <v>74</v>
      </c>
      <c r="T386" t="s">
        <v>74</v>
      </c>
      <c r="U386" t="s">
        <v>74</v>
      </c>
      <c r="V386" t="s">
        <v>3597</v>
      </c>
      <c r="W386" t="s">
        <v>74</v>
      </c>
      <c r="X386" t="s">
        <v>74</v>
      </c>
      <c r="Y386" t="s">
        <v>74</v>
      </c>
      <c r="Z386" t="s">
        <v>74</v>
      </c>
      <c r="AA386" t="s">
        <v>74</v>
      </c>
      <c r="AB386" t="s">
        <v>74</v>
      </c>
      <c r="AC386" t="s">
        <v>74</v>
      </c>
      <c r="AD386" t="s">
        <v>74</v>
      </c>
      <c r="AE386" t="s">
        <v>74</v>
      </c>
      <c r="AF386" t="s">
        <v>74</v>
      </c>
      <c r="AG386" t="s">
        <v>74</v>
      </c>
      <c r="AH386" t="s">
        <v>74</v>
      </c>
      <c r="AI386" t="s">
        <v>74</v>
      </c>
      <c r="AJ386" t="s">
        <v>74</v>
      </c>
      <c r="AK386" t="s">
        <v>74</v>
      </c>
      <c r="AL386" t="s">
        <v>74</v>
      </c>
      <c r="AM386" t="s">
        <v>74</v>
      </c>
      <c r="AN386" t="s">
        <v>74</v>
      </c>
      <c r="AO386" t="s">
        <v>2933</v>
      </c>
      <c r="AP386" t="s">
        <v>74</v>
      </c>
      <c r="AQ386" t="s">
        <v>3598</v>
      </c>
      <c r="AR386" t="s">
        <v>74</v>
      </c>
      <c r="AS386" t="s">
        <v>74</v>
      </c>
      <c r="AT386" t="s">
        <v>74</v>
      </c>
      <c r="AU386">
        <v>2021</v>
      </c>
      <c r="AV386" t="s">
        <v>74</v>
      </c>
      <c r="AW386" t="s">
        <v>74</v>
      </c>
      <c r="AX386" t="s">
        <v>74</v>
      </c>
      <c r="AY386" t="s">
        <v>74</v>
      </c>
      <c r="AZ386" t="s">
        <v>74</v>
      </c>
      <c r="BA386" t="s">
        <v>74</v>
      </c>
      <c r="BB386" t="s">
        <v>74</v>
      </c>
      <c r="BC386" t="s">
        <v>74</v>
      </c>
      <c r="BD386" t="s">
        <v>74</v>
      </c>
      <c r="BE386" t="s">
        <v>74</v>
      </c>
      <c r="BF386" t="s">
        <v>74</v>
      </c>
      <c r="BG386" t="s">
        <v>74</v>
      </c>
      <c r="BH386" t="s">
        <v>74</v>
      </c>
      <c r="BI386" t="s">
        <v>74</v>
      </c>
      <c r="BJ386" t="s">
        <v>74</v>
      </c>
      <c r="BK386" t="s">
        <v>74</v>
      </c>
      <c r="BL386" t="s">
        <v>74</v>
      </c>
      <c r="BM386" t="s">
        <v>74</v>
      </c>
      <c r="BN386" t="s">
        <v>74</v>
      </c>
      <c r="BO386" t="s">
        <v>74</v>
      </c>
      <c r="BP386" t="s">
        <v>74</v>
      </c>
      <c r="BQ386" t="s">
        <v>74</v>
      </c>
      <c r="BR386" t="s">
        <v>74</v>
      </c>
      <c r="BS386" t="s">
        <v>3599</v>
      </c>
      <c r="BT386" t="str">
        <f>HYPERLINK("https%3A%2F%2Fwww.webofscience.com%2Fwos%2Fwoscc%2Ffull-record%2FWOS:000824588500178","View Full Record in Web of Science")</f>
        <v>View Full Record in Web of Science</v>
      </c>
    </row>
    <row r="387" spans="1:72" x14ac:dyDescent="0.25">
      <c r="A387" t="s">
        <v>72</v>
      </c>
      <c r="B387" t="s">
        <v>3600</v>
      </c>
      <c r="C387" t="s">
        <v>74</v>
      </c>
      <c r="D387" t="s">
        <v>74</v>
      </c>
      <c r="E387" t="s">
        <v>74</v>
      </c>
      <c r="F387" t="s">
        <v>3601</v>
      </c>
      <c r="G387" t="s">
        <v>74</v>
      </c>
      <c r="H387" t="s">
        <v>74</v>
      </c>
      <c r="I387" t="s">
        <v>3602</v>
      </c>
      <c r="J387" t="s">
        <v>3603</v>
      </c>
      <c r="K387" t="s">
        <v>74</v>
      </c>
      <c r="L387" t="s">
        <v>74</v>
      </c>
      <c r="M387" t="s">
        <v>74</v>
      </c>
      <c r="N387" t="s">
        <v>74</v>
      </c>
      <c r="O387" t="s">
        <v>74</v>
      </c>
      <c r="P387" t="s">
        <v>74</v>
      </c>
      <c r="Q387" t="s">
        <v>74</v>
      </c>
      <c r="R387" t="s">
        <v>74</v>
      </c>
      <c r="S387" t="s">
        <v>74</v>
      </c>
      <c r="T387" t="s">
        <v>74</v>
      </c>
      <c r="U387" t="s">
        <v>74</v>
      </c>
      <c r="V387" t="s">
        <v>3604</v>
      </c>
      <c r="W387" t="s">
        <v>74</v>
      </c>
      <c r="X387" t="s">
        <v>74</v>
      </c>
      <c r="Y387" t="s">
        <v>74</v>
      </c>
      <c r="Z387" t="s">
        <v>74</v>
      </c>
      <c r="AA387" t="s">
        <v>3605</v>
      </c>
      <c r="AB387" t="s">
        <v>3606</v>
      </c>
      <c r="AC387" t="s">
        <v>74</v>
      </c>
      <c r="AD387" t="s">
        <v>74</v>
      </c>
      <c r="AE387" t="s">
        <v>74</v>
      </c>
      <c r="AF387" t="s">
        <v>74</v>
      </c>
      <c r="AG387" t="s">
        <v>74</v>
      </c>
      <c r="AH387" t="s">
        <v>74</v>
      </c>
      <c r="AI387" t="s">
        <v>74</v>
      </c>
      <c r="AJ387" t="s">
        <v>74</v>
      </c>
      <c r="AK387" t="s">
        <v>74</v>
      </c>
      <c r="AL387" t="s">
        <v>74</v>
      </c>
      <c r="AM387" t="s">
        <v>74</v>
      </c>
      <c r="AN387" t="s">
        <v>74</v>
      </c>
      <c r="AO387" t="s">
        <v>3607</v>
      </c>
      <c r="AP387" t="s">
        <v>3608</v>
      </c>
      <c r="AQ387" t="s">
        <v>74</v>
      </c>
      <c r="AR387" t="s">
        <v>74</v>
      </c>
      <c r="AS387" t="s">
        <v>74</v>
      </c>
      <c r="AT387" t="s">
        <v>435</v>
      </c>
      <c r="AU387">
        <v>2023</v>
      </c>
      <c r="AV387">
        <v>33</v>
      </c>
      <c r="AW387">
        <v>8</v>
      </c>
      <c r="AX387" t="s">
        <v>74</v>
      </c>
      <c r="AY387" t="s">
        <v>74</v>
      </c>
      <c r="AZ387" t="s">
        <v>74</v>
      </c>
      <c r="BA387" t="s">
        <v>74</v>
      </c>
      <c r="BB387" t="s">
        <v>74</v>
      </c>
      <c r="BC387" t="s">
        <v>74</v>
      </c>
      <c r="BD387" t="s">
        <v>74</v>
      </c>
      <c r="BE387" t="s">
        <v>3609</v>
      </c>
      <c r="BF387" t="str">
        <f>HYPERLINK("http://dx.doi.org/10.1002/adfm.202211146","http://dx.doi.org/10.1002/adfm.202211146")</f>
        <v>http://dx.doi.org/10.1002/adfm.202211146</v>
      </c>
      <c r="BG387" t="s">
        <v>74</v>
      </c>
      <c r="BH387" t="s">
        <v>426</v>
      </c>
      <c r="BI387" t="s">
        <v>74</v>
      </c>
      <c r="BJ387" t="s">
        <v>74</v>
      </c>
      <c r="BK387" t="s">
        <v>74</v>
      </c>
      <c r="BL387" t="s">
        <v>74</v>
      </c>
      <c r="BM387" t="s">
        <v>74</v>
      </c>
      <c r="BN387" t="s">
        <v>74</v>
      </c>
      <c r="BO387" t="s">
        <v>74</v>
      </c>
      <c r="BP387" t="s">
        <v>74</v>
      </c>
      <c r="BQ387" t="s">
        <v>74</v>
      </c>
      <c r="BR387" t="s">
        <v>74</v>
      </c>
      <c r="BS387" t="s">
        <v>3610</v>
      </c>
      <c r="BT387" t="str">
        <f>HYPERLINK("https%3A%2F%2Fwww.webofscience.com%2Fwos%2Fwoscc%2Ffull-record%2FWOS:000893976100001","View Full Record in Web of Science")</f>
        <v>View Full Record in Web of Science</v>
      </c>
    </row>
    <row r="388" spans="1:72" x14ac:dyDescent="0.25">
      <c r="A388" t="s">
        <v>72</v>
      </c>
      <c r="B388" t="s">
        <v>3611</v>
      </c>
      <c r="C388" t="s">
        <v>74</v>
      </c>
      <c r="D388" t="s">
        <v>74</v>
      </c>
      <c r="E388" t="s">
        <v>74</v>
      </c>
      <c r="F388" t="s">
        <v>3612</v>
      </c>
      <c r="G388" t="s">
        <v>74</v>
      </c>
      <c r="H388" t="s">
        <v>74</v>
      </c>
      <c r="I388" t="s">
        <v>3613</v>
      </c>
      <c r="J388" t="s">
        <v>77</v>
      </c>
      <c r="K388" t="s">
        <v>74</v>
      </c>
      <c r="L388" t="s">
        <v>74</v>
      </c>
      <c r="M388" t="s">
        <v>74</v>
      </c>
      <c r="N388" t="s">
        <v>74</v>
      </c>
      <c r="O388" t="s">
        <v>74</v>
      </c>
      <c r="P388" t="s">
        <v>74</v>
      </c>
      <c r="Q388" t="s">
        <v>74</v>
      </c>
      <c r="R388" t="s">
        <v>74</v>
      </c>
      <c r="S388" t="s">
        <v>74</v>
      </c>
      <c r="T388" t="s">
        <v>74</v>
      </c>
      <c r="U388" t="s">
        <v>74</v>
      </c>
      <c r="V388" t="s">
        <v>3614</v>
      </c>
      <c r="W388" t="s">
        <v>74</v>
      </c>
      <c r="X388" t="s">
        <v>74</v>
      </c>
      <c r="Y388" t="s">
        <v>74</v>
      </c>
      <c r="Z388" t="s">
        <v>74</v>
      </c>
      <c r="AA388" t="s">
        <v>3047</v>
      </c>
      <c r="AB388" t="s">
        <v>3048</v>
      </c>
      <c r="AC388" t="s">
        <v>74</v>
      </c>
      <c r="AD388" t="s">
        <v>74</v>
      </c>
      <c r="AE388" t="s">
        <v>74</v>
      </c>
      <c r="AF388" t="s">
        <v>74</v>
      </c>
      <c r="AG388" t="s">
        <v>74</v>
      </c>
      <c r="AH388" t="s">
        <v>74</v>
      </c>
      <c r="AI388" t="s">
        <v>74</v>
      </c>
      <c r="AJ388" t="s">
        <v>74</v>
      </c>
      <c r="AK388" t="s">
        <v>74</v>
      </c>
      <c r="AL388" t="s">
        <v>74</v>
      </c>
      <c r="AM388" t="s">
        <v>74</v>
      </c>
      <c r="AN388" t="s">
        <v>74</v>
      </c>
      <c r="AO388" t="s">
        <v>74</v>
      </c>
      <c r="AP388" t="s">
        <v>80</v>
      </c>
      <c r="AQ388" t="s">
        <v>74</v>
      </c>
      <c r="AR388" t="s">
        <v>74</v>
      </c>
      <c r="AS388" t="s">
        <v>74</v>
      </c>
      <c r="AT388" t="s">
        <v>536</v>
      </c>
      <c r="AU388">
        <v>2022</v>
      </c>
      <c r="AV388">
        <v>19</v>
      </c>
      <c r="AW388">
        <v>13</v>
      </c>
      <c r="AX388" t="s">
        <v>74</v>
      </c>
      <c r="AY388" t="s">
        <v>74</v>
      </c>
      <c r="AZ388" t="s">
        <v>74</v>
      </c>
      <c r="BA388" t="s">
        <v>74</v>
      </c>
      <c r="BB388" t="s">
        <v>74</v>
      </c>
      <c r="BC388" t="s">
        <v>74</v>
      </c>
      <c r="BD388">
        <v>8218</v>
      </c>
      <c r="BE388" t="s">
        <v>3615</v>
      </c>
      <c r="BF388" t="str">
        <f>HYPERLINK("http://dx.doi.org/10.3390/ijerph19138218","http://dx.doi.org/10.3390/ijerph19138218")</f>
        <v>http://dx.doi.org/10.3390/ijerph19138218</v>
      </c>
      <c r="BG388" t="s">
        <v>74</v>
      </c>
      <c r="BH388" t="s">
        <v>74</v>
      </c>
      <c r="BI388" t="s">
        <v>74</v>
      </c>
      <c r="BJ388" t="s">
        <v>74</v>
      </c>
      <c r="BK388" t="s">
        <v>74</v>
      </c>
      <c r="BL388" t="s">
        <v>74</v>
      </c>
      <c r="BM388" t="s">
        <v>74</v>
      </c>
      <c r="BN388">
        <v>35805875</v>
      </c>
      <c r="BO388" t="s">
        <v>74</v>
      </c>
      <c r="BP388" t="s">
        <v>74</v>
      </c>
      <c r="BQ388" t="s">
        <v>74</v>
      </c>
      <c r="BR388" t="s">
        <v>74</v>
      </c>
      <c r="BS388" t="s">
        <v>3616</v>
      </c>
      <c r="BT388" t="str">
        <f>HYPERLINK("https%3A%2F%2Fwww.webofscience.com%2Fwos%2Fwoscc%2Ffull-record%2FWOS:000824508000001","View Full Record in Web of Science")</f>
        <v>View Full Record in Web of Science</v>
      </c>
    </row>
    <row r="389" spans="1:72" x14ac:dyDescent="0.25">
      <c r="A389" t="s">
        <v>84</v>
      </c>
      <c r="B389" t="s">
        <v>3617</v>
      </c>
      <c r="C389" t="s">
        <v>74</v>
      </c>
      <c r="D389" t="s">
        <v>74</v>
      </c>
      <c r="E389" t="s">
        <v>86</v>
      </c>
      <c r="F389" t="s">
        <v>3618</v>
      </c>
      <c r="G389" t="s">
        <v>74</v>
      </c>
      <c r="H389" t="s">
        <v>74</v>
      </c>
      <c r="I389" t="s">
        <v>3619</v>
      </c>
      <c r="J389" t="s">
        <v>3620</v>
      </c>
      <c r="K389" t="s">
        <v>3621</v>
      </c>
      <c r="L389" t="s">
        <v>74</v>
      </c>
      <c r="M389" t="s">
        <v>74</v>
      </c>
      <c r="N389" t="s">
        <v>74</v>
      </c>
      <c r="O389" t="s">
        <v>3622</v>
      </c>
      <c r="P389" t="s">
        <v>3623</v>
      </c>
      <c r="Q389" t="s">
        <v>3624</v>
      </c>
      <c r="R389" t="s">
        <v>3625</v>
      </c>
      <c r="S389" t="s">
        <v>3626</v>
      </c>
      <c r="T389" t="s">
        <v>74</v>
      </c>
      <c r="U389" t="s">
        <v>74</v>
      </c>
      <c r="V389" t="s">
        <v>3627</v>
      </c>
      <c r="W389" t="s">
        <v>74</v>
      </c>
      <c r="X389" t="s">
        <v>74</v>
      </c>
      <c r="Y389" t="s">
        <v>74</v>
      </c>
      <c r="Z389" t="s">
        <v>74</v>
      </c>
      <c r="AA389" t="s">
        <v>74</v>
      </c>
      <c r="AB389" t="s">
        <v>74</v>
      </c>
      <c r="AC389" t="s">
        <v>74</v>
      </c>
      <c r="AD389" t="s">
        <v>74</v>
      </c>
      <c r="AE389" t="s">
        <v>74</v>
      </c>
      <c r="AF389" t="s">
        <v>74</v>
      </c>
      <c r="AG389" t="s">
        <v>74</v>
      </c>
      <c r="AH389" t="s">
        <v>74</v>
      </c>
      <c r="AI389" t="s">
        <v>74</v>
      </c>
      <c r="AJ389" t="s">
        <v>74</v>
      </c>
      <c r="AK389" t="s">
        <v>74</v>
      </c>
      <c r="AL389" t="s">
        <v>74</v>
      </c>
      <c r="AM389" t="s">
        <v>74</v>
      </c>
      <c r="AN389" t="s">
        <v>74</v>
      </c>
      <c r="AO389" t="s">
        <v>3628</v>
      </c>
      <c r="AP389" t="s">
        <v>74</v>
      </c>
      <c r="AQ389" t="s">
        <v>3629</v>
      </c>
      <c r="AR389" t="s">
        <v>74</v>
      </c>
      <c r="AS389" t="s">
        <v>74</v>
      </c>
      <c r="AT389" t="s">
        <v>74</v>
      </c>
      <c r="AU389">
        <v>2022</v>
      </c>
      <c r="AV389" t="s">
        <v>74</v>
      </c>
      <c r="AW389" t="s">
        <v>74</v>
      </c>
      <c r="AX389" t="s">
        <v>74</v>
      </c>
      <c r="AY389" t="s">
        <v>74</v>
      </c>
      <c r="AZ389" t="s">
        <v>74</v>
      </c>
      <c r="BA389" t="s">
        <v>74</v>
      </c>
      <c r="BB389" t="s">
        <v>74</v>
      </c>
      <c r="BC389" t="s">
        <v>74</v>
      </c>
      <c r="BD389" t="s">
        <v>74</v>
      </c>
      <c r="BE389" t="s">
        <v>74</v>
      </c>
      <c r="BF389" t="s">
        <v>74</v>
      </c>
      <c r="BG389" t="s">
        <v>74</v>
      </c>
      <c r="BH389" t="s">
        <v>74</v>
      </c>
      <c r="BI389" t="s">
        <v>74</v>
      </c>
      <c r="BJ389" t="s">
        <v>74</v>
      </c>
      <c r="BK389" t="s">
        <v>74</v>
      </c>
      <c r="BL389" t="s">
        <v>74</v>
      </c>
      <c r="BM389" t="s">
        <v>74</v>
      </c>
      <c r="BN389" t="s">
        <v>74</v>
      </c>
      <c r="BO389" t="s">
        <v>74</v>
      </c>
      <c r="BP389" t="s">
        <v>74</v>
      </c>
      <c r="BQ389" t="s">
        <v>74</v>
      </c>
      <c r="BR389" t="s">
        <v>74</v>
      </c>
      <c r="BS389" t="s">
        <v>3630</v>
      </c>
      <c r="BT389" t="str">
        <f>HYPERLINK("https%3A%2F%2Fwww.webofscience.com%2Fwos%2Fwoscc%2Ffull-record%2FWOS:000861739100037","View Full Record in Web of Science")</f>
        <v>View Full Record in Web of Science</v>
      </c>
    </row>
    <row r="390" spans="1:72" x14ac:dyDescent="0.25">
      <c r="A390" t="s">
        <v>72</v>
      </c>
      <c r="B390" t="s">
        <v>3631</v>
      </c>
      <c r="C390" t="s">
        <v>74</v>
      </c>
      <c r="D390" t="s">
        <v>74</v>
      </c>
      <c r="E390" t="s">
        <v>74</v>
      </c>
      <c r="F390" t="s">
        <v>3632</v>
      </c>
      <c r="G390" t="s">
        <v>74</v>
      </c>
      <c r="H390" t="s">
        <v>74</v>
      </c>
      <c r="I390" t="s">
        <v>3633</v>
      </c>
      <c r="J390" t="s">
        <v>421</v>
      </c>
      <c r="K390" t="s">
        <v>74</v>
      </c>
      <c r="L390" t="s">
        <v>74</v>
      </c>
      <c r="M390" t="s">
        <v>74</v>
      </c>
      <c r="N390" t="s">
        <v>74</v>
      </c>
      <c r="O390" t="s">
        <v>74</v>
      </c>
      <c r="P390" t="s">
        <v>74</v>
      </c>
      <c r="Q390" t="s">
        <v>74</v>
      </c>
      <c r="R390" t="s">
        <v>74</v>
      </c>
      <c r="S390" t="s">
        <v>74</v>
      </c>
      <c r="T390" t="s">
        <v>74</v>
      </c>
      <c r="U390" t="s">
        <v>74</v>
      </c>
      <c r="V390" t="s">
        <v>3634</v>
      </c>
      <c r="W390" t="s">
        <v>74</v>
      </c>
      <c r="X390" t="s">
        <v>74</v>
      </c>
      <c r="Y390" t="s">
        <v>74</v>
      </c>
      <c r="Z390" t="s">
        <v>74</v>
      </c>
      <c r="AA390" t="s">
        <v>74</v>
      </c>
      <c r="AB390" t="s">
        <v>2728</v>
      </c>
      <c r="AC390" t="s">
        <v>74</v>
      </c>
      <c r="AD390" t="s">
        <v>74</v>
      </c>
      <c r="AE390" t="s">
        <v>74</v>
      </c>
      <c r="AF390" t="s">
        <v>74</v>
      </c>
      <c r="AG390" t="s">
        <v>74</v>
      </c>
      <c r="AH390" t="s">
        <v>74</v>
      </c>
      <c r="AI390" t="s">
        <v>74</v>
      </c>
      <c r="AJ390" t="s">
        <v>74</v>
      </c>
      <c r="AK390" t="s">
        <v>74</v>
      </c>
      <c r="AL390" t="s">
        <v>74</v>
      </c>
      <c r="AM390" t="s">
        <v>74</v>
      </c>
      <c r="AN390" t="s">
        <v>74</v>
      </c>
      <c r="AO390" t="s">
        <v>423</v>
      </c>
      <c r="AP390" t="s">
        <v>424</v>
      </c>
      <c r="AQ390" t="s">
        <v>74</v>
      </c>
      <c r="AR390" t="s">
        <v>74</v>
      </c>
      <c r="AS390" t="s">
        <v>74</v>
      </c>
      <c r="AT390" t="s">
        <v>74</v>
      </c>
      <c r="AU390" t="s">
        <v>74</v>
      </c>
      <c r="AV390" t="s">
        <v>74</v>
      </c>
      <c r="AW390" t="s">
        <v>74</v>
      </c>
      <c r="AX390" t="s">
        <v>74</v>
      </c>
      <c r="AY390" t="s">
        <v>74</v>
      </c>
      <c r="AZ390" t="s">
        <v>74</v>
      </c>
      <c r="BA390" t="s">
        <v>74</v>
      </c>
      <c r="BB390" t="s">
        <v>74</v>
      </c>
      <c r="BC390" t="s">
        <v>74</v>
      </c>
      <c r="BD390" t="s">
        <v>74</v>
      </c>
      <c r="BE390" t="s">
        <v>3635</v>
      </c>
      <c r="BF390" t="str">
        <f>HYPERLINK("http://dx.doi.org/10.1109/TSMC.2022.3226748","http://dx.doi.org/10.1109/TSMC.2022.3226748")</f>
        <v>http://dx.doi.org/10.1109/TSMC.2022.3226748</v>
      </c>
      <c r="BG390" t="s">
        <v>74</v>
      </c>
      <c r="BH390" t="s">
        <v>426</v>
      </c>
      <c r="BI390" t="s">
        <v>74</v>
      </c>
      <c r="BJ390" t="s">
        <v>74</v>
      </c>
      <c r="BK390" t="s">
        <v>74</v>
      </c>
      <c r="BL390" t="s">
        <v>74</v>
      </c>
      <c r="BM390" t="s">
        <v>74</v>
      </c>
      <c r="BN390" t="s">
        <v>74</v>
      </c>
      <c r="BO390" t="s">
        <v>74</v>
      </c>
      <c r="BP390" t="s">
        <v>74</v>
      </c>
      <c r="BQ390" t="s">
        <v>74</v>
      </c>
      <c r="BR390" t="s">
        <v>74</v>
      </c>
      <c r="BS390" t="s">
        <v>3636</v>
      </c>
      <c r="BT390" t="str">
        <f>HYPERLINK("https%3A%2F%2Fwww.webofscience.com%2Fwos%2Fwoscc%2Ffull-record%2FWOS:000903340300001","View Full Record in Web of Science")</f>
        <v>View Full Record in Web of Science</v>
      </c>
    </row>
    <row r="391" spans="1:72" x14ac:dyDescent="0.25">
      <c r="A391" t="s">
        <v>72</v>
      </c>
      <c r="B391" t="s">
        <v>3637</v>
      </c>
      <c r="C391" t="s">
        <v>74</v>
      </c>
      <c r="D391" t="s">
        <v>74</v>
      </c>
      <c r="E391" t="s">
        <v>74</v>
      </c>
      <c r="F391" t="s">
        <v>3638</v>
      </c>
      <c r="G391" t="s">
        <v>74</v>
      </c>
      <c r="H391" t="s">
        <v>74</v>
      </c>
      <c r="I391" t="s">
        <v>3639</v>
      </c>
      <c r="J391" t="s">
        <v>3640</v>
      </c>
      <c r="K391" t="s">
        <v>74</v>
      </c>
      <c r="L391" t="s">
        <v>74</v>
      </c>
      <c r="M391" t="s">
        <v>74</v>
      </c>
      <c r="N391" t="s">
        <v>74</v>
      </c>
      <c r="O391" t="s">
        <v>74</v>
      </c>
      <c r="P391" t="s">
        <v>74</v>
      </c>
      <c r="Q391" t="s">
        <v>74</v>
      </c>
      <c r="R391" t="s">
        <v>74</v>
      </c>
      <c r="S391" t="s">
        <v>74</v>
      </c>
      <c r="T391" t="s">
        <v>74</v>
      </c>
      <c r="U391" t="s">
        <v>74</v>
      </c>
      <c r="V391" t="s">
        <v>3641</v>
      </c>
      <c r="W391" t="s">
        <v>74</v>
      </c>
      <c r="X391" t="s">
        <v>74</v>
      </c>
      <c r="Y391" t="s">
        <v>74</v>
      </c>
      <c r="Z391" t="s">
        <v>74</v>
      </c>
      <c r="AA391" t="s">
        <v>74</v>
      </c>
      <c r="AB391" t="s">
        <v>74</v>
      </c>
      <c r="AC391" t="s">
        <v>74</v>
      </c>
      <c r="AD391" t="s">
        <v>74</v>
      </c>
      <c r="AE391" t="s">
        <v>74</v>
      </c>
      <c r="AF391" t="s">
        <v>74</v>
      </c>
      <c r="AG391" t="s">
        <v>74</v>
      </c>
      <c r="AH391" t="s">
        <v>74</v>
      </c>
      <c r="AI391" t="s">
        <v>74</v>
      </c>
      <c r="AJ391" t="s">
        <v>74</v>
      </c>
      <c r="AK391" t="s">
        <v>74</v>
      </c>
      <c r="AL391" t="s">
        <v>74</v>
      </c>
      <c r="AM391" t="s">
        <v>74</v>
      </c>
      <c r="AN391" t="s">
        <v>74</v>
      </c>
      <c r="AO391" t="s">
        <v>74</v>
      </c>
      <c r="AP391" t="s">
        <v>3642</v>
      </c>
      <c r="AQ391" t="s">
        <v>74</v>
      </c>
      <c r="AR391" t="s">
        <v>74</v>
      </c>
      <c r="AS391" t="s">
        <v>74</v>
      </c>
      <c r="AT391" t="s">
        <v>465</v>
      </c>
      <c r="AU391">
        <v>2022</v>
      </c>
      <c r="AV391">
        <v>14</v>
      </c>
      <c r="AW391">
        <v>24</v>
      </c>
      <c r="AX391" t="s">
        <v>74</v>
      </c>
      <c r="AY391" t="s">
        <v>74</v>
      </c>
      <c r="AZ391" t="s">
        <v>74</v>
      </c>
      <c r="BA391" t="s">
        <v>74</v>
      </c>
      <c r="BB391" t="s">
        <v>74</v>
      </c>
      <c r="BC391" t="s">
        <v>74</v>
      </c>
      <c r="BD391">
        <v>5401</v>
      </c>
      <c r="BE391" t="s">
        <v>3643</v>
      </c>
      <c r="BF391" t="str">
        <f>HYPERLINK("http://dx.doi.org/10.3390/polym14245401","http://dx.doi.org/10.3390/polym14245401")</f>
        <v>http://dx.doi.org/10.3390/polym14245401</v>
      </c>
      <c r="BG391" t="s">
        <v>74</v>
      </c>
      <c r="BH391" t="s">
        <v>74</v>
      </c>
      <c r="BI391" t="s">
        <v>74</v>
      </c>
      <c r="BJ391" t="s">
        <v>74</v>
      </c>
      <c r="BK391" t="s">
        <v>74</v>
      </c>
      <c r="BL391" t="s">
        <v>74</v>
      </c>
      <c r="BM391" t="s">
        <v>74</v>
      </c>
      <c r="BN391">
        <v>36559769</v>
      </c>
      <c r="BO391" t="s">
        <v>74</v>
      </c>
      <c r="BP391" t="s">
        <v>74</v>
      </c>
      <c r="BQ391" t="s">
        <v>74</v>
      </c>
      <c r="BR391" t="s">
        <v>74</v>
      </c>
      <c r="BS391" t="s">
        <v>3644</v>
      </c>
      <c r="BT391" t="str">
        <f>HYPERLINK("https%3A%2F%2Fwww.webofscience.com%2Fwos%2Fwoscc%2Ffull-record%2FWOS:000902730600001","View Full Record in Web of Science")</f>
        <v>View Full Record in Web of Science</v>
      </c>
    </row>
    <row r="392" spans="1:72" x14ac:dyDescent="0.25">
      <c r="A392" t="s">
        <v>84</v>
      </c>
      <c r="B392" t="s">
        <v>3645</v>
      </c>
      <c r="C392" t="s">
        <v>74</v>
      </c>
      <c r="D392" t="s">
        <v>3646</v>
      </c>
      <c r="E392" t="s">
        <v>74</v>
      </c>
      <c r="F392" t="s">
        <v>3647</v>
      </c>
      <c r="G392" t="s">
        <v>74</v>
      </c>
      <c r="H392" t="s">
        <v>74</v>
      </c>
      <c r="I392" t="s">
        <v>3648</v>
      </c>
      <c r="J392" t="s">
        <v>3649</v>
      </c>
      <c r="K392" t="s">
        <v>3415</v>
      </c>
      <c r="L392" t="s">
        <v>74</v>
      </c>
      <c r="M392" t="s">
        <v>74</v>
      </c>
      <c r="N392" t="s">
        <v>74</v>
      </c>
      <c r="O392" t="s">
        <v>3650</v>
      </c>
      <c r="P392" t="s">
        <v>3651</v>
      </c>
      <c r="Q392" t="s">
        <v>3223</v>
      </c>
      <c r="R392" t="s">
        <v>3419</v>
      </c>
      <c r="S392" t="s">
        <v>74</v>
      </c>
      <c r="T392" t="s">
        <v>74</v>
      </c>
      <c r="U392" t="s">
        <v>74</v>
      </c>
      <c r="V392" t="s">
        <v>3652</v>
      </c>
      <c r="W392" t="s">
        <v>74</v>
      </c>
      <c r="X392" t="s">
        <v>74</v>
      </c>
      <c r="Y392" t="s">
        <v>74</v>
      </c>
      <c r="Z392" t="s">
        <v>74</v>
      </c>
      <c r="AA392" t="s">
        <v>74</v>
      </c>
      <c r="AB392" t="s">
        <v>74</v>
      </c>
      <c r="AC392" t="s">
        <v>74</v>
      </c>
      <c r="AD392" t="s">
        <v>74</v>
      </c>
      <c r="AE392" t="s">
        <v>74</v>
      </c>
      <c r="AF392" t="s">
        <v>74</v>
      </c>
      <c r="AG392" t="s">
        <v>74</v>
      </c>
      <c r="AH392" t="s">
        <v>74</v>
      </c>
      <c r="AI392" t="s">
        <v>74</v>
      </c>
      <c r="AJ392" t="s">
        <v>74</v>
      </c>
      <c r="AK392" t="s">
        <v>74</v>
      </c>
      <c r="AL392" t="s">
        <v>74</v>
      </c>
      <c r="AM392" t="s">
        <v>74</v>
      </c>
      <c r="AN392" t="s">
        <v>74</v>
      </c>
      <c r="AO392" t="s">
        <v>3421</v>
      </c>
      <c r="AP392" t="s">
        <v>3422</v>
      </c>
      <c r="AQ392" t="s">
        <v>3653</v>
      </c>
      <c r="AR392" t="s">
        <v>74</v>
      </c>
      <c r="AS392" t="s">
        <v>74</v>
      </c>
      <c r="AT392" t="s">
        <v>74</v>
      </c>
      <c r="AU392">
        <v>2022</v>
      </c>
      <c r="AV392">
        <v>11931</v>
      </c>
      <c r="AW392" t="s">
        <v>74</v>
      </c>
      <c r="AX392" t="s">
        <v>74</v>
      </c>
      <c r="AY392" t="s">
        <v>74</v>
      </c>
      <c r="AZ392" t="s">
        <v>74</v>
      </c>
      <c r="BA392" t="s">
        <v>74</v>
      </c>
      <c r="BB392" t="s">
        <v>74</v>
      </c>
      <c r="BC392" t="s">
        <v>74</v>
      </c>
      <c r="BD392">
        <v>1193109</v>
      </c>
      <c r="BE392" t="s">
        <v>3654</v>
      </c>
      <c r="BF392" t="str">
        <f>HYPERLINK("http://dx.doi.org/10.1117/12.2614310","http://dx.doi.org/10.1117/12.2614310")</f>
        <v>http://dx.doi.org/10.1117/12.2614310</v>
      </c>
      <c r="BG392" t="s">
        <v>74</v>
      </c>
      <c r="BH392" t="s">
        <v>74</v>
      </c>
      <c r="BI392" t="s">
        <v>74</v>
      </c>
      <c r="BJ392" t="s">
        <v>74</v>
      </c>
      <c r="BK392" t="s">
        <v>74</v>
      </c>
      <c r="BL392" t="s">
        <v>74</v>
      </c>
      <c r="BM392" t="s">
        <v>74</v>
      </c>
      <c r="BN392" t="s">
        <v>74</v>
      </c>
      <c r="BO392" t="s">
        <v>74</v>
      </c>
      <c r="BP392" t="s">
        <v>74</v>
      </c>
      <c r="BQ392" t="s">
        <v>74</v>
      </c>
      <c r="BR392" t="s">
        <v>74</v>
      </c>
      <c r="BS392" t="s">
        <v>3655</v>
      </c>
      <c r="BT392" t="str">
        <f>HYPERLINK("https%3A%2F%2Fwww.webofscience.com%2Fwos%2Fwoscc%2Ffull-record%2FWOS:000812230600008","View Full Record in Web of Science")</f>
        <v>View Full Record in Web of Science</v>
      </c>
    </row>
    <row r="393" spans="1:72" x14ac:dyDescent="0.25">
      <c r="A393" t="s">
        <v>72</v>
      </c>
      <c r="B393" t="s">
        <v>3656</v>
      </c>
      <c r="C393" t="s">
        <v>74</v>
      </c>
      <c r="D393" t="s">
        <v>74</v>
      </c>
      <c r="E393" t="s">
        <v>74</v>
      </c>
      <c r="F393" t="s">
        <v>3657</v>
      </c>
      <c r="G393" t="s">
        <v>74</v>
      </c>
      <c r="H393" t="s">
        <v>74</v>
      </c>
      <c r="I393" t="s">
        <v>3658</v>
      </c>
      <c r="J393" t="s">
        <v>3659</v>
      </c>
      <c r="K393" t="s">
        <v>74</v>
      </c>
      <c r="L393" t="s">
        <v>74</v>
      </c>
      <c r="M393" t="s">
        <v>74</v>
      </c>
      <c r="N393" t="s">
        <v>74</v>
      </c>
      <c r="O393" t="s">
        <v>74</v>
      </c>
      <c r="P393" t="s">
        <v>74</v>
      </c>
      <c r="Q393" t="s">
        <v>74</v>
      </c>
      <c r="R393" t="s">
        <v>74</v>
      </c>
      <c r="S393" t="s">
        <v>74</v>
      </c>
      <c r="T393" t="s">
        <v>74</v>
      </c>
      <c r="U393" t="s">
        <v>74</v>
      </c>
      <c r="V393" t="s">
        <v>3660</v>
      </c>
      <c r="W393" t="s">
        <v>74</v>
      </c>
      <c r="X393" t="s">
        <v>74</v>
      </c>
      <c r="Y393" t="s">
        <v>74</v>
      </c>
      <c r="Z393" t="s">
        <v>74</v>
      </c>
      <c r="AA393" t="s">
        <v>74</v>
      </c>
      <c r="AB393" t="s">
        <v>3661</v>
      </c>
      <c r="AC393" t="s">
        <v>74</v>
      </c>
      <c r="AD393" t="s">
        <v>74</v>
      </c>
      <c r="AE393" t="s">
        <v>74</v>
      </c>
      <c r="AF393" t="s">
        <v>74</v>
      </c>
      <c r="AG393" t="s">
        <v>74</v>
      </c>
      <c r="AH393" t="s">
        <v>74</v>
      </c>
      <c r="AI393" t="s">
        <v>74</v>
      </c>
      <c r="AJ393" t="s">
        <v>74</v>
      </c>
      <c r="AK393" t="s">
        <v>74</v>
      </c>
      <c r="AL393" t="s">
        <v>74</v>
      </c>
      <c r="AM393" t="s">
        <v>74</v>
      </c>
      <c r="AN393" t="s">
        <v>74</v>
      </c>
      <c r="AO393" t="s">
        <v>74</v>
      </c>
      <c r="AP393" t="s">
        <v>3662</v>
      </c>
      <c r="AQ393" t="s">
        <v>74</v>
      </c>
      <c r="AR393" t="s">
        <v>74</v>
      </c>
      <c r="AS393" t="s">
        <v>74</v>
      </c>
      <c r="AT393" t="s">
        <v>74</v>
      </c>
      <c r="AU393" t="s">
        <v>74</v>
      </c>
      <c r="AV393" t="s">
        <v>74</v>
      </c>
      <c r="AW393" t="s">
        <v>74</v>
      </c>
      <c r="AX393" t="s">
        <v>74</v>
      </c>
      <c r="AY393" t="s">
        <v>74</v>
      </c>
      <c r="AZ393" t="s">
        <v>74</v>
      </c>
      <c r="BA393" t="s">
        <v>74</v>
      </c>
      <c r="BB393" t="s">
        <v>74</v>
      </c>
      <c r="BC393" t="s">
        <v>74</v>
      </c>
      <c r="BD393" t="s">
        <v>3663</v>
      </c>
      <c r="BE393" t="s">
        <v>3664</v>
      </c>
      <c r="BF393" t="str">
        <f>HYPERLINK("http://dx.doi.org/10.1002/batt.202200538","http://dx.doi.org/10.1002/batt.202200538")</f>
        <v>http://dx.doi.org/10.1002/batt.202200538</v>
      </c>
      <c r="BG393" t="s">
        <v>74</v>
      </c>
      <c r="BH393" t="s">
        <v>426</v>
      </c>
      <c r="BI393" t="s">
        <v>74</v>
      </c>
      <c r="BJ393" t="s">
        <v>74</v>
      </c>
      <c r="BK393" t="s">
        <v>74</v>
      </c>
      <c r="BL393" t="s">
        <v>74</v>
      </c>
      <c r="BM393" t="s">
        <v>74</v>
      </c>
      <c r="BN393" t="s">
        <v>74</v>
      </c>
      <c r="BO393" t="s">
        <v>74</v>
      </c>
      <c r="BP393" t="s">
        <v>74</v>
      </c>
      <c r="BQ393" t="s">
        <v>74</v>
      </c>
      <c r="BR393" t="s">
        <v>74</v>
      </c>
      <c r="BS393" t="s">
        <v>3665</v>
      </c>
      <c r="BT393" t="str">
        <f>HYPERLINK("https%3A%2F%2Fwww.webofscience.com%2Fwos%2Fwoscc%2Ffull-record%2FWOS:000900316800001","View Full Record in Web of Science")</f>
        <v>View Full Record in Web of Science</v>
      </c>
    </row>
    <row r="394" spans="1:72" x14ac:dyDescent="0.25">
      <c r="A394" t="s">
        <v>72</v>
      </c>
      <c r="B394" t="s">
        <v>3666</v>
      </c>
      <c r="C394" t="s">
        <v>74</v>
      </c>
      <c r="D394" t="s">
        <v>74</v>
      </c>
      <c r="E394" t="s">
        <v>74</v>
      </c>
      <c r="F394" t="s">
        <v>3667</v>
      </c>
      <c r="G394" t="s">
        <v>74</v>
      </c>
      <c r="H394" t="s">
        <v>74</v>
      </c>
      <c r="I394" t="s">
        <v>3658</v>
      </c>
      <c r="J394" t="s">
        <v>3659</v>
      </c>
      <c r="K394" t="s">
        <v>74</v>
      </c>
      <c r="L394" t="s">
        <v>74</v>
      </c>
      <c r="M394" t="s">
        <v>74</v>
      </c>
      <c r="N394" t="s">
        <v>74</v>
      </c>
      <c r="O394" t="s">
        <v>74</v>
      </c>
      <c r="P394" t="s">
        <v>74</v>
      </c>
      <c r="Q394" t="s">
        <v>74</v>
      </c>
      <c r="R394" t="s">
        <v>74</v>
      </c>
      <c r="S394" t="s">
        <v>74</v>
      </c>
      <c r="T394" t="s">
        <v>74</v>
      </c>
      <c r="U394" t="s">
        <v>74</v>
      </c>
      <c r="V394" t="s">
        <v>3660</v>
      </c>
      <c r="W394" t="s">
        <v>74</v>
      </c>
      <c r="X394" t="s">
        <v>74</v>
      </c>
      <c r="Y394" t="s">
        <v>74</v>
      </c>
      <c r="Z394" t="s">
        <v>74</v>
      </c>
      <c r="AA394" t="s">
        <v>74</v>
      </c>
      <c r="AB394" t="s">
        <v>3661</v>
      </c>
      <c r="AC394" t="s">
        <v>74</v>
      </c>
      <c r="AD394" t="s">
        <v>74</v>
      </c>
      <c r="AE394" t="s">
        <v>74</v>
      </c>
      <c r="AF394" t="s">
        <v>74</v>
      </c>
      <c r="AG394" t="s">
        <v>74</v>
      </c>
      <c r="AH394" t="s">
        <v>74</v>
      </c>
      <c r="AI394" t="s">
        <v>74</v>
      </c>
      <c r="AJ394" t="s">
        <v>74</v>
      </c>
      <c r="AK394" t="s">
        <v>74</v>
      </c>
      <c r="AL394" t="s">
        <v>74</v>
      </c>
      <c r="AM394" t="s">
        <v>74</v>
      </c>
      <c r="AN394" t="s">
        <v>74</v>
      </c>
      <c r="AO394" t="s">
        <v>74</v>
      </c>
      <c r="AP394" t="s">
        <v>3662</v>
      </c>
      <c r="AQ394" t="s">
        <v>74</v>
      </c>
      <c r="AR394" t="s">
        <v>74</v>
      </c>
      <c r="AS394" t="s">
        <v>74</v>
      </c>
      <c r="AT394" t="s">
        <v>74</v>
      </c>
      <c r="AU394" t="s">
        <v>74</v>
      </c>
      <c r="AV394" t="s">
        <v>74</v>
      </c>
      <c r="AW394" t="s">
        <v>74</v>
      </c>
      <c r="AX394" t="s">
        <v>74</v>
      </c>
      <c r="AY394" t="s">
        <v>74</v>
      </c>
      <c r="AZ394" t="s">
        <v>74</v>
      </c>
      <c r="BA394" t="s">
        <v>74</v>
      </c>
      <c r="BB394" t="s">
        <v>74</v>
      </c>
      <c r="BC394" t="s">
        <v>74</v>
      </c>
      <c r="BD394" t="s">
        <v>3668</v>
      </c>
      <c r="BE394" t="s">
        <v>3669</v>
      </c>
      <c r="BF394" t="str">
        <f>HYPERLINK("http://dx.doi.org/10.1002/batt.202200369","http://dx.doi.org/10.1002/batt.202200369")</f>
        <v>http://dx.doi.org/10.1002/batt.202200369</v>
      </c>
      <c r="BG394" t="s">
        <v>74</v>
      </c>
      <c r="BH394" t="s">
        <v>683</v>
      </c>
      <c r="BI394" t="s">
        <v>74</v>
      </c>
      <c r="BJ394" t="s">
        <v>74</v>
      </c>
      <c r="BK394" t="s">
        <v>74</v>
      </c>
      <c r="BL394" t="s">
        <v>74</v>
      </c>
      <c r="BM394" t="s">
        <v>74</v>
      </c>
      <c r="BN394" t="s">
        <v>74</v>
      </c>
      <c r="BO394" t="s">
        <v>74</v>
      </c>
      <c r="BP394" t="s">
        <v>74</v>
      </c>
      <c r="BQ394" t="s">
        <v>74</v>
      </c>
      <c r="BR394" t="s">
        <v>74</v>
      </c>
      <c r="BS394" t="s">
        <v>3670</v>
      </c>
      <c r="BT394" t="str">
        <f>HYPERLINK("https%3A%2F%2Fwww.webofscience.com%2Fwos%2Fwoscc%2Ffull-record%2FWOS:000878321800001","View Full Record in Web of Science")</f>
        <v>View Full Record in Web of Science</v>
      </c>
    </row>
    <row r="395" spans="1:72" x14ac:dyDescent="0.25">
      <c r="A395" t="s">
        <v>84</v>
      </c>
      <c r="B395" t="s">
        <v>3671</v>
      </c>
      <c r="C395" t="s">
        <v>74</v>
      </c>
      <c r="D395" t="s">
        <v>3672</v>
      </c>
      <c r="E395" t="s">
        <v>74</v>
      </c>
      <c r="F395" t="s">
        <v>3673</v>
      </c>
      <c r="G395" t="s">
        <v>74</v>
      </c>
      <c r="H395" t="s">
        <v>74</v>
      </c>
      <c r="I395" t="s">
        <v>3674</v>
      </c>
      <c r="J395" t="s">
        <v>3675</v>
      </c>
      <c r="K395" t="s">
        <v>158</v>
      </c>
      <c r="L395" t="s">
        <v>74</v>
      </c>
      <c r="M395" t="s">
        <v>74</v>
      </c>
      <c r="N395" t="s">
        <v>74</v>
      </c>
      <c r="O395" t="s">
        <v>3676</v>
      </c>
      <c r="P395" t="s">
        <v>3177</v>
      </c>
      <c r="Q395" t="s">
        <v>3677</v>
      </c>
      <c r="R395" t="s">
        <v>74</v>
      </c>
      <c r="S395" t="s">
        <v>74</v>
      </c>
      <c r="T395" t="s">
        <v>74</v>
      </c>
      <c r="U395" t="s">
        <v>74</v>
      </c>
      <c r="V395" t="s">
        <v>3678</v>
      </c>
      <c r="W395" t="s">
        <v>74</v>
      </c>
      <c r="X395" t="s">
        <v>74</v>
      </c>
      <c r="Y395" t="s">
        <v>74</v>
      </c>
      <c r="Z395" t="s">
        <v>74</v>
      </c>
      <c r="AA395" t="s">
        <v>74</v>
      </c>
      <c r="AB395" t="s">
        <v>74</v>
      </c>
      <c r="AC395" t="s">
        <v>74</v>
      </c>
      <c r="AD395" t="s">
        <v>74</v>
      </c>
      <c r="AE395" t="s">
        <v>74</v>
      </c>
      <c r="AF395" t="s">
        <v>74</v>
      </c>
      <c r="AG395" t="s">
        <v>74</v>
      </c>
      <c r="AH395" t="s">
        <v>74</v>
      </c>
      <c r="AI395" t="s">
        <v>74</v>
      </c>
      <c r="AJ395" t="s">
        <v>74</v>
      </c>
      <c r="AK395" t="s">
        <v>74</v>
      </c>
      <c r="AL395" t="s">
        <v>74</v>
      </c>
      <c r="AM395" t="s">
        <v>74</v>
      </c>
      <c r="AN395" t="s">
        <v>74</v>
      </c>
      <c r="AO395" t="s">
        <v>164</v>
      </c>
      <c r="AP395" t="s">
        <v>165</v>
      </c>
      <c r="AQ395" t="s">
        <v>3679</v>
      </c>
      <c r="AR395" t="s">
        <v>74</v>
      </c>
      <c r="AS395" t="s">
        <v>74</v>
      </c>
      <c r="AT395" t="s">
        <v>74</v>
      </c>
      <c r="AU395">
        <v>2022</v>
      </c>
      <c r="AV395">
        <v>13668</v>
      </c>
      <c r="AW395" t="s">
        <v>74</v>
      </c>
      <c r="AX395" t="s">
        <v>74</v>
      </c>
      <c r="AY395" t="s">
        <v>74</v>
      </c>
      <c r="AZ395" t="s">
        <v>74</v>
      </c>
      <c r="BA395" t="s">
        <v>74</v>
      </c>
      <c r="BB395">
        <v>414</v>
      </c>
      <c r="BC395">
        <v>430</v>
      </c>
      <c r="BD395" t="s">
        <v>74</v>
      </c>
      <c r="BE395" t="s">
        <v>3680</v>
      </c>
      <c r="BF395" t="str">
        <f>HYPERLINK("http://dx.doi.org/10.1007/978-3-031-20074-8_24","http://dx.doi.org/10.1007/978-3-031-20074-8_24")</f>
        <v>http://dx.doi.org/10.1007/978-3-031-20074-8_24</v>
      </c>
      <c r="BG395" t="s">
        <v>74</v>
      </c>
      <c r="BH395" t="s">
        <v>74</v>
      </c>
      <c r="BI395" t="s">
        <v>74</v>
      </c>
      <c r="BJ395" t="s">
        <v>74</v>
      </c>
      <c r="BK395" t="s">
        <v>74</v>
      </c>
      <c r="BL395" t="s">
        <v>74</v>
      </c>
      <c r="BM395" t="s">
        <v>74</v>
      </c>
      <c r="BN395" t="s">
        <v>74</v>
      </c>
      <c r="BO395" t="s">
        <v>74</v>
      </c>
      <c r="BP395" t="s">
        <v>74</v>
      </c>
      <c r="BQ395" t="s">
        <v>74</v>
      </c>
      <c r="BR395" t="s">
        <v>74</v>
      </c>
      <c r="BS395" t="s">
        <v>3681</v>
      </c>
      <c r="BT395" t="str">
        <f>HYPERLINK("https%3A%2F%2Fwww.webofscience.com%2Fwos%2Fwoscc%2Ffull-record%2FWOS:000897111300024","View Full Record in Web of Science")</f>
        <v>View Full Record in Web of Science</v>
      </c>
    </row>
    <row r="396" spans="1:72" x14ac:dyDescent="0.25">
      <c r="A396" t="s">
        <v>72</v>
      </c>
      <c r="B396" t="s">
        <v>3682</v>
      </c>
      <c r="C396" t="s">
        <v>74</v>
      </c>
      <c r="D396" t="s">
        <v>74</v>
      </c>
      <c r="E396" t="s">
        <v>74</v>
      </c>
      <c r="F396" t="s">
        <v>3683</v>
      </c>
      <c r="G396" t="s">
        <v>74</v>
      </c>
      <c r="H396" t="s">
        <v>74</v>
      </c>
      <c r="I396" t="s">
        <v>3684</v>
      </c>
      <c r="J396" t="s">
        <v>3685</v>
      </c>
      <c r="K396" t="s">
        <v>74</v>
      </c>
      <c r="L396" t="s">
        <v>74</v>
      </c>
      <c r="M396" t="s">
        <v>74</v>
      </c>
      <c r="N396" t="s">
        <v>74</v>
      </c>
      <c r="O396" t="s">
        <v>74</v>
      </c>
      <c r="P396" t="s">
        <v>74</v>
      </c>
      <c r="Q396" t="s">
        <v>74</v>
      </c>
      <c r="R396" t="s">
        <v>74</v>
      </c>
      <c r="S396" t="s">
        <v>74</v>
      </c>
      <c r="T396" t="s">
        <v>74</v>
      </c>
      <c r="U396" t="s">
        <v>74</v>
      </c>
      <c r="V396" t="s">
        <v>3686</v>
      </c>
      <c r="W396" t="s">
        <v>74</v>
      </c>
      <c r="X396" t="s">
        <v>74</v>
      </c>
      <c r="Y396" t="s">
        <v>74</v>
      </c>
      <c r="Z396" t="s">
        <v>74</v>
      </c>
      <c r="AA396" t="s">
        <v>1091</v>
      </c>
      <c r="AB396" t="s">
        <v>3687</v>
      </c>
      <c r="AC396" t="s">
        <v>74</v>
      </c>
      <c r="AD396" t="s">
        <v>74</v>
      </c>
      <c r="AE396" t="s">
        <v>74</v>
      </c>
      <c r="AF396" t="s">
        <v>74</v>
      </c>
      <c r="AG396" t="s">
        <v>74</v>
      </c>
      <c r="AH396" t="s">
        <v>74</v>
      </c>
      <c r="AI396" t="s">
        <v>74</v>
      </c>
      <c r="AJ396" t="s">
        <v>74</v>
      </c>
      <c r="AK396" t="s">
        <v>74</v>
      </c>
      <c r="AL396" t="s">
        <v>74</v>
      </c>
      <c r="AM396" t="s">
        <v>74</v>
      </c>
      <c r="AN396" t="s">
        <v>74</v>
      </c>
      <c r="AO396" t="s">
        <v>74</v>
      </c>
      <c r="AP396" t="s">
        <v>3688</v>
      </c>
      <c r="AQ396" t="s">
        <v>74</v>
      </c>
      <c r="AR396" t="s">
        <v>74</v>
      </c>
      <c r="AS396" t="s">
        <v>74</v>
      </c>
      <c r="AT396" t="s">
        <v>3689</v>
      </c>
      <c r="AU396">
        <v>2022</v>
      </c>
      <c r="AV396">
        <v>25</v>
      </c>
      <c r="AW396">
        <v>5</v>
      </c>
      <c r="AX396" t="s">
        <v>74</v>
      </c>
      <c r="AY396" t="s">
        <v>74</v>
      </c>
      <c r="AZ396" t="s">
        <v>74</v>
      </c>
      <c r="BA396" t="s">
        <v>74</v>
      </c>
      <c r="BB396" t="s">
        <v>74</v>
      </c>
      <c r="BC396" t="s">
        <v>74</v>
      </c>
      <c r="BD396">
        <v>104320</v>
      </c>
      <c r="BE396" t="s">
        <v>3690</v>
      </c>
      <c r="BF396" t="str">
        <f>HYPERLINK("http://dx.doi.org/10.1016/j.isci.2022.104320","http://dx.doi.org/10.1016/j.isci.2022.104320")</f>
        <v>http://dx.doi.org/10.1016/j.isci.2022.104320</v>
      </c>
      <c r="BG396" t="s">
        <v>74</v>
      </c>
      <c r="BH396" t="s">
        <v>1368</v>
      </c>
      <c r="BI396" t="s">
        <v>74</v>
      </c>
      <c r="BJ396" t="s">
        <v>74</v>
      </c>
      <c r="BK396" t="s">
        <v>74</v>
      </c>
      <c r="BL396" t="s">
        <v>74</v>
      </c>
      <c r="BM396" t="s">
        <v>74</v>
      </c>
      <c r="BN396">
        <v>35602961</v>
      </c>
      <c r="BO396" t="s">
        <v>74</v>
      </c>
      <c r="BP396" t="s">
        <v>74</v>
      </c>
      <c r="BQ396" t="s">
        <v>74</v>
      </c>
      <c r="BR396" t="s">
        <v>74</v>
      </c>
      <c r="BS396" t="s">
        <v>3691</v>
      </c>
      <c r="BT396" t="str">
        <f>HYPERLINK("https%3A%2F%2Fwww.webofscience.com%2Fwos%2Fwoscc%2Ffull-record%2FWOS:000881481200002","View Full Record in Web of Science")</f>
        <v>View Full Record in Web of Science</v>
      </c>
    </row>
    <row r="397" spans="1:72" x14ac:dyDescent="0.25">
      <c r="A397" t="s">
        <v>84</v>
      </c>
      <c r="B397" t="s">
        <v>3692</v>
      </c>
      <c r="C397" t="s">
        <v>74</v>
      </c>
      <c r="D397" t="s">
        <v>74</v>
      </c>
      <c r="E397" t="s">
        <v>86</v>
      </c>
      <c r="F397" t="s">
        <v>3693</v>
      </c>
      <c r="G397" t="s">
        <v>74</v>
      </c>
      <c r="H397" t="s">
        <v>74</v>
      </c>
      <c r="I397" t="s">
        <v>3694</v>
      </c>
      <c r="J397" t="s">
        <v>3695</v>
      </c>
      <c r="K397" t="s">
        <v>3696</v>
      </c>
      <c r="L397" t="s">
        <v>74</v>
      </c>
      <c r="M397" t="s">
        <v>74</v>
      </c>
      <c r="N397" t="s">
        <v>74</v>
      </c>
      <c r="O397" t="s">
        <v>3697</v>
      </c>
      <c r="P397" t="s">
        <v>3698</v>
      </c>
      <c r="Q397" t="s">
        <v>3699</v>
      </c>
      <c r="R397" t="s">
        <v>86</v>
      </c>
      <c r="S397" t="s">
        <v>74</v>
      </c>
      <c r="T397" t="s">
        <v>74</v>
      </c>
      <c r="U397" t="s">
        <v>74</v>
      </c>
      <c r="V397" t="s">
        <v>3700</v>
      </c>
      <c r="W397" t="s">
        <v>74</v>
      </c>
      <c r="X397" t="s">
        <v>74</v>
      </c>
      <c r="Y397" t="s">
        <v>74</v>
      </c>
      <c r="Z397" t="s">
        <v>74</v>
      </c>
      <c r="AA397" t="s">
        <v>3290</v>
      </c>
      <c r="AB397" t="s">
        <v>3291</v>
      </c>
      <c r="AC397" t="s">
        <v>74</v>
      </c>
      <c r="AD397" t="s">
        <v>74</v>
      </c>
      <c r="AE397" t="s">
        <v>74</v>
      </c>
      <c r="AF397" t="s">
        <v>74</v>
      </c>
      <c r="AG397" t="s">
        <v>74</v>
      </c>
      <c r="AH397" t="s">
        <v>74</v>
      </c>
      <c r="AI397" t="s">
        <v>74</v>
      </c>
      <c r="AJ397" t="s">
        <v>74</v>
      </c>
      <c r="AK397" t="s">
        <v>74</v>
      </c>
      <c r="AL397" t="s">
        <v>74</v>
      </c>
      <c r="AM397" t="s">
        <v>74</v>
      </c>
      <c r="AN397" t="s">
        <v>74</v>
      </c>
      <c r="AO397" t="s">
        <v>3701</v>
      </c>
      <c r="AP397" t="s">
        <v>74</v>
      </c>
      <c r="AQ397" t="s">
        <v>3702</v>
      </c>
      <c r="AR397" t="s">
        <v>74</v>
      </c>
      <c r="AS397" t="s">
        <v>74</v>
      </c>
      <c r="AT397" t="s">
        <v>74</v>
      </c>
      <c r="AU397">
        <v>2022</v>
      </c>
      <c r="AV397" t="s">
        <v>74</v>
      </c>
      <c r="AW397" t="s">
        <v>74</v>
      </c>
      <c r="AX397" t="s">
        <v>74</v>
      </c>
      <c r="AY397" t="s">
        <v>74</v>
      </c>
      <c r="AZ397" t="s">
        <v>74</v>
      </c>
      <c r="BA397" t="s">
        <v>74</v>
      </c>
      <c r="BB397">
        <v>1987</v>
      </c>
      <c r="BC397">
        <v>1992</v>
      </c>
      <c r="BD397" t="s">
        <v>74</v>
      </c>
      <c r="BE397" t="s">
        <v>3703</v>
      </c>
      <c r="BF397" t="str">
        <f>HYPERLINK("http://dx.doi.org/10.1109/WCNC51071.2022.9771838","http://dx.doi.org/10.1109/WCNC51071.2022.9771838")</f>
        <v>http://dx.doi.org/10.1109/WCNC51071.2022.9771838</v>
      </c>
      <c r="BG397" t="s">
        <v>74</v>
      </c>
      <c r="BH397" t="s">
        <v>74</v>
      </c>
      <c r="BI397" t="s">
        <v>74</v>
      </c>
      <c r="BJ397" t="s">
        <v>74</v>
      </c>
      <c r="BK397" t="s">
        <v>74</v>
      </c>
      <c r="BL397" t="s">
        <v>74</v>
      </c>
      <c r="BM397" t="s">
        <v>74</v>
      </c>
      <c r="BN397" t="s">
        <v>74</v>
      </c>
      <c r="BO397" t="s">
        <v>74</v>
      </c>
      <c r="BP397" t="s">
        <v>74</v>
      </c>
      <c r="BQ397" t="s">
        <v>74</v>
      </c>
      <c r="BR397" t="s">
        <v>74</v>
      </c>
      <c r="BS397" t="s">
        <v>3704</v>
      </c>
      <c r="BT397" t="str">
        <f>HYPERLINK("https%3A%2F%2Fwww.webofscience.com%2Fwos%2Fwoscc%2Ffull-record%2FWOS:000819473100335","View Full Record in Web of Science")</f>
        <v>View Full Record in Web of Science</v>
      </c>
    </row>
    <row r="398" spans="1:72" x14ac:dyDescent="0.25">
      <c r="A398" t="s">
        <v>84</v>
      </c>
      <c r="B398" t="s">
        <v>3705</v>
      </c>
      <c r="C398" t="s">
        <v>74</v>
      </c>
      <c r="D398" t="s">
        <v>74</v>
      </c>
      <c r="E398" t="s">
        <v>233</v>
      </c>
      <c r="F398" t="s">
        <v>3706</v>
      </c>
      <c r="G398" t="s">
        <v>74</v>
      </c>
      <c r="H398" t="s">
        <v>74</v>
      </c>
      <c r="I398" t="s">
        <v>3707</v>
      </c>
      <c r="J398" t="s">
        <v>3034</v>
      </c>
      <c r="K398" t="s">
        <v>74</v>
      </c>
      <c r="L398" t="s">
        <v>74</v>
      </c>
      <c r="M398" t="s">
        <v>74</v>
      </c>
      <c r="N398" t="s">
        <v>74</v>
      </c>
      <c r="O398" t="s">
        <v>3035</v>
      </c>
      <c r="P398" t="s">
        <v>3036</v>
      </c>
      <c r="Q398" t="s">
        <v>3037</v>
      </c>
      <c r="R398" t="s">
        <v>3038</v>
      </c>
      <c r="S398" t="s">
        <v>74</v>
      </c>
      <c r="T398" t="s">
        <v>74</v>
      </c>
      <c r="U398" t="s">
        <v>74</v>
      </c>
      <c r="V398" t="s">
        <v>3708</v>
      </c>
      <c r="W398" t="s">
        <v>74</v>
      </c>
      <c r="X398" t="s">
        <v>74</v>
      </c>
      <c r="Y398" t="s">
        <v>74</v>
      </c>
      <c r="Z398" t="s">
        <v>74</v>
      </c>
      <c r="AA398" t="s">
        <v>74</v>
      </c>
      <c r="AB398" t="s">
        <v>74</v>
      </c>
      <c r="AC398" t="s">
        <v>74</v>
      </c>
      <c r="AD398" t="s">
        <v>74</v>
      </c>
      <c r="AE398" t="s">
        <v>74</v>
      </c>
      <c r="AF398" t="s">
        <v>74</v>
      </c>
      <c r="AG398" t="s">
        <v>74</v>
      </c>
      <c r="AH398" t="s">
        <v>74</v>
      </c>
      <c r="AI398" t="s">
        <v>74</v>
      </c>
      <c r="AJ398" t="s">
        <v>74</v>
      </c>
      <c r="AK398" t="s">
        <v>74</v>
      </c>
      <c r="AL398" t="s">
        <v>74</v>
      </c>
      <c r="AM398" t="s">
        <v>74</v>
      </c>
      <c r="AN398" t="s">
        <v>74</v>
      </c>
      <c r="AO398" t="s">
        <v>74</v>
      </c>
      <c r="AP398" t="s">
        <v>74</v>
      </c>
      <c r="AQ398" t="s">
        <v>3040</v>
      </c>
      <c r="AR398" t="s">
        <v>74</v>
      </c>
      <c r="AS398" t="s">
        <v>74</v>
      </c>
      <c r="AT398" t="s">
        <v>74</v>
      </c>
      <c r="AU398">
        <v>2022</v>
      </c>
      <c r="AV398" t="s">
        <v>74</v>
      </c>
      <c r="AW398" t="s">
        <v>74</v>
      </c>
      <c r="AX398" t="s">
        <v>74</v>
      </c>
      <c r="AY398" t="s">
        <v>74</v>
      </c>
      <c r="AZ398" t="s">
        <v>74</v>
      </c>
      <c r="BA398" t="s">
        <v>74</v>
      </c>
      <c r="BB398">
        <v>500</v>
      </c>
      <c r="BC398">
        <v>507</v>
      </c>
      <c r="BD398" t="s">
        <v>74</v>
      </c>
      <c r="BE398" t="s">
        <v>3709</v>
      </c>
      <c r="BF398" t="str">
        <f>HYPERLINK("http://dx.doi.org/10.1109/Blockchain55522.2022.00077","http://dx.doi.org/10.1109/Blockchain55522.2022.00077")</f>
        <v>http://dx.doi.org/10.1109/Blockchain55522.2022.00077</v>
      </c>
      <c r="BG398" t="s">
        <v>74</v>
      </c>
      <c r="BH398" t="s">
        <v>74</v>
      </c>
      <c r="BI398" t="s">
        <v>74</v>
      </c>
      <c r="BJ398" t="s">
        <v>74</v>
      </c>
      <c r="BK398" t="s">
        <v>74</v>
      </c>
      <c r="BL398" t="s">
        <v>74</v>
      </c>
      <c r="BM398" t="s">
        <v>74</v>
      </c>
      <c r="BN398" t="s">
        <v>74</v>
      </c>
      <c r="BO398" t="s">
        <v>74</v>
      </c>
      <c r="BP398" t="s">
        <v>74</v>
      </c>
      <c r="BQ398" t="s">
        <v>74</v>
      </c>
      <c r="BR398" t="s">
        <v>74</v>
      </c>
      <c r="BS398" t="s">
        <v>3710</v>
      </c>
      <c r="BT398" t="str">
        <f>HYPERLINK("https%3A%2F%2Fwww.webofscience.com%2Fwos%2Fwoscc%2Ffull-record%2FWOS:000865770500066","View Full Record in Web of Science")</f>
        <v>View Full Record in Web of Science</v>
      </c>
    </row>
    <row r="399" spans="1:72" x14ac:dyDescent="0.25">
      <c r="A399" t="s">
        <v>72</v>
      </c>
      <c r="B399" t="s">
        <v>3711</v>
      </c>
      <c r="C399" t="s">
        <v>74</v>
      </c>
      <c r="D399" t="s">
        <v>74</v>
      </c>
      <c r="E399" t="s">
        <v>74</v>
      </c>
      <c r="F399" t="s">
        <v>3712</v>
      </c>
      <c r="G399" t="s">
        <v>74</v>
      </c>
      <c r="H399" t="s">
        <v>74</v>
      </c>
      <c r="I399" t="s">
        <v>3713</v>
      </c>
      <c r="J399" t="s">
        <v>3714</v>
      </c>
      <c r="K399" t="s">
        <v>74</v>
      </c>
      <c r="L399" t="s">
        <v>74</v>
      </c>
      <c r="M399" t="s">
        <v>74</v>
      </c>
      <c r="N399" t="s">
        <v>74</v>
      </c>
      <c r="O399" t="s">
        <v>74</v>
      </c>
      <c r="P399" t="s">
        <v>74</v>
      </c>
      <c r="Q399" t="s">
        <v>74</v>
      </c>
      <c r="R399" t="s">
        <v>74</v>
      </c>
      <c r="S399" t="s">
        <v>74</v>
      </c>
      <c r="T399" t="s">
        <v>74</v>
      </c>
      <c r="U399" t="s">
        <v>74</v>
      </c>
      <c r="V399" t="s">
        <v>3715</v>
      </c>
      <c r="W399" t="s">
        <v>74</v>
      </c>
      <c r="X399" t="s">
        <v>74</v>
      </c>
      <c r="Y399" t="s">
        <v>74</v>
      </c>
      <c r="Z399" t="s">
        <v>74</v>
      </c>
      <c r="AA399" t="s">
        <v>74</v>
      </c>
      <c r="AB399" t="s">
        <v>74</v>
      </c>
      <c r="AC399" t="s">
        <v>74</v>
      </c>
      <c r="AD399" t="s">
        <v>74</v>
      </c>
      <c r="AE399" t="s">
        <v>74</v>
      </c>
      <c r="AF399" t="s">
        <v>74</v>
      </c>
      <c r="AG399" t="s">
        <v>74</v>
      </c>
      <c r="AH399" t="s">
        <v>74</v>
      </c>
      <c r="AI399" t="s">
        <v>74</v>
      </c>
      <c r="AJ399" t="s">
        <v>74</v>
      </c>
      <c r="AK399" t="s">
        <v>74</v>
      </c>
      <c r="AL399" t="s">
        <v>74</v>
      </c>
      <c r="AM399" t="s">
        <v>74</v>
      </c>
      <c r="AN399" t="s">
        <v>74</v>
      </c>
      <c r="AO399" t="s">
        <v>3716</v>
      </c>
      <c r="AP399" t="s">
        <v>3717</v>
      </c>
      <c r="AQ399" t="s">
        <v>74</v>
      </c>
      <c r="AR399" t="s">
        <v>74</v>
      </c>
      <c r="AS399" t="s">
        <v>74</v>
      </c>
      <c r="AT399" t="s">
        <v>536</v>
      </c>
      <c r="AU399">
        <v>2023</v>
      </c>
      <c r="AV399">
        <v>633</v>
      </c>
      <c r="AW399" t="s">
        <v>74</v>
      </c>
      <c r="AX399" t="s">
        <v>74</v>
      </c>
      <c r="AY399" t="s">
        <v>74</v>
      </c>
      <c r="AZ399" t="s">
        <v>74</v>
      </c>
      <c r="BA399" t="s">
        <v>74</v>
      </c>
      <c r="BB399">
        <v>85</v>
      </c>
      <c r="BC399">
        <v>103</v>
      </c>
      <c r="BD399" t="s">
        <v>74</v>
      </c>
      <c r="BE399" t="s">
        <v>3718</v>
      </c>
      <c r="BF399" t="str">
        <f>HYPERLINK("http://dx.doi.org/10.1016/j.ins.2023.03.062","http://dx.doi.org/10.1016/j.ins.2023.03.062")</f>
        <v>http://dx.doi.org/10.1016/j.ins.2023.03.062</v>
      </c>
      <c r="BG399" t="s">
        <v>74</v>
      </c>
      <c r="BH399" t="s">
        <v>401</v>
      </c>
      <c r="BI399" t="s">
        <v>74</v>
      </c>
      <c r="BJ399" t="s">
        <v>74</v>
      </c>
      <c r="BK399" t="s">
        <v>74</v>
      </c>
      <c r="BL399" t="s">
        <v>74</v>
      </c>
      <c r="BM399" t="s">
        <v>74</v>
      </c>
      <c r="BN399" t="s">
        <v>74</v>
      </c>
      <c r="BO399" t="s">
        <v>74</v>
      </c>
      <c r="BP399" t="s">
        <v>74</v>
      </c>
      <c r="BQ399" t="s">
        <v>74</v>
      </c>
      <c r="BR399" t="s">
        <v>74</v>
      </c>
      <c r="BS399" t="s">
        <v>3719</v>
      </c>
      <c r="BT399" t="str">
        <f>HYPERLINK("https%3A%2F%2Fwww.webofscience.com%2Fwos%2Fwoscc%2Ffull-record%2FWOS:000974311800001","View Full Record in Web of Science")</f>
        <v>View Full Record in Web of Science</v>
      </c>
    </row>
    <row r="400" spans="1:72" x14ac:dyDescent="0.25">
      <c r="A400" t="s">
        <v>72</v>
      </c>
      <c r="B400" t="s">
        <v>3720</v>
      </c>
      <c r="C400" t="s">
        <v>74</v>
      </c>
      <c r="D400" t="s">
        <v>74</v>
      </c>
      <c r="E400" t="s">
        <v>74</v>
      </c>
      <c r="F400" t="s">
        <v>3721</v>
      </c>
      <c r="G400" t="s">
        <v>74</v>
      </c>
      <c r="H400" t="s">
        <v>74</v>
      </c>
      <c r="I400" t="s">
        <v>3722</v>
      </c>
      <c r="J400" t="s">
        <v>653</v>
      </c>
      <c r="K400" t="s">
        <v>74</v>
      </c>
      <c r="L400" t="s">
        <v>74</v>
      </c>
      <c r="M400" t="s">
        <v>74</v>
      </c>
      <c r="N400" t="s">
        <v>74</v>
      </c>
      <c r="O400" t="s">
        <v>74</v>
      </c>
      <c r="P400" t="s">
        <v>74</v>
      </c>
      <c r="Q400" t="s">
        <v>74</v>
      </c>
      <c r="R400" t="s">
        <v>74</v>
      </c>
      <c r="S400" t="s">
        <v>74</v>
      </c>
      <c r="T400" t="s">
        <v>74</v>
      </c>
      <c r="U400" t="s">
        <v>74</v>
      </c>
      <c r="V400" t="s">
        <v>3723</v>
      </c>
      <c r="W400" t="s">
        <v>74</v>
      </c>
      <c r="X400" t="s">
        <v>74</v>
      </c>
      <c r="Y400" t="s">
        <v>74</v>
      </c>
      <c r="Z400" t="s">
        <v>74</v>
      </c>
      <c r="AA400" t="s">
        <v>74</v>
      </c>
      <c r="AB400" t="s">
        <v>3724</v>
      </c>
      <c r="AC400" t="s">
        <v>74</v>
      </c>
      <c r="AD400" t="s">
        <v>74</v>
      </c>
      <c r="AE400" t="s">
        <v>74</v>
      </c>
      <c r="AF400" t="s">
        <v>74</v>
      </c>
      <c r="AG400" t="s">
        <v>74</v>
      </c>
      <c r="AH400" t="s">
        <v>74</v>
      </c>
      <c r="AI400" t="s">
        <v>74</v>
      </c>
      <c r="AJ400" t="s">
        <v>74</v>
      </c>
      <c r="AK400" t="s">
        <v>74</v>
      </c>
      <c r="AL400" t="s">
        <v>74</v>
      </c>
      <c r="AM400" t="s">
        <v>74</v>
      </c>
      <c r="AN400" t="s">
        <v>74</v>
      </c>
      <c r="AO400" t="s">
        <v>657</v>
      </c>
      <c r="AP400" t="s">
        <v>658</v>
      </c>
      <c r="AQ400" t="s">
        <v>74</v>
      </c>
      <c r="AR400" t="s">
        <v>74</v>
      </c>
      <c r="AS400" t="s">
        <v>74</v>
      </c>
      <c r="AT400" t="s">
        <v>74</v>
      </c>
      <c r="AU400" t="s">
        <v>74</v>
      </c>
      <c r="AV400" t="s">
        <v>74</v>
      </c>
      <c r="AW400" t="s">
        <v>74</v>
      </c>
      <c r="AX400" t="s">
        <v>74</v>
      </c>
      <c r="AY400" t="s">
        <v>74</v>
      </c>
      <c r="AZ400" t="s">
        <v>74</v>
      </c>
      <c r="BA400" t="s">
        <v>74</v>
      </c>
      <c r="BB400" t="s">
        <v>74</v>
      </c>
      <c r="BC400" t="s">
        <v>74</v>
      </c>
      <c r="BD400" t="s">
        <v>74</v>
      </c>
      <c r="BE400" t="s">
        <v>3725</v>
      </c>
      <c r="BF400" t="str">
        <f>HYPERLINK("http://dx.doi.org/10.1080/10447318.2023.2181872","http://dx.doi.org/10.1080/10447318.2023.2181872")</f>
        <v>http://dx.doi.org/10.1080/10447318.2023.2181872</v>
      </c>
      <c r="BG400" t="s">
        <v>74</v>
      </c>
      <c r="BH400" t="s">
        <v>218</v>
      </c>
      <c r="BI400" t="s">
        <v>74</v>
      </c>
      <c r="BJ400" t="s">
        <v>74</v>
      </c>
      <c r="BK400" t="s">
        <v>74</v>
      </c>
      <c r="BL400" t="s">
        <v>74</v>
      </c>
      <c r="BM400" t="s">
        <v>74</v>
      </c>
      <c r="BN400" t="s">
        <v>74</v>
      </c>
      <c r="BO400" t="s">
        <v>74</v>
      </c>
      <c r="BP400" t="s">
        <v>74</v>
      </c>
      <c r="BQ400" t="s">
        <v>74</v>
      </c>
      <c r="BR400" t="s">
        <v>74</v>
      </c>
      <c r="BS400" t="s">
        <v>3726</v>
      </c>
      <c r="BT400" t="str">
        <f>HYPERLINK("https%3A%2F%2Fwww.webofscience.com%2Fwos%2Fwoscc%2Ffull-record%2FWOS:000939545000001","View Full Record in Web of Science")</f>
        <v>View Full Record in Web of Science</v>
      </c>
    </row>
    <row r="401" spans="1:72" x14ac:dyDescent="0.25">
      <c r="A401" t="s">
        <v>84</v>
      </c>
      <c r="B401" t="s">
        <v>3727</v>
      </c>
      <c r="C401" t="s">
        <v>74</v>
      </c>
      <c r="D401" t="s">
        <v>74</v>
      </c>
      <c r="E401" t="s">
        <v>86</v>
      </c>
      <c r="F401" t="s">
        <v>3728</v>
      </c>
      <c r="G401" t="s">
        <v>74</v>
      </c>
      <c r="H401" t="s">
        <v>74</v>
      </c>
      <c r="I401" t="s">
        <v>3729</v>
      </c>
      <c r="J401" t="s">
        <v>3730</v>
      </c>
      <c r="K401" t="s">
        <v>3731</v>
      </c>
      <c r="L401" t="s">
        <v>74</v>
      </c>
      <c r="M401" t="s">
        <v>74</v>
      </c>
      <c r="N401" t="s">
        <v>74</v>
      </c>
      <c r="O401" t="s">
        <v>3732</v>
      </c>
      <c r="P401" t="s">
        <v>3733</v>
      </c>
      <c r="Q401" t="s">
        <v>108</v>
      </c>
      <c r="R401" t="s">
        <v>86</v>
      </c>
      <c r="S401" t="s">
        <v>74</v>
      </c>
      <c r="T401" t="s">
        <v>74</v>
      </c>
      <c r="U401" t="s">
        <v>74</v>
      </c>
      <c r="V401" t="s">
        <v>3734</v>
      </c>
      <c r="W401" t="s">
        <v>74</v>
      </c>
      <c r="X401" t="s">
        <v>74</v>
      </c>
      <c r="Y401" t="s">
        <v>74</v>
      </c>
      <c r="Z401" t="s">
        <v>74</v>
      </c>
      <c r="AA401" t="s">
        <v>74</v>
      </c>
      <c r="AB401" t="s">
        <v>3735</v>
      </c>
      <c r="AC401" t="s">
        <v>74</v>
      </c>
      <c r="AD401" t="s">
        <v>74</v>
      </c>
      <c r="AE401" t="s">
        <v>74</v>
      </c>
      <c r="AF401" t="s">
        <v>74</v>
      </c>
      <c r="AG401" t="s">
        <v>74</v>
      </c>
      <c r="AH401" t="s">
        <v>74</v>
      </c>
      <c r="AI401" t="s">
        <v>74</v>
      </c>
      <c r="AJ401" t="s">
        <v>74</v>
      </c>
      <c r="AK401" t="s">
        <v>74</v>
      </c>
      <c r="AL401" t="s">
        <v>74</v>
      </c>
      <c r="AM401" t="s">
        <v>74</v>
      </c>
      <c r="AN401" t="s">
        <v>74</v>
      </c>
      <c r="AO401" t="s">
        <v>3736</v>
      </c>
      <c r="AP401" t="s">
        <v>74</v>
      </c>
      <c r="AQ401" t="s">
        <v>3737</v>
      </c>
      <c r="AR401" t="s">
        <v>74</v>
      </c>
      <c r="AS401" t="s">
        <v>74</v>
      </c>
      <c r="AT401" t="s">
        <v>74</v>
      </c>
      <c r="AU401">
        <v>2022</v>
      </c>
      <c r="AV401" t="s">
        <v>74</v>
      </c>
      <c r="AW401" t="s">
        <v>74</v>
      </c>
      <c r="AX401" t="s">
        <v>74</v>
      </c>
      <c r="AY401" t="s">
        <v>74</v>
      </c>
      <c r="AZ401" t="s">
        <v>74</v>
      </c>
      <c r="BA401" t="s">
        <v>74</v>
      </c>
      <c r="BB401">
        <v>217</v>
      </c>
      <c r="BC401">
        <v>225</v>
      </c>
      <c r="BD401" t="s">
        <v>74</v>
      </c>
      <c r="BE401" t="s">
        <v>3738</v>
      </c>
      <c r="BF401" t="str">
        <f>HYPERLINK("http://dx.doi.org/10.1109/SECON55815.2022.9918581","http://dx.doi.org/10.1109/SECON55815.2022.9918581")</f>
        <v>http://dx.doi.org/10.1109/SECON55815.2022.9918581</v>
      </c>
      <c r="BG401" t="s">
        <v>74</v>
      </c>
      <c r="BH401" t="s">
        <v>74</v>
      </c>
      <c r="BI401" t="s">
        <v>74</v>
      </c>
      <c r="BJ401" t="s">
        <v>74</v>
      </c>
      <c r="BK401" t="s">
        <v>74</v>
      </c>
      <c r="BL401" t="s">
        <v>74</v>
      </c>
      <c r="BM401" t="s">
        <v>74</v>
      </c>
      <c r="BN401" t="s">
        <v>74</v>
      </c>
      <c r="BO401" t="s">
        <v>74</v>
      </c>
      <c r="BP401" t="s">
        <v>74</v>
      </c>
      <c r="BQ401" t="s">
        <v>74</v>
      </c>
      <c r="BR401" t="s">
        <v>74</v>
      </c>
      <c r="BS401" t="s">
        <v>3739</v>
      </c>
      <c r="BT401" t="str">
        <f>HYPERLINK("https%3A%2F%2Fwww.webofscience.com%2Fwos%2Fwoscc%2Ffull-record%2FWOS:000886534600025","View Full Record in Web of Science")</f>
        <v>View Full Record in Web of Science</v>
      </c>
    </row>
    <row r="402" spans="1:72" x14ac:dyDescent="0.25">
      <c r="A402" t="s">
        <v>72</v>
      </c>
      <c r="B402" t="s">
        <v>3740</v>
      </c>
      <c r="C402" t="s">
        <v>74</v>
      </c>
      <c r="D402" t="s">
        <v>74</v>
      </c>
      <c r="E402" t="s">
        <v>74</v>
      </c>
      <c r="F402" t="s">
        <v>3741</v>
      </c>
      <c r="G402" t="s">
        <v>74</v>
      </c>
      <c r="H402" t="s">
        <v>74</v>
      </c>
      <c r="I402" t="s">
        <v>3742</v>
      </c>
      <c r="J402" t="s">
        <v>3743</v>
      </c>
      <c r="K402" t="s">
        <v>74</v>
      </c>
      <c r="L402" t="s">
        <v>74</v>
      </c>
      <c r="M402" t="s">
        <v>74</v>
      </c>
      <c r="N402" t="s">
        <v>74</v>
      </c>
      <c r="O402" t="s">
        <v>74</v>
      </c>
      <c r="P402" t="s">
        <v>74</v>
      </c>
      <c r="Q402" t="s">
        <v>74</v>
      </c>
      <c r="R402" t="s">
        <v>74</v>
      </c>
      <c r="S402" t="s">
        <v>74</v>
      </c>
      <c r="T402" t="s">
        <v>74</v>
      </c>
      <c r="U402" t="s">
        <v>74</v>
      </c>
      <c r="V402" t="s">
        <v>3744</v>
      </c>
      <c r="W402" t="s">
        <v>74</v>
      </c>
      <c r="X402" t="s">
        <v>74</v>
      </c>
      <c r="Y402" t="s">
        <v>74</v>
      </c>
      <c r="Z402" t="s">
        <v>74</v>
      </c>
      <c r="AA402" t="s">
        <v>3745</v>
      </c>
      <c r="AB402" t="s">
        <v>3746</v>
      </c>
      <c r="AC402" t="s">
        <v>74</v>
      </c>
      <c r="AD402" t="s">
        <v>74</v>
      </c>
      <c r="AE402" t="s">
        <v>74</v>
      </c>
      <c r="AF402" t="s">
        <v>74</v>
      </c>
      <c r="AG402" t="s">
        <v>74</v>
      </c>
      <c r="AH402" t="s">
        <v>74</v>
      </c>
      <c r="AI402" t="s">
        <v>74</v>
      </c>
      <c r="AJ402" t="s">
        <v>74</v>
      </c>
      <c r="AK402" t="s">
        <v>74</v>
      </c>
      <c r="AL402" t="s">
        <v>74</v>
      </c>
      <c r="AM402" t="s">
        <v>74</v>
      </c>
      <c r="AN402" t="s">
        <v>74</v>
      </c>
      <c r="AO402" t="s">
        <v>3747</v>
      </c>
      <c r="AP402" t="s">
        <v>3748</v>
      </c>
      <c r="AQ402" t="s">
        <v>74</v>
      </c>
      <c r="AR402" t="s">
        <v>74</v>
      </c>
      <c r="AS402" t="s">
        <v>74</v>
      </c>
      <c r="AT402" t="s">
        <v>74</v>
      </c>
      <c r="AU402" t="s">
        <v>74</v>
      </c>
      <c r="AV402" t="s">
        <v>74</v>
      </c>
      <c r="AW402" t="s">
        <v>74</v>
      </c>
      <c r="AX402" t="s">
        <v>74</v>
      </c>
      <c r="AY402" t="s">
        <v>74</v>
      </c>
      <c r="AZ402" t="s">
        <v>74</v>
      </c>
      <c r="BA402" t="s">
        <v>74</v>
      </c>
      <c r="BB402" t="s">
        <v>74</v>
      </c>
      <c r="BC402" t="s">
        <v>74</v>
      </c>
      <c r="BD402" t="s">
        <v>74</v>
      </c>
      <c r="BE402" t="s">
        <v>3749</v>
      </c>
      <c r="BF402" t="str">
        <f>HYPERLINK("http://dx.doi.org/10.1002/anie.202301618","http://dx.doi.org/10.1002/anie.202301618")</f>
        <v>http://dx.doi.org/10.1002/anie.202301618</v>
      </c>
      <c r="BG402" t="s">
        <v>74</v>
      </c>
      <c r="BH402" t="s">
        <v>611</v>
      </c>
      <c r="BI402" t="s">
        <v>74</v>
      </c>
      <c r="BJ402" t="s">
        <v>74</v>
      </c>
      <c r="BK402" t="s">
        <v>74</v>
      </c>
      <c r="BL402" t="s">
        <v>74</v>
      </c>
      <c r="BM402" t="s">
        <v>74</v>
      </c>
      <c r="BN402">
        <v>36916126</v>
      </c>
      <c r="BO402" t="s">
        <v>74</v>
      </c>
      <c r="BP402" t="s">
        <v>74</v>
      </c>
      <c r="BQ402" t="s">
        <v>74</v>
      </c>
      <c r="BR402" t="s">
        <v>74</v>
      </c>
      <c r="BS402" t="s">
        <v>3750</v>
      </c>
      <c r="BT402" t="str">
        <f>HYPERLINK("https%3A%2F%2Fwww.webofscience.com%2Fwos%2Fwoscc%2Ffull-record%2FWOS:000969519300001","View Full Record in Web of Science")</f>
        <v>View Full Record in Web of Science</v>
      </c>
    </row>
    <row r="403" spans="1:72" x14ac:dyDescent="0.25">
      <c r="A403" t="s">
        <v>84</v>
      </c>
      <c r="B403" t="s">
        <v>3751</v>
      </c>
      <c r="C403" t="s">
        <v>74</v>
      </c>
      <c r="D403" t="s">
        <v>74</v>
      </c>
      <c r="E403" t="s">
        <v>233</v>
      </c>
      <c r="F403" t="s">
        <v>3752</v>
      </c>
      <c r="G403" t="s">
        <v>74</v>
      </c>
      <c r="H403" t="s">
        <v>74</v>
      </c>
      <c r="I403" t="s">
        <v>3753</v>
      </c>
      <c r="J403" t="s">
        <v>1689</v>
      </c>
      <c r="K403" t="s">
        <v>1690</v>
      </c>
      <c r="L403" t="s">
        <v>74</v>
      </c>
      <c r="M403" t="s">
        <v>74</v>
      </c>
      <c r="N403" t="s">
        <v>74</v>
      </c>
      <c r="O403" t="s">
        <v>1691</v>
      </c>
      <c r="P403" t="s">
        <v>1692</v>
      </c>
      <c r="Q403" t="s">
        <v>1693</v>
      </c>
      <c r="R403" t="s">
        <v>1694</v>
      </c>
      <c r="S403" t="s">
        <v>74</v>
      </c>
      <c r="T403" t="s">
        <v>74</v>
      </c>
      <c r="U403" t="s">
        <v>74</v>
      </c>
      <c r="V403" t="s">
        <v>3754</v>
      </c>
      <c r="W403" t="s">
        <v>74</v>
      </c>
      <c r="X403" t="s">
        <v>74</v>
      </c>
      <c r="Y403" t="s">
        <v>74</v>
      </c>
      <c r="Z403" t="s">
        <v>74</v>
      </c>
      <c r="AA403" t="s">
        <v>74</v>
      </c>
      <c r="AB403" t="s">
        <v>3755</v>
      </c>
      <c r="AC403" t="s">
        <v>74</v>
      </c>
      <c r="AD403" t="s">
        <v>74</v>
      </c>
      <c r="AE403" t="s">
        <v>74</v>
      </c>
      <c r="AF403" t="s">
        <v>74</v>
      </c>
      <c r="AG403" t="s">
        <v>74</v>
      </c>
      <c r="AH403" t="s">
        <v>74</v>
      </c>
      <c r="AI403" t="s">
        <v>74</v>
      </c>
      <c r="AJ403" t="s">
        <v>74</v>
      </c>
      <c r="AK403" t="s">
        <v>74</v>
      </c>
      <c r="AL403" t="s">
        <v>74</v>
      </c>
      <c r="AM403" t="s">
        <v>74</v>
      </c>
      <c r="AN403" t="s">
        <v>74</v>
      </c>
      <c r="AO403" t="s">
        <v>1696</v>
      </c>
      <c r="AP403" t="s">
        <v>1697</v>
      </c>
      <c r="AQ403" t="s">
        <v>1698</v>
      </c>
      <c r="AR403" t="s">
        <v>74</v>
      </c>
      <c r="AS403" t="s">
        <v>74</v>
      </c>
      <c r="AT403" t="s">
        <v>74</v>
      </c>
      <c r="AU403">
        <v>2022</v>
      </c>
      <c r="AV403" t="s">
        <v>74</v>
      </c>
      <c r="AW403" t="s">
        <v>74</v>
      </c>
      <c r="AX403" t="s">
        <v>74</v>
      </c>
      <c r="AY403" t="s">
        <v>74</v>
      </c>
      <c r="AZ403" t="s">
        <v>74</v>
      </c>
      <c r="BA403" t="s">
        <v>74</v>
      </c>
      <c r="BB403">
        <v>1</v>
      </c>
      <c r="BC403">
        <v>5</v>
      </c>
      <c r="BD403" t="s">
        <v>74</v>
      </c>
      <c r="BE403" t="s">
        <v>3756</v>
      </c>
      <c r="BF403" t="str">
        <f>HYPERLINK("http://dx.doi.org/10.1109/ISMAR-Adjunct57072.2022.00010","http://dx.doi.org/10.1109/ISMAR-Adjunct57072.2022.00010")</f>
        <v>http://dx.doi.org/10.1109/ISMAR-Adjunct57072.2022.00010</v>
      </c>
      <c r="BG403" t="s">
        <v>74</v>
      </c>
      <c r="BH403" t="s">
        <v>74</v>
      </c>
      <c r="BI403" t="s">
        <v>74</v>
      </c>
      <c r="BJ403" t="s">
        <v>74</v>
      </c>
      <c r="BK403" t="s">
        <v>74</v>
      </c>
      <c r="BL403" t="s">
        <v>74</v>
      </c>
      <c r="BM403" t="s">
        <v>74</v>
      </c>
      <c r="BN403" t="s">
        <v>74</v>
      </c>
      <c r="BO403" t="s">
        <v>74</v>
      </c>
      <c r="BP403" t="s">
        <v>74</v>
      </c>
      <c r="BQ403" t="s">
        <v>74</v>
      </c>
      <c r="BR403" t="s">
        <v>74</v>
      </c>
      <c r="BS403" t="s">
        <v>3757</v>
      </c>
      <c r="BT403" t="str">
        <f>HYPERLINK("https%3A%2F%2Fwww.webofscience.com%2Fwos%2Fwoscc%2Ffull-record%2FWOS:000918030200001","View Full Record in Web of Science")</f>
        <v>View Full Record in Web of Science</v>
      </c>
    </row>
    <row r="404" spans="1:72" x14ac:dyDescent="0.25">
      <c r="A404" t="s">
        <v>72</v>
      </c>
      <c r="B404" t="s">
        <v>3758</v>
      </c>
      <c r="C404" t="s">
        <v>74</v>
      </c>
      <c r="D404" t="s">
        <v>74</v>
      </c>
      <c r="E404" t="s">
        <v>74</v>
      </c>
      <c r="F404" t="s">
        <v>3759</v>
      </c>
      <c r="G404" t="s">
        <v>74</v>
      </c>
      <c r="H404" t="s">
        <v>74</v>
      </c>
      <c r="I404" t="s">
        <v>3760</v>
      </c>
      <c r="J404" t="s">
        <v>201</v>
      </c>
      <c r="K404" t="s">
        <v>74</v>
      </c>
      <c r="L404" t="s">
        <v>74</v>
      </c>
      <c r="M404" t="s">
        <v>74</v>
      </c>
      <c r="N404" t="s">
        <v>74</v>
      </c>
      <c r="O404" t="s">
        <v>74</v>
      </c>
      <c r="P404" t="s">
        <v>74</v>
      </c>
      <c r="Q404" t="s">
        <v>74</v>
      </c>
      <c r="R404" t="s">
        <v>74</v>
      </c>
      <c r="S404" t="s">
        <v>74</v>
      </c>
      <c r="T404" t="s">
        <v>74</v>
      </c>
      <c r="U404" t="s">
        <v>74</v>
      </c>
      <c r="V404" t="s">
        <v>3761</v>
      </c>
      <c r="W404" t="s">
        <v>74</v>
      </c>
      <c r="X404" t="s">
        <v>74</v>
      </c>
      <c r="Y404" t="s">
        <v>74</v>
      </c>
      <c r="Z404" t="s">
        <v>74</v>
      </c>
      <c r="AA404" t="s">
        <v>74</v>
      </c>
      <c r="AB404" t="s">
        <v>3762</v>
      </c>
      <c r="AC404" t="s">
        <v>74</v>
      </c>
      <c r="AD404" t="s">
        <v>74</v>
      </c>
      <c r="AE404" t="s">
        <v>74</v>
      </c>
      <c r="AF404" t="s">
        <v>74</v>
      </c>
      <c r="AG404" t="s">
        <v>74</v>
      </c>
      <c r="AH404" t="s">
        <v>74</v>
      </c>
      <c r="AI404" t="s">
        <v>74</v>
      </c>
      <c r="AJ404" t="s">
        <v>74</v>
      </c>
      <c r="AK404" t="s">
        <v>74</v>
      </c>
      <c r="AL404" t="s">
        <v>74</v>
      </c>
      <c r="AM404" t="s">
        <v>74</v>
      </c>
      <c r="AN404" t="s">
        <v>74</v>
      </c>
      <c r="AO404" t="s">
        <v>205</v>
      </c>
      <c r="AP404" t="s">
        <v>74</v>
      </c>
      <c r="AQ404" t="s">
        <v>74</v>
      </c>
      <c r="AR404" t="s">
        <v>74</v>
      </c>
      <c r="AS404" t="s">
        <v>74</v>
      </c>
      <c r="AT404" t="s">
        <v>74</v>
      </c>
      <c r="AU404">
        <v>2023</v>
      </c>
      <c r="AV404">
        <v>11</v>
      </c>
      <c r="AW404" t="s">
        <v>74</v>
      </c>
      <c r="AX404" t="s">
        <v>74</v>
      </c>
      <c r="AY404" t="s">
        <v>74</v>
      </c>
      <c r="AZ404" t="s">
        <v>74</v>
      </c>
      <c r="BA404" t="s">
        <v>74</v>
      </c>
      <c r="BB404">
        <v>35150</v>
      </c>
      <c r="BC404">
        <v>35157</v>
      </c>
      <c r="BD404" t="s">
        <v>74</v>
      </c>
      <c r="BE404" t="s">
        <v>3763</v>
      </c>
      <c r="BF404" t="str">
        <f>HYPERLINK("http://dx.doi.org/10.1109/ACCESS.2023.3265213","http://dx.doi.org/10.1109/ACCESS.2023.3265213")</f>
        <v>http://dx.doi.org/10.1109/ACCESS.2023.3265213</v>
      </c>
      <c r="BG404" t="s">
        <v>74</v>
      </c>
      <c r="BH404" t="s">
        <v>74</v>
      </c>
      <c r="BI404" t="s">
        <v>74</v>
      </c>
      <c r="BJ404" t="s">
        <v>74</v>
      </c>
      <c r="BK404" t="s">
        <v>74</v>
      </c>
      <c r="BL404" t="s">
        <v>74</v>
      </c>
      <c r="BM404" t="s">
        <v>74</v>
      </c>
      <c r="BN404" t="s">
        <v>74</v>
      </c>
      <c r="BO404" t="s">
        <v>74</v>
      </c>
      <c r="BP404" t="s">
        <v>74</v>
      </c>
      <c r="BQ404" t="s">
        <v>74</v>
      </c>
      <c r="BR404" t="s">
        <v>74</v>
      </c>
      <c r="BS404" t="s">
        <v>3764</v>
      </c>
      <c r="BT404" t="str">
        <f>HYPERLINK("https%3A%2F%2Fwww.webofscience.com%2Fwos%2Fwoscc%2Ffull-record%2FWOS:000973497600001","View Full Record in Web of Science")</f>
        <v>View Full Record in Web of Science</v>
      </c>
    </row>
    <row r="405" spans="1:72" x14ac:dyDescent="0.25">
      <c r="A405" t="s">
        <v>72</v>
      </c>
      <c r="B405" t="s">
        <v>3765</v>
      </c>
      <c r="C405" t="s">
        <v>74</v>
      </c>
      <c r="D405" t="s">
        <v>74</v>
      </c>
      <c r="E405" t="s">
        <v>74</v>
      </c>
      <c r="F405" t="s">
        <v>3766</v>
      </c>
      <c r="G405" t="s">
        <v>74</v>
      </c>
      <c r="H405" t="s">
        <v>74</v>
      </c>
      <c r="I405" t="s">
        <v>3767</v>
      </c>
      <c r="J405" t="s">
        <v>3768</v>
      </c>
      <c r="K405" t="s">
        <v>74</v>
      </c>
      <c r="L405" t="s">
        <v>74</v>
      </c>
      <c r="M405" t="s">
        <v>74</v>
      </c>
      <c r="N405" t="s">
        <v>74</v>
      </c>
      <c r="O405" t="s">
        <v>74</v>
      </c>
      <c r="P405" t="s">
        <v>74</v>
      </c>
      <c r="Q405" t="s">
        <v>74</v>
      </c>
      <c r="R405" t="s">
        <v>74</v>
      </c>
      <c r="S405" t="s">
        <v>74</v>
      </c>
      <c r="T405" t="s">
        <v>74</v>
      </c>
      <c r="U405" t="s">
        <v>74</v>
      </c>
      <c r="V405" t="s">
        <v>3769</v>
      </c>
      <c r="W405" t="s">
        <v>74</v>
      </c>
      <c r="X405" t="s">
        <v>74</v>
      </c>
      <c r="Y405" t="s">
        <v>74</v>
      </c>
      <c r="Z405" t="s">
        <v>74</v>
      </c>
      <c r="AA405" t="s">
        <v>74</v>
      </c>
      <c r="AB405" t="s">
        <v>74</v>
      </c>
      <c r="AC405" t="s">
        <v>74</v>
      </c>
      <c r="AD405" t="s">
        <v>74</v>
      </c>
      <c r="AE405" t="s">
        <v>74</v>
      </c>
      <c r="AF405" t="s">
        <v>74</v>
      </c>
      <c r="AG405" t="s">
        <v>74</v>
      </c>
      <c r="AH405" t="s">
        <v>74</v>
      </c>
      <c r="AI405" t="s">
        <v>74</v>
      </c>
      <c r="AJ405" t="s">
        <v>74</v>
      </c>
      <c r="AK405" t="s">
        <v>74</v>
      </c>
      <c r="AL405" t="s">
        <v>74</v>
      </c>
      <c r="AM405" t="s">
        <v>74</v>
      </c>
      <c r="AN405" t="s">
        <v>74</v>
      </c>
      <c r="AO405" t="s">
        <v>3770</v>
      </c>
      <c r="AP405" t="s">
        <v>3771</v>
      </c>
      <c r="AQ405" t="s">
        <v>74</v>
      </c>
      <c r="AR405" t="s">
        <v>74</v>
      </c>
      <c r="AS405" t="s">
        <v>74</v>
      </c>
      <c r="AT405" t="s">
        <v>195</v>
      </c>
      <c r="AU405">
        <v>2022</v>
      </c>
      <c r="AV405">
        <v>22</v>
      </c>
      <c r="AW405">
        <v>5</v>
      </c>
      <c r="AX405" t="s">
        <v>74</v>
      </c>
      <c r="AY405" t="s">
        <v>74</v>
      </c>
      <c r="AZ405" t="s">
        <v>74</v>
      </c>
      <c r="BA405" t="s">
        <v>74</v>
      </c>
      <c r="BB405">
        <v>5817</v>
      </c>
      <c r="BC405">
        <v>5844</v>
      </c>
      <c r="BD405" t="s">
        <v>74</v>
      </c>
      <c r="BE405" t="s">
        <v>3772</v>
      </c>
      <c r="BF405" t="str">
        <f>HYPERLINK("http://dx.doi.org/10.1007/s12351-022-00723-z","http://dx.doi.org/10.1007/s12351-022-00723-z")</f>
        <v>http://dx.doi.org/10.1007/s12351-022-00723-z</v>
      </c>
      <c r="BG405" t="s">
        <v>74</v>
      </c>
      <c r="BH405" t="s">
        <v>1148</v>
      </c>
      <c r="BI405" t="s">
        <v>74</v>
      </c>
      <c r="BJ405" t="s">
        <v>74</v>
      </c>
      <c r="BK405" t="s">
        <v>74</v>
      </c>
      <c r="BL405" t="s">
        <v>74</v>
      </c>
      <c r="BM405" t="s">
        <v>74</v>
      </c>
      <c r="BN405" t="s">
        <v>74</v>
      </c>
      <c r="BO405" t="s">
        <v>74</v>
      </c>
      <c r="BP405" t="s">
        <v>74</v>
      </c>
      <c r="BQ405" t="s">
        <v>74</v>
      </c>
      <c r="BR405" t="s">
        <v>74</v>
      </c>
      <c r="BS405" t="s">
        <v>3773</v>
      </c>
      <c r="BT405" t="str">
        <f>HYPERLINK("https%3A%2F%2Fwww.webofscience.com%2Fwos%2Fwoscc%2Ffull-record%2FWOS:000821363800001","View Full Record in Web of Science")</f>
        <v>View Full Record in Web of Science</v>
      </c>
    </row>
    <row r="406" spans="1:72" x14ac:dyDescent="0.25">
      <c r="A406" t="s">
        <v>84</v>
      </c>
      <c r="B406" t="s">
        <v>3774</v>
      </c>
      <c r="C406" t="s">
        <v>74</v>
      </c>
      <c r="D406" t="s">
        <v>74</v>
      </c>
      <c r="E406" t="s">
        <v>86</v>
      </c>
      <c r="F406" t="s">
        <v>3775</v>
      </c>
      <c r="G406" t="s">
        <v>74</v>
      </c>
      <c r="H406" t="s">
        <v>74</v>
      </c>
      <c r="I406" t="s">
        <v>3776</v>
      </c>
      <c r="J406" t="s">
        <v>3777</v>
      </c>
      <c r="K406" t="s">
        <v>3778</v>
      </c>
      <c r="L406" t="s">
        <v>74</v>
      </c>
      <c r="M406" t="s">
        <v>74</v>
      </c>
      <c r="N406" t="s">
        <v>74</v>
      </c>
      <c r="O406" t="s">
        <v>3779</v>
      </c>
      <c r="P406" t="s">
        <v>3780</v>
      </c>
      <c r="Q406" t="s">
        <v>3781</v>
      </c>
      <c r="R406" t="s">
        <v>86</v>
      </c>
      <c r="S406" t="s">
        <v>74</v>
      </c>
      <c r="T406" t="s">
        <v>74</v>
      </c>
      <c r="U406" t="s">
        <v>74</v>
      </c>
      <c r="V406" t="s">
        <v>3782</v>
      </c>
      <c r="W406" t="s">
        <v>74</v>
      </c>
      <c r="X406" t="s">
        <v>74</v>
      </c>
      <c r="Y406" t="s">
        <v>74</v>
      </c>
      <c r="Z406" t="s">
        <v>74</v>
      </c>
      <c r="AA406" t="s">
        <v>74</v>
      </c>
      <c r="AB406" t="s">
        <v>74</v>
      </c>
      <c r="AC406" t="s">
        <v>74</v>
      </c>
      <c r="AD406" t="s">
        <v>74</v>
      </c>
      <c r="AE406" t="s">
        <v>74</v>
      </c>
      <c r="AF406" t="s">
        <v>74</v>
      </c>
      <c r="AG406" t="s">
        <v>74</v>
      </c>
      <c r="AH406" t="s">
        <v>74</v>
      </c>
      <c r="AI406" t="s">
        <v>74</v>
      </c>
      <c r="AJ406" t="s">
        <v>74</v>
      </c>
      <c r="AK406" t="s">
        <v>74</v>
      </c>
      <c r="AL406" t="s">
        <v>74</v>
      </c>
      <c r="AM406" t="s">
        <v>74</v>
      </c>
      <c r="AN406" t="s">
        <v>74</v>
      </c>
      <c r="AO406" t="s">
        <v>3783</v>
      </c>
      <c r="AP406" t="s">
        <v>74</v>
      </c>
      <c r="AQ406" t="s">
        <v>3784</v>
      </c>
      <c r="AR406" t="s">
        <v>74</v>
      </c>
      <c r="AS406" t="s">
        <v>74</v>
      </c>
      <c r="AT406" t="s">
        <v>74</v>
      </c>
      <c r="AU406">
        <v>2022</v>
      </c>
      <c r="AV406" t="s">
        <v>74</v>
      </c>
      <c r="AW406" t="s">
        <v>74</v>
      </c>
      <c r="AX406" t="s">
        <v>74</v>
      </c>
      <c r="AY406" t="s">
        <v>74</v>
      </c>
      <c r="AZ406" t="s">
        <v>74</v>
      </c>
      <c r="BA406" t="s">
        <v>74</v>
      </c>
      <c r="BB406">
        <v>287</v>
      </c>
      <c r="BC406">
        <v>290</v>
      </c>
      <c r="BD406" t="s">
        <v>74</v>
      </c>
      <c r="BE406" t="s">
        <v>3785</v>
      </c>
      <c r="BF406" t="str">
        <f>HYPERLINK("http://dx.doi.org/10.1109/IGARSS46834.2022.9883928","http://dx.doi.org/10.1109/IGARSS46834.2022.9883928")</f>
        <v>http://dx.doi.org/10.1109/IGARSS46834.2022.9883928</v>
      </c>
      <c r="BG406" t="s">
        <v>74</v>
      </c>
      <c r="BH406" t="s">
        <v>74</v>
      </c>
      <c r="BI406" t="s">
        <v>74</v>
      </c>
      <c r="BJ406" t="s">
        <v>74</v>
      </c>
      <c r="BK406" t="s">
        <v>74</v>
      </c>
      <c r="BL406" t="s">
        <v>74</v>
      </c>
      <c r="BM406" t="s">
        <v>74</v>
      </c>
      <c r="BN406" t="s">
        <v>74</v>
      </c>
      <c r="BO406" t="s">
        <v>74</v>
      </c>
      <c r="BP406" t="s">
        <v>74</v>
      </c>
      <c r="BQ406" t="s">
        <v>74</v>
      </c>
      <c r="BR406" t="s">
        <v>74</v>
      </c>
      <c r="BS406" t="s">
        <v>3786</v>
      </c>
      <c r="BT406" t="str">
        <f>HYPERLINK("https%3A%2F%2Fwww.webofscience.com%2Fwos%2Fwoscc%2Ffull-record%2FWOS:000920916600072","View Full Record in Web of Science")</f>
        <v>View Full Record in Web of Science</v>
      </c>
    </row>
    <row r="407" spans="1:72" x14ac:dyDescent="0.25">
      <c r="A407" t="s">
        <v>72</v>
      </c>
      <c r="B407" t="s">
        <v>3787</v>
      </c>
      <c r="C407" t="s">
        <v>74</v>
      </c>
      <c r="D407" t="s">
        <v>74</v>
      </c>
      <c r="E407" t="s">
        <v>74</v>
      </c>
      <c r="F407" t="s">
        <v>3788</v>
      </c>
      <c r="G407" t="s">
        <v>74</v>
      </c>
      <c r="H407" t="s">
        <v>74</v>
      </c>
      <c r="I407" t="s">
        <v>3789</v>
      </c>
      <c r="J407" t="s">
        <v>3790</v>
      </c>
      <c r="K407" t="s">
        <v>74</v>
      </c>
      <c r="L407" t="s">
        <v>74</v>
      </c>
      <c r="M407" t="s">
        <v>74</v>
      </c>
      <c r="N407" t="s">
        <v>74</v>
      </c>
      <c r="O407" t="s">
        <v>74</v>
      </c>
      <c r="P407" t="s">
        <v>74</v>
      </c>
      <c r="Q407" t="s">
        <v>74</v>
      </c>
      <c r="R407" t="s">
        <v>74</v>
      </c>
      <c r="S407" t="s">
        <v>74</v>
      </c>
      <c r="T407" t="s">
        <v>74</v>
      </c>
      <c r="U407" t="s">
        <v>74</v>
      </c>
      <c r="V407" t="s">
        <v>3791</v>
      </c>
      <c r="W407" t="s">
        <v>74</v>
      </c>
      <c r="X407" t="s">
        <v>74</v>
      </c>
      <c r="Y407" t="s">
        <v>74</v>
      </c>
      <c r="Z407" t="s">
        <v>74</v>
      </c>
      <c r="AA407" t="s">
        <v>3792</v>
      </c>
      <c r="AB407" t="s">
        <v>3793</v>
      </c>
      <c r="AC407" t="s">
        <v>74</v>
      </c>
      <c r="AD407" t="s">
        <v>74</v>
      </c>
      <c r="AE407" t="s">
        <v>74</v>
      </c>
      <c r="AF407" t="s">
        <v>74</v>
      </c>
      <c r="AG407" t="s">
        <v>74</v>
      </c>
      <c r="AH407" t="s">
        <v>74</v>
      </c>
      <c r="AI407" t="s">
        <v>74</v>
      </c>
      <c r="AJ407" t="s">
        <v>74</v>
      </c>
      <c r="AK407" t="s">
        <v>74</v>
      </c>
      <c r="AL407" t="s">
        <v>74</v>
      </c>
      <c r="AM407" t="s">
        <v>74</v>
      </c>
      <c r="AN407" t="s">
        <v>74</v>
      </c>
      <c r="AO407" t="s">
        <v>3794</v>
      </c>
      <c r="AP407" t="s">
        <v>3795</v>
      </c>
      <c r="AQ407" t="s">
        <v>74</v>
      </c>
      <c r="AR407" t="s">
        <v>74</v>
      </c>
      <c r="AS407" t="s">
        <v>74</v>
      </c>
      <c r="AT407" t="s">
        <v>3796</v>
      </c>
      <c r="AU407">
        <v>2023</v>
      </c>
      <c r="AV407">
        <v>407</v>
      </c>
      <c r="AW407" t="s">
        <v>74</v>
      </c>
      <c r="AX407" t="s">
        <v>74</v>
      </c>
      <c r="AY407" t="s">
        <v>74</v>
      </c>
      <c r="AZ407" t="s">
        <v>74</v>
      </c>
      <c r="BA407" t="s">
        <v>74</v>
      </c>
      <c r="BB407" t="s">
        <v>74</v>
      </c>
      <c r="BC407" t="s">
        <v>74</v>
      </c>
      <c r="BD407">
        <v>115912</v>
      </c>
      <c r="BE407" t="s">
        <v>3797</v>
      </c>
      <c r="BF407" t="str">
        <f>HYPERLINK("http://dx.doi.org/10.1016/j.cma.2023.115912","http://dx.doi.org/10.1016/j.cma.2023.115912")</f>
        <v>http://dx.doi.org/10.1016/j.cma.2023.115912</v>
      </c>
      <c r="BG407" t="s">
        <v>74</v>
      </c>
      <c r="BH407" t="s">
        <v>218</v>
      </c>
      <c r="BI407" t="s">
        <v>74</v>
      </c>
      <c r="BJ407" t="s">
        <v>74</v>
      </c>
      <c r="BK407" t="s">
        <v>74</v>
      </c>
      <c r="BL407" t="s">
        <v>74</v>
      </c>
      <c r="BM407" t="s">
        <v>74</v>
      </c>
      <c r="BN407" t="s">
        <v>74</v>
      </c>
      <c r="BO407" t="s">
        <v>74</v>
      </c>
      <c r="BP407" t="s">
        <v>74</v>
      </c>
      <c r="BQ407" t="s">
        <v>74</v>
      </c>
      <c r="BR407" t="s">
        <v>74</v>
      </c>
      <c r="BS407" t="s">
        <v>3798</v>
      </c>
      <c r="BT407" t="str">
        <f>HYPERLINK("https%3A%2F%2Fwww.webofscience.com%2Fwos%2Fwoscc%2Ffull-record%2FWOS:000944697500001","View Full Record in Web of Science")</f>
        <v>View Full Record in Web of Science</v>
      </c>
    </row>
    <row r="408" spans="1:72" x14ac:dyDescent="0.25">
      <c r="A408" t="s">
        <v>84</v>
      </c>
      <c r="B408" t="s">
        <v>3799</v>
      </c>
      <c r="C408" t="s">
        <v>74</v>
      </c>
      <c r="D408" t="s">
        <v>3800</v>
      </c>
      <c r="E408" t="s">
        <v>74</v>
      </c>
      <c r="F408" t="s">
        <v>3801</v>
      </c>
      <c r="G408" t="s">
        <v>74</v>
      </c>
      <c r="H408" t="s">
        <v>74</v>
      </c>
      <c r="I408" t="s">
        <v>3802</v>
      </c>
      <c r="J408" t="s">
        <v>3803</v>
      </c>
      <c r="K408" t="s">
        <v>3804</v>
      </c>
      <c r="L408" t="s">
        <v>74</v>
      </c>
      <c r="M408" t="s">
        <v>74</v>
      </c>
      <c r="N408" t="s">
        <v>74</v>
      </c>
      <c r="O408" t="s">
        <v>3805</v>
      </c>
      <c r="P408" t="s">
        <v>3806</v>
      </c>
      <c r="Q408" t="s">
        <v>3807</v>
      </c>
      <c r="R408" t="s">
        <v>3808</v>
      </c>
      <c r="S408" t="s">
        <v>74</v>
      </c>
      <c r="T408" t="s">
        <v>74</v>
      </c>
      <c r="U408" t="s">
        <v>74</v>
      </c>
      <c r="V408" t="s">
        <v>3809</v>
      </c>
      <c r="W408" t="s">
        <v>74</v>
      </c>
      <c r="X408" t="s">
        <v>74</v>
      </c>
      <c r="Y408" t="s">
        <v>74</v>
      </c>
      <c r="Z408" t="s">
        <v>74</v>
      </c>
      <c r="AA408" t="s">
        <v>74</v>
      </c>
      <c r="AB408" t="s">
        <v>74</v>
      </c>
      <c r="AC408" t="s">
        <v>74</v>
      </c>
      <c r="AD408" t="s">
        <v>74</v>
      </c>
      <c r="AE408" t="s">
        <v>74</v>
      </c>
      <c r="AF408" t="s">
        <v>74</v>
      </c>
      <c r="AG408" t="s">
        <v>74</v>
      </c>
      <c r="AH408" t="s">
        <v>74</v>
      </c>
      <c r="AI408" t="s">
        <v>74</v>
      </c>
      <c r="AJ408" t="s">
        <v>74</v>
      </c>
      <c r="AK408" t="s">
        <v>74</v>
      </c>
      <c r="AL408" t="s">
        <v>74</v>
      </c>
      <c r="AM408" t="s">
        <v>74</v>
      </c>
      <c r="AN408" t="s">
        <v>74</v>
      </c>
      <c r="AO408" t="s">
        <v>3810</v>
      </c>
      <c r="AP408" t="s">
        <v>3811</v>
      </c>
      <c r="AQ408" t="s">
        <v>3812</v>
      </c>
      <c r="AR408" t="s">
        <v>74</v>
      </c>
      <c r="AS408" t="s">
        <v>74</v>
      </c>
      <c r="AT408" t="s">
        <v>74</v>
      </c>
      <c r="AU408">
        <v>2022</v>
      </c>
      <c r="AV408">
        <v>453</v>
      </c>
      <c r="AW408" t="s">
        <v>74</v>
      </c>
      <c r="AX408" t="s">
        <v>74</v>
      </c>
      <c r="AY408" t="s">
        <v>74</v>
      </c>
      <c r="AZ408" t="s">
        <v>74</v>
      </c>
      <c r="BA408" t="s">
        <v>74</v>
      </c>
      <c r="BB408">
        <v>122</v>
      </c>
      <c r="BC408">
        <v>140</v>
      </c>
      <c r="BD408" t="s">
        <v>74</v>
      </c>
      <c r="BE408" t="s">
        <v>3813</v>
      </c>
      <c r="BF408" t="str">
        <f>HYPERLINK("http://dx.doi.org/10.1007/978-3-031-11510-3_8","http://dx.doi.org/10.1007/978-3-031-11510-3_8")</f>
        <v>http://dx.doi.org/10.1007/978-3-031-11510-3_8</v>
      </c>
      <c r="BG408" t="s">
        <v>74</v>
      </c>
      <c r="BH408" t="s">
        <v>74</v>
      </c>
      <c r="BI408" t="s">
        <v>74</v>
      </c>
      <c r="BJ408" t="s">
        <v>74</v>
      </c>
      <c r="BK408" t="s">
        <v>74</v>
      </c>
      <c r="BL408" t="s">
        <v>74</v>
      </c>
      <c r="BM408" t="s">
        <v>74</v>
      </c>
      <c r="BN408" t="s">
        <v>74</v>
      </c>
      <c r="BO408" t="s">
        <v>74</v>
      </c>
      <c r="BP408" t="s">
        <v>74</v>
      </c>
      <c r="BQ408" t="s">
        <v>74</v>
      </c>
      <c r="BR408" t="s">
        <v>74</v>
      </c>
      <c r="BS408" t="s">
        <v>3814</v>
      </c>
      <c r="BT408" t="str">
        <f>HYPERLINK("https%3A%2F%2Fwww.webofscience.com%2Fwos%2Fwoscc%2Ffull-record%2FWOS:000874734500008","View Full Record in Web of Science")</f>
        <v>View Full Record in Web of Science</v>
      </c>
    </row>
    <row r="409" spans="1:72" x14ac:dyDescent="0.25">
      <c r="A409" t="s">
        <v>84</v>
      </c>
      <c r="B409" t="s">
        <v>3815</v>
      </c>
      <c r="C409" t="s">
        <v>74</v>
      </c>
      <c r="D409" t="s">
        <v>283</v>
      </c>
      <c r="E409" t="s">
        <v>74</v>
      </c>
      <c r="F409" t="s">
        <v>3816</v>
      </c>
      <c r="G409" t="s">
        <v>74</v>
      </c>
      <c r="H409" t="s">
        <v>74</v>
      </c>
      <c r="I409" t="s">
        <v>3817</v>
      </c>
      <c r="J409" t="s">
        <v>286</v>
      </c>
      <c r="K409" t="s">
        <v>158</v>
      </c>
      <c r="L409" t="s">
        <v>74</v>
      </c>
      <c r="M409" t="s">
        <v>74</v>
      </c>
      <c r="N409" t="s">
        <v>74</v>
      </c>
      <c r="O409" t="s">
        <v>287</v>
      </c>
      <c r="P409" t="s">
        <v>288</v>
      </c>
      <c r="Q409" t="s">
        <v>108</v>
      </c>
      <c r="R409" t="s">
        <v>74</v>
      </c>
      <c r="S409" t="s">
        <v>74</v>
      </c>
      <c r="T409" t="s">
        <v>74</v>
      </c>
      <c r="U409" t="s">
        <v>74</v>
      </c>
      <c r="V409" t="s">
        <v>3818</v>
      </c>
      <c r="W409" t="s">
        <v>74</v>
      </c>
      <c r="X409" t="s">
        <v>74</v>
      </c>
      <c r="Y409" t="s">
        <v>74</v>
      </c>
      <c r="Z409" t="s">
        <v>74</v>
      </c>
      <c r="AA409" t="s">
        <v>74</v>
      </c>
      <c r="AB409" t="s">
        <v>74</v>
      </c>
      <c r="AC409" t="s">
        <v>74</v>
      </c>
      <c r="AD409" t="s">
        <v>74</v>
      </c>
      <c r="AE409" t="s">
        <v>74</v>
      </c>
      <c r="AF409" t="s">
        <v>74</v>
      </c>
      <c r="AG409" t="s">
        <v>74</v>
      </c>
      <c r="AH409" t="s">
        <v>74</v>
      </c>
      <c r="AI409" t="s">
        <v>74</v>
      </c>
      <c r="AJ409" t="s">
        <v>74</v>
      </c>
      <c r="AK409" t="s">
        <v>74</v>
      </c>
      <c r="AL409" t="s">
        <v>74</v>
      </c>
      <c r="AM409" t="s">
        <v>74</v>
      </c>
      <c r="AN409" t="s">
        <v>74</v>
      </c>
      <c r="AO409" t="s">
        <v>164</v>
      </c>
      <c r="AP409" t="s">
        <v>165</v>
      </c>
      <c r="AQ409" t="s">
        <v>291</v>
      </c>
      <c r="AR409" t="s">
        <v>74</v>
      </c>
      <c r="AS409" t="s">
        <v>74</v>
      </c>
      <c r="AT409" t="s">
        <v>74</v>
      </c>
      <c r="AU409">
        <v>2022</v>
      </c>
      <c r="AV409">
        <v>13518</v>
      </c>
      <c r="AW409" t="s">
        <v>74</v>
      </c>
      <c r="AX409" t="s">
        <v>74</v>
      </c>
      <c r="AY409" t="s">
        <v>74</v>
      </c>
      <c r="AZ409" t="s">
        <v>74</v>
      </c>
      <c r="BA409" t="s">
        <v>74</v>
      </c>
      <c r="BB409">
        <v>222</v>
      </c>
      <c r="BC409">
        <v>230</v>
      </c>
      <c r="BD409" t="s">
        <v>74</v>
      </c>
      <c r="BE409" t="s">
        <v>3819</v>
      </c>
      <c r="BF409" t="str">
        <f>HYPERLINK("http://dx.doi.org/10.1007/978-3-031-21707-4_17","http://dx.doi.org/10.1007/978-3-031-21707-4_17")</f>
        <v>http://dx.doi.org/10.1007/978-3-031-21707-4_17</v>
      </c>
      <c r="BG409" t="s">
        <v>74</v>
      </c>
      <c r="BH409" t="s">
        <v>74</v>
      </c>
      <c r="BI409" t="s">
        <v>74</v>
      </c>
      <c r="BJ409" t="s">
        <v>74</v>
      </c>
      <c r="BK409" t="s">
        <v>74</v>
      </c>
      <c r="BL409" t="s">
        <v>74</v>
      </c>
      <c r="BM409" t="s">
        <v>74</v>
      </c>
      <c r="BN409" t="s">
        <v>74</v>
      </c>
      <c r="BO409" t="s">
        <v>74</v>
      </c>
      <c r="BP409" t="s">
        <v>74</v>
      </c>
      <c r="BQ409" t="s">
        <v>74</v>
      </c>
      <c r="BR409" t="s">
        <v>74</v>
      </c>
      <c r="BS409" t="s">
        <v>3820</v>
      </c>
      <c r="BT409" t="str">
        <f>HYPERLINK("https%3A%2F%2Fwww.webofscience.com%2Fwos%2Fwoscc%2Ffull-record%2FWOS:000906729200017","View Full Record in Web of Science")</f>
        <v>View Full Record in Web of Science</v>
      </c>
    </row>
    <row r="410" spans="1:72" x14ac:dyDescent="0.25">
      <c r="A410" t="s">
        <v>84</v>
      </c>
      <c r="B410" t="s">
        <v>3821</v>
      </c>
      <c r="C410" t="s">
        <v>74</v>
      </c>
      <c r="D410" t="s">
        <v>3822</v>
      </c>
      <c r="E410" t="s">
        <v>86</v>
      </c>
      <c r="F410" t="s">
        <v>3823</v>
      </c>
      <c r="G410" t="s">
        <v>74</v>
      </c>
      <c r="H410" t="s">
        <v>74</v>
      </c>
      <c r="I410" t="s">
        <v>3824</v>
      </c>
      <c r="J410" t="s">
        <v>3825</v>
      </c>
      <c r="K410" t="s">
        <v>3826</v>
      </c>
      <c r="L410" t="s">
        <v>74</v>
      </c>
      <c r="M410" t="s">
        <v>74</v>
      </c>
      <c r="N410" t="s">
        <v>74</v>
      </c>
      <c r="O410" t="s">
        <v>3827</v>
      </c>
      <c r="P410" t="s">
        <v>3828</v>
      </c>
      <c r="Q410" t="s">
        <v>3829</v>
      </c>
      <c r="R410" t="s">
        <v>3830</v>
      </c>
      <c r="S410" t="s">
        <v>74</v>
      </c>
      <c r="T410" t="s">
        <v>74</v>
      </c>
      <c r="U410" t="s">
        <v>74</v>
      </c>
      <c r="V410" t="s">
        <v>3831</v>
      </c>
      <c r="W410" t="s">
        <v>74</v>
      </c>
      <c r="X410" t="s">
        <v>74</v>
      </c>
      <c r="Y410" t="s">
        <v>74</v>
      </c>
      <c r="Z410" t="s">
        <v>74</v>
      </c>
      <c r="AA410" t="s">
        <v>3832</v>
      </c>
      <c r="AB410" t="s">
        <v>3833</v>
      </c>
      <c r="AC410" t="s">
        <v>74</v>
      </c>
      <c r="AD410" t="s">
        <v>74</v>
      </c>
      <c r="AE410" t="s">
        <v>74</v>
      </c>
      <c r="AF410" t="s">
        <v>74</v>
      </c>
      <c r="AG410" t="s">
        <v>74</v>
      </c>
      <c r="AH410" t="s">
        <v>74</v>
      </c>
      <c r="AI410" t="s">
        <v>74</v>
      </c>
      <c r="AJ410" t="s">
        <v>74</v>
      </c>
      <c r="AK410" t="s">
        <v>74</v>
      </c>
      <c r="AL410" t="s">
        <v>74</v>
      </c>
      <c r="AM410" t="s">
        <v>74</v>
      </c>
      <c r="AN410" t="s">
        <v>74</v>
      </c>
      <c r="AO410" t="s">
        <v>3834</v>
      </c>
      <c r="AP410" t="s">
        <v>74</v>
      </c>
      <c r="AQ410" t="s">
        <v>3835</v>
      </c>
      <c r="AR410" t="s">
        <v>74</v>
      </c>
      <c r="AS410" t="s">
        <v>74</v>
      </c>
      <c r="AT410" t="s">
        <v>74</v>
      </c>
      <c r="AU410">
        <v>2022</v>
      </c>
      <c r="AV410" t="s">
        <v>74</v>
      </c>
      <c r="AW410" t="s">
        <v>74</v>
      </c>
      <c r="AX410" t="s">
        <v>74</v>
      </c>
      <c r="AY410" t="s">
        <v>74</v>
      </c>
      <c r="AZ410" t="s">
        <v>74</v>
      </c>
      <c r="BA410" t="s">
        <v>74</v>
      </c>
      <c r="BB410" t="s">
        <v>74</v>
      </c>
      <c r="BC410" t="s">
        <v>74</v>
      </c>
      <c r="BD410" t="s">
        <v>74</v>
      </c>
      <c r="BE410" t="s">
        <v>74</v>
      </c>
      <c r="BF410" t="s">
        <v>74</v>
      </c>
      <c r="BG410" t="s">
        <v>74</v>
      </c>
      <c r="BH410" t="s">
        <v>74</v>
      </c>
      <c r="BI410" t="s">
        <v>74</v>
      </c>
      <c r="BJ410" t="s">
        <v>74</v>
      </c>
      <c r="BK410" t="s">
        <v>74</v>
      </c>
      <c r="BL410" t="s">
        <v>74</v>
      </c>
      <c r="BM410" t="s">
        <v>74</v>
      </c>
      <c r="BN410" t="s">
        <v>74</v>
      </c>
      <c r="BO410" t="s">
        <v>74</v>
      </c>
      <c r="BP410" t="s">
        <v>74</v>
      </c>
      <c r="BQ410" t="s">
        <v>74</v>
      </c>
      <c r="BR410" t="s">
        <v>74</v>
      </c>
      <c r="BS410" t="s">
        <v>3836</v>
      </c>
      <c r="BT410" t="str">
        <f>HYPERLINK("https%3A%2F%2Fwww.webofscience.com%2Fwos%2Fwoscc%2Ffull-record%2FWOS:000903721000056","View Full Record in Web of Science")</f>
        <v>View Full Record in Web of Science</v>
      </c>
    </row>
    <row r="411" spans="1:72" x14ac:dyDescent="0.25">
      <c r="A411" t="s">
        <v>72</v>
      </c>
      <c r="B411" t="s">
        <v>3837</v>
      </c>
      <c r="C411" t="s">
        <v>74</v>
      </c>
      <c r="D411" t="s">
        <v>74</v>
      </c>
      <c r="E411" t="s">
        <v>74</v>
      </c>
      <c r="F411" t="s">
        <v>3838</v>
      </c>
      <c r="G411" t="s">
        <v>74</v>
      </c>
      <c r="H411" t="s">
        <v>74</v>
      </c>
      <c r="I411" t="s">
        <v>3839</v>
      </c>
      <c r="J411" t="s">
        <v>3840</v>
      </c>
      <c r="K411" t="s">
        <v>74</v>
      </c>
      <c r="L411" t="s">
        <v>74</v>
      </c>
      <c r="M411" t="s">
        <v>74</v>
      </c>
      <c r="N411" t="s">
        <v>74</v>
      </c>
      <c r="O411" t="s">
        <v>74</v>
      </c>
      <c r="P411" t="s">
        <v>74</v>
      </c>
      <c r="Q411" t="s">
        <v>74</v>
      </c>
      <c r="R411" t="s">
        <v>74</v>
      </c>
      <c r="S411" t="s">
        <v>74</v>
      </c>
      <c r="T411" t="s">
        <v>74</v>
      </c>
      <c r="U411" t="s">
        <v>74</v>
      </c>
      <c r="V411" t="s">
        <v>3841</v>
      </c>
      <c r="W411" t="s">
        <v>74</v>
      </c>
      <c r="X411" t="s">
        <v>74</v>
      </c>
      <c r="Y411" t="s">
        <v>74</v>
      </c>
      <c r="Z411" t="s">
        <v>74</v>
      </c>
      <c r="AA411" t="s">
        <v>74</v>
      </c>
      <c r="AB411" t="s">
        <v>74</v>
      </c>
      <c r="AC411" t="s">
        <v>74</v>
      </c>
      <c r="AD411" t="s">
        <v>74</v>
      </c>
      <c r="AE411" t="s">
        <v>74</v>
      </c>
      <c r="AF411" t="s">
        <v>74</v>
      </c>
      <c r="AG411" t="s">
        <v>74</v>
      </c>
      <c r="AH411" t="s">
        <v>74</v>
      </c>
      <c r="AI411" t="s">
        <v>74</v>
      </c>
      <c r="AJ411" t="s">
        <v>74</v>
      </c>
      <c r="AK411" t="s">
        <v>74</v>
      </c>
      <c r="AL411" t="s">
        <v>74</v>
      </c>
      <c r="AM411" t="s">
        <v>74</v>
      </c>
      <c r="AN411" t="s">
        <v>74</v>
      </c>
      <c r="AO411" t="s">
        <v>74</v>
      </c>
      <c r="AP411" t="s">
        <v>3842</v>
      </c>
      <c r="AQ411" t="s">
        <v>74</v>
      </c>
      <c r="AR411" t="s">
        <v>74</v>
      </c>
      <c r="AS411" t="s">
        <v>74</v>
      </c>
      <c r="AT411" t="s">
        <v>366</v>
      </c>
      <c r="AU411">
        <v>2023</v>
      </c>
      <c r="AV411">
        <v>10</v>
      </c>
      <c r="AW411">
        <v>3</v>
      </c>
      <c r="AX411" t="s">
        <v>74</v>
      </c>
      <c r="AY411" t="s">
        <v>74</v>
      </c>
      <c r="AZ411" t="s">
        <v>74</v>
      </c>
      <c r="BA411" t="s">
        <v>74</v>
      </c>
      <c r="BB411" t="s">
        <v>74</v>
      </c>
      <c r="BC411" t="s">
        <v>74</v>
      </c>
      <c r="BD411">
        <v>574</v>
      </c>
      <c r="BE411" t="s">
        <v>3843</v>
      </c>
      <c r="BF411" t="str">
        <f>HYPERLINK("http://dx.doi.org/10.3390/children10030574","http://dx.doi.org/10.3390/children10030574")</f>
        <v>http://dx.doi.org/10.3390/children10030574</v>
      </c>
      <c r="BG411" t="s">
        <v>74</v>
      </c>
      <c r="BH411" t="s">
        <v>74</v>
      </c>
      <c r="BI411" t="s">
        <v>74</v>
      </c>
      <c r="BJ411" t="s">
        <v>74</v>
      </c>
      <c r="BK411" t="s">
        <v>74</v>
      </c>
      <c r="BL411" t="s">
        <v>74</v>
      </c>
      <c r="BM411" t="s">
        <v>74</v>
      </c>
      <c r="BN411">
        <v>36980133</v>
      </c>
      <c r="BO411" t="s">
        <v>74</v>
      </c>
      <c r="BP411" t="s">
        <v>74</v>
      </c>
      <c r="BQ411" t="s">
        <v>74</v>
      </c>
      <c r="BR411" t="s">
        <v>74</v>
      </c>
      <c r="BS411" t="s">
        <v>3844</v>
      </c>
      <c r="BT411" t="str">
        <f>HYPERLINK("https%3A%2F%2Fwww.webofscience.com%2Fwos%2Fwoscc%2Ffull-record%2FWOS:000956729900001","View Full Record in Web of Science")</f>
        <v>View Full Record in Web of Science</v>
      </c>
    </row>
    <row r="412" spans="1:72" x14ac:dyDescent="0.25">
      <c r="A412" t="s">
        <v>84</v>
      </c>
      <c r="B412" t="s">
        <v>3845</v>
      </c>
      <c r="C412" t="s">
        <v>74</v>
      </c>
      <c r="D412" t="s">
        <v>3846</v>
      </c>
      <c r="E412" t="s">
        <v>86</v>
      </c>
      <c r="F412" t="s">
        <v>3847</v>
      </c>
      <c r="G412" t="s">
        <v>74</v>
      </c>
      <c r="H412" t="s">
        <v>74</v>
      </c>
      <c r="I412" t="s">
        <v>3848</v>
      </c>
      <c r="J412" t="s">
        <v>3849</v>
      </c>
      <c r="K412" t="s">
        <v>3850</v>
      </c>
      <c r="L412" t="s">
        <v>74</v>
      </c>
      <c r="M412" t="s">
        <v>74</v>
      </c>
      <c r="N412" t="s">
        <v>74</v>
      </c>
      <c r="O412" t="s">
        <v>1691</v>
      </c>
      <c r="P412" t="s">
        <v>1692</v>
      </c>
      <c r="Q412" t="s">
        <v>1693</v>
      </c>
      <c r="R412" t="s">
        <v>1694</v>
      </c>
      <c r="S412" t="s">
        <v>74</v>
      </c>
      <c r="T412" t="s">
        <v>74</v>
      </c>
      <c r="U412" t="s">
        <v>74</v>
      </c>
      <c r="V412" t="s">
        <v>3851</v>
      </c>
      <c r="W412" t="s">
        <v>74</v>
      </c>
      <c r="X412" t="s">
        <v>74</v>
      </c>
      <c r="Y412" t="s">
        <v>74</v>
      </c>
      <c r="Z412" t="s">
        <v>74</v>
      </c>
      <c r="AA412" t="s">
        <v>74</v>
      </c>
      <c r="AB412" t="s">
        <v>74</v>
      </c>
      <c r="AC412" t="s">
        <v>74</v>
      </c>
      <c r="AD412" t="s">
        <v>74</v>
      </c>
      <c r="AE412" t="s">
        <v>74</v>
      </c>
      <c r="AF412" t="s">
        <v>74</v>
      </c>
      <c r="AG412" t="s">
        <v>74</v>
      </c>
      <c r="AH412" t="s">
        <v>74</v>
      </c>
      <c r="AI412" t="s">
        <v>74</v>
      </c>
      <c r="AJ412" t="s">
        <v>74</v>
      </c>
      <c r="AK412" t="s">
        <v>74</v>
      </c>
      <c r="AL412" t="s">
        <v>74</v>
      </c>
      <c r="AM412" t="s">
        <v>74</v>
      </c>
      <c r="AN412" t="s">
        <v>74</v>
      </c>
      <c r="AO412" t="s">
        <v>3852</v>
      </c>
      <c r="AP412" t="s">
        <v>74</v>
      </c>
      <c r="AQ412" t="s">
        <v>3853</v>
      </c>
      <c r="AR412" t="s">
        <v>74</v>
      </c>
      <c r="AS412" t="s">
        <v>74</v>
      </c>
      <c r="AT412" t="s">
        <v>74</v>
      </c>
      <c r="AU412">
        <v>2022</v>
      </c>
      <c r="AV412" t="s">
        <v>74</v>
      </c>
      <c r="AW412" t="s">
        <v>74</v>
      </c>
      <c r="AX412" t="s">
        <v>74</v>
      </c>
      <c r="AY412" t="s">
        <v>74</v>
      </c>
      <c r="AZ412" t="s">
        <v>74</v>
      </c>
      <c r="BA412" t="s">
        <v>74</v>
      </c>
      <c r="BB412">
        <v>568</v>
      </c>
      <c r="BC412">
        <v>575</v>
      </c>
      <c r="BD412" t="s">
        <v>74</v>
      </c>
      <c r="BE412" t="s">
        <v>3854</v>
      </c>
      <c r="BF412" t="str">
        <f>HYPERLINK("http://dx.doi.org/10.1109/ISMAR55827.2022.00073","http://dx.doi.org/10.1109/ISMAR55827.2022.00073")</f>
        <v>http://dx.doi.org/10.1109/ISMAR55827.2022.00073</v>
      </c>
      <c r="BG412" t="s">
        <v>74</v>
      </c>
      <c r="BH412" t="s">
        <v>74</v>
      </c>
      <c r="BI412" t="s">
        <v>74</v>
      </c>
      <c r="BJ412" t="s">
        <v>74</v>
      </c>
      <c r="BK412" t="s">
        <v>74</v>
      </c>
      <c r="BL412" t="s">
        <v>74</v>
      </c>
      <c r="BM412" t="s">
        <v>74</v>
      </c>
      <c r="BN412" t="s">
        <v>74</v>
      </c>
      <c r="BO412" t="s">
        <v>74</v>
      </c>
      <c r="BP412" t="s">
        <v>74</v>
      </c>
      <c r="BQ412" t="s">
        <v>74</v>
      </c>
      <c r="BR412" t="s">
        <v>74</v>
      </c>
      <c r="BS412" t="s">
        <v>3855</v>
      </c>
      <c r="BT412" t="str">
        <f>HYPERLINK("https%3A%2F%2Fwww.webofscience.com%2Fwos%2Fwoscc%2Ffull-record%2FWOS:000923767800061","View Full Record in Web of Science")</f>
        <v>View Full Record in Web of Science</v>
      </c>
    </row>
    <row r="413" spans="1:72" x14ac:dyDescent="0.25">
      <c r="A413" t="s">
        <v>72</v>
      </c>
      <c r="B413" t="s">
        <v>3856</v>
      </c>
      <c r="C413" t="s">
        <v>74</v>
      </c>
      <c r="D413" t="s">
        <v>74</v>
      </c>
      <c r="E413" t="s">
        <v>74</v>
      </c>
      <c r="F413" t="s">
        <v>3857</v>
      </c>
      <c r="G413" t="s">
        <v>74</v>
      </c>
      <c r="H413" t="s">
        <v>74</v>
      </c>
      <c r="I413" t="s">
        <v>3858</v>
      </c>
      <c r="J413" t="s">
        <v>3859</v>
      </c>
      <c r="K413" t="s">
        <v>74</v>
      </c>
      <c r="L413" t="s">
        <v>74</v>
      </c>
      <c r="M413" t="s">
        <v>74</v>
      </c>
      <c r="N413" t="s">
        <v>74</v>
      </c>
      <c r="O413" t="s">
        <v>74</v>
      </c>
      <c r="P413" t="s">
        <v>74</v>
      </c>
      <c r="Q413" t="s">
        <v>74</v>
      </c>
      <c r="R413" t="s">
        <v>74</v>
      </c>
      <c r="S413" t="s">
        <v>74</v>
      </c>
      <c r="T413" t="s">
        <v>74</v>
      </c>
      <c r="U413" t="s">
        <v>74</v>
      </c>
      <c r="V413" t="s">
        <v>3860</v>
      </c>
      <c r="W413" t="s">
        <v>74</v>
      </c>
      <c r="X413" t="s">
        <v>74</v>
      </c>
      <c r="Y413" t="s">
        <v>74</v>
      </c>
      <c r="Z413" t="s">
        <v>74</v>
      </c>
      <c r="AA413" t="s">
        <v>74</v>
      </c>
      <c r="AB413" t="s">
        <v>74</v>
      </c>
      <c r="AC413" t="s">
        <v>74</v>
      </c>
      <c r="AD413" t="s">
        <v>74</v>
      </c>
      <c r="AE413" t="s">
        <v>74</v>
      </c>
      <c r="AF413" t="s">
        <v>74</v>
      </c>
      <c r="AG413" t="s">
        <v>74</v>
      </c>
      <c r="AH413" t="s">
        <v>74</v>
      </c>
      <c r="AI413" t="s">
        <v>74</v>
      </c>
      <c r="AJ413" t="s">
        <v>74</v>
      </c>
      <c r="AK413" t="s">
        <v>74</v>
      </c>
      <c r="AL413" t="s">
        <v>74</v>
      </c>
      <c r="AM413" t="s">
        <v>74</v>
      </c>
      <c r="AN413" t="s">
        <v>74</v>
      </c>
      <c r="AO413" t="s">
        <v>3861</v>
      </c>
      <c r="AP413" t="s">
        <v>3862</v>
      </c>
      <c r="AQ413" t="s">
        <v>74</v>
      </c>
      <c r="AR413" t="s">
        <v>74</v>
      </c>
      <c r="AS413" t="s">
        <v>74</v>
      </c>
      <c r="AT413" t="s">
        <v>1586</v>
      </c>
      <c r="AU413">
        <v>2023</v>
      </c>
      <c r="AV413">
        <v>213</v>
      </c>
      <c r="AW413" t="s">
        <v>74</v>
      </c>
      <c r="AX413" t="s">
        <v>74</v>
      </c>
      <c r="AY413" t="s">
        <v>74</v>
      </c>
      <c r="AZ413" t="s">
        <v>74</v>
      </c>
      <c r="BA413" t="s">
        <v>74</v>
      </c>
      <c r="BB413" t="s">
        <v>74</v>
      </c>
      <c r="BC413" t="s">
        <v>74</v>
      </c>
      <c r="BD413">
        <v>103851</v>
      </c>
      <c r="BE413" t="s">
        <v>3863</v>
      </c>
      <c r="BF413" t="str">
        <f>HYPERLINK("http://dx.doi.org/10.1016/j.finel.2022.103851","http://dx.doi.org/10.1016/j.finel.2022.103851")</f>
        <v>http://dx.doi.org/10.1016/j.finel.2022.103851</v>
      </c>
      <c r="BG413" t="s">
        <v>74</v>
      </c>
      <c r="BH413" t="s">
        <v>74</v>
      </c>
      <c r="BI413" t="s">
        <v>74</v>
      </c>
      <c r="BJ413" t="s">
        <v>74</v>
      </c>
      <c r="BK413" t="s">
        <v>74</v>
      </c>
      <c r="BL413" t="s">
        <v>74</v>
      </c>
      <c r="BM413" t="s">
        <v>74</v>
      </c>
      <c r="BN413">
        <v>37168239</v>
      </c>
      <c r="BO413" t="s">
        <v>74</v>
      </c>
      <c r="BP413" t="s">
        <v>74</v>
      </c>
      <c r="BQ413" t="s">
        <v>74</v>
      </c>
      <c r="BR413" t="s">
        <v>74</v>
      </c>
      <c r="BS413" t="s">
        <v>3864</v>
      </c>
      <c r="BT413" t="str">
        <f>HYPERLINK("https%3A%2F%2Fwww.webofscience.com%2Fwos%2Fwoscc%2Ffull-record%2FWOS:000878324600001","View Full Record in Web of Science")</f>
        <v>View Full Record in Web of Science</v>
      </c>
    </row>
    <row r="414" spans="1:72" x14ac:dyDescent="0.25">
      <c r="A414" t="s">
        <v>72</v>
      </c>
      <c r="B414" t="s">
        <v>3865</v>
      </c>
      <c r="C414" t="s">
        <v>74</v>
      </c>
      <c r="D414" t="s">
        <v>74</v>
      </c>
      <c r="E414" t="s">
        <v>74</v>
      </c>
      <c r="F414" t="s">
        <v>3866</v>
      </c>
      <c r="G414" t="s">
        <v>74</v>
      </c>
      <c r="H414" t="s">
        <v>74</v>
      </c>
      <c r="I414" t="s">
        <v>3867</v>
      </c>
      <c r="J414" t="s">
        <v>3868</v>
      </c>
      <c r="K414" t="s">
        <v>74</v>
      </c>
      <c r="L414" t="s">
        <v>74</v>
      </c>
      <c r="M414" t="s">
        <v>74</v>
      </c>
      <c r="N414" t="s">
        <v>74</v>
      </c>
      <c r="O414" t="s">
        <v>74</v>
      </c>
      <c r="P414" t="s">
        <v>74</v>
      </c>
      <c r="Q414" t="s">
        <v>74</v>
      </c>
      <c r="R414" t="s">
        <v>74</v>
      </c>
      <c r="S414" t="s">
        <v>74</v>
      </c>
      <c r="T414" t="s">
        <v>74</v>
      </c>
      <c r="U414" t="s">
        <v>74</v>
      </c>
      <c r="V414" t="s">
        <v>3869</v>
      </c>
      <c r="W414" t="s">
        <v>74</v>
      </c>
      <c r="X414" t="s">
        <v>74</v>
      </c>
      <c r="Y414" t="s">
        <v>74</v>
      </c>
      <c r="Z414" t="s">
        <v>74</v>
      </c>
      <c r="AA414" t="s">
        <v>74</v>
      </c>
      <c r="AB414" t="s">
        <v>74</v>
      </c>
      <c r="AC414" t="s">
        <v>74</v>
      </c>
      <c r="AD414" t="s">
        <v>74</v>
      </c>
      <c r="AE414" t="s">
        <v>74</v>
      </c>
      <c r="AF414" t="s">
        <v>74</v>
      </c>
      <c r="AG414" t="s">
        <v>74</v>
      </c>
      <c r="AH414" t="s">
        <v>74</v>
      </c>
      <c r="AI414" t="s">
        <v>74</v>
      </c>
      <c r="AJ414" t="s">
        <v>74</v>
      </c>
      <c r="AK414" t="s">
        <v>74</v>
      </c>
      <c r="AL414" t="s">
        <v>74</v>
      </c>
      <c r="AM414" t="s">
        <v>74</v>
      </c>
      <c r="AN414" t="s">
        <v>74</v>
      </c>
      <c r="AO414" t="s">
        <v>3870</v>
      </c>
      <c r="AP414" t="s">
        <v>3871</v>
      </c>
      <c r="AQ414" t="s">
        <v>74</v>
      </c>
      <c r="AR414" t="s">
        <v>74</v>
      </c>
      <c r="AS414" t="s">
        <v>74</v>
      </c>
      <c r="AT414" t="s">
        <v>3872</v>
      </c>
      <c r="AU414">
        <v>2022</v>
      </c>
      <c r="AV414">
        <v>2022</v>
      </c>
      <c r="AW414" t="s">
        <v>74</v>
      </c>
      <c r="AX414" t="s">
        <v>74</v>
      </c>
      <c r="AY414" t="s">
        <v>74</v>
      </c>
      <c r="AZ414" t="s">
        <v>74</v>
      </c>
      <c r="BA414" t="s">
        <v>74</v>
      </c>
      <c r="BB414" t="s">
        <v>74</v>
      </c>
      <c r="BC414" t="s">
        <v>74</v>
      </c>
      <c r="BD414">
        <v>9477008</v>
      </c>
      <c r="BE414" t="s">
        <v>3873</v>
      </c>
      <c r="BF414" t="str">
        <f>HYPERLINK("http://dx.doi.org/10.1155/2022/9477008","http://dx.doi.org/10.1155/2022/9477008")</f>
        <v>http://dx.doi.org/10.1155/2022/9477008</v>
      </c>
      <c r="BG414" t="s">
        <v>74</v>
      </c>
      <c r="BH414" t="s">
        <v>74</v>
      </c>
      <c r="BI414" t="s">
        <v>74</v>
      </c>
      <c r="BJ414" t="s">
        <v>74</v>
      </c>
      <c r="BK414" t="s">
        <v>74</v>
      </c>
      <c r="BL414" t="s">
        <v>74</v>
      </c>
      <c r="BM414" t="s">
        <v>74</v>
      </c>
      <c r="BN414" t="s">
        <v>74</v>
      </c>
      <c r="BO414" t="s">
        <v>74</v>
      </c>
      <c r="BP414" t="s">
        <v>74</v>
      </c>
      <c r="BQ414" t="s">
        <v>74</v>
      </c>
      <c r="BR414" t="s">
        <v>74</v>
      </c>
      <c r="BS414" t="s">
        <v>3874</v>
      </c>
      <c r="BT414" t="str">
        <f>HYPERLINK("https%3A%2F%2Fwww.webofscience.com%2Fwos%2Fwoscc%2Ffull-record%2FWOS:000880426600002","View Full Record in Web of Science")</f>
        <v>View Full Record in Web of Science</v>
      </c>
    </row>
    <row r="415" spans="1:72" x14ac:dyDescent="0.25">
      <c r="A415" t="s">
        <v>72</v>
      </c>
      <c r="B415" t="s">
        <v>3875</v>
      </c>
      <c r="C415" t="s">
        <v>74</v>
      </c>
      <c r="D415" t="s">
        <v>74</v>
      </c>
      <c r="E415" t="s">
        <v>74</v>
      </c>
      <c r="F415" t="s">
        <v>3876</v>
      </c>
      <c r="G415" t="s">
        <v>74</v>
      </c>
      <c r="H415" t="s">
        <v>74</v>
      </c>
      <c r="I415" t="s">
        <v>3877</v>
      </c>
      <c r="J415" t="s">
        <v>460</v>
      </c>
      <c r="K415" t="s">
        <v>74</v>
      </c>
      <c r="L415" t="s">
        <v>74</v>
      </c>
      <c r="M415" t="s">
        <v>74</v>
      </c>
      <c r="N415" t="s">
        <v>74</v>
      </c>
      <c r="O415" t="s">
        <v>74</v>
      </c>
      <c r="P415" t="s">
        <v>74</v>
      </c>
      <c r="Q415" t="s">
        <v>74</v>
      </c>
      <c r="R415" t="s">
        <v>74</v>
      </c>
      <c r="S415" t="s">
        <v>74</v>
      </c>
      <c r="T415" t="s">
        <v>74</v>
      </c>
      <c r="U415" t="s">
        <v>74</v>
      </c>
      <c r="V415" t="s">
        <v>3878</v>
      </c>
      <c r="W415" t="s">
        <v>74</v>
      </c>
      <c r="X415" t="s">
        <v>74</v>
      </c>
      <c r="Y415" t="s">
        <v>74</v>
      </c>
      <c r="Z415" t="s">
        <v>74</v>
      </c>
      <c r="AA415" t="s">
        <v>74</v>
      </c>
      <c r="AB415" t="s">
        <v>3879</v>
      </c>
      <c r="AC415" t="s">
        <v>74</v>
      </c>
      <c r="AD415" t="s">
        <v>74</v>
      </c>
      <c r="AE415" t="s">
        <v>74</v>
      </c>
      <c r="AF415" t="s">
        <v>74</v>
      </c>
      <c r="AG415" t="s">
        <v>74</v>
      </c>
      <c r="AH415" t="s">
        <v>74</v>
      </c>
      <c r="AI415" t="s">
        <v>74</v>
      </c>
      <c r="AJ415" t="s">
        <v>74</v>
      </c>
      <c r="AK415" t="s">
        <v>74</v>
      </c>
      <c r="AL415" t="s">
        <v>74</v>
      </c>
      <c r="AM415" t="s">
        <v>74</v>
      </c>
      <c r="AN415" t="s">
        <v>74</v>
      </c>
      <c r="AO415" t="s">
        <v>74</v>
      </c>
      <c r="AP415" t="s">
        <v>464</v>
      </c>
      <c r="AQ415" t="s">
        <v>74</v>
      </c>
      <c r="AR415" t="s">
        <v>74</v>
      </c>
      <c r="AS415" t="s">
        <v>74</v>
      </c>
      <c r="AT415" t="s">
        <v>175</v>
      </c>
      <c r="AU415">
        <v>2023</v>
      </c>
      <c r="AV415">
        <v>15</v>
      </c>
      <c r="AW415">
        <v>1</v>
      </c>
      <c r="AX415" t="s">
        <v>74</v>
      </c>
      <c r="AY415" t="s">
        <v>74</v>
      </c>
      <c r="AZ415" t="s">
        <v>74</v>
      </c>
      <c r="BA415" t="s">
        <v>74</v>
      </c>
      <c r="BB415" t="s">
        <v>74</v>
      </c>
      <c r="BC415" t="s">
        <v>74</v>
      </c>
      <c r="BD415">
        <v>7</v>
      </c>
      <c r="BE415" t="s">
        <v>3880</v>
      </c>
      <c r="BF415" t="str">
        <f>HYPERLINK("http://dx.doi.org/10.3390/su15010007","http://dx.doi.org/10.3390/su15010007")</f>
        <v>http://dx.doi.org/10.3390/su15010007</v>
      </c>
      <c r="BG415" t="s">
        <v>74</v>
      </c>
      <c r="BH415" t="s">
        <v>74</v>
      </c>
      <c r="BI415" t="s">
        <v>74</v>
      </c>
      <c r="BJ415" t="s">
        <v>74</v>
      </c>
      <c r="BK415" t="s">
        <v>74</v>
      </c>
      <c r="BL415" t="s">
        <v>74</v>
      </c>
      <c r="BM415" t="s">
        <v>74</v>
      </c>
      <c r="BN415" t="s">
        <v>74</v>
      </c>
      <c r="BO415" t="s">
        <v>74</v>
      </c>
      <c r="BP415" t="s">
        <v>74</v>
      </c>
      <c r="BQ415" t="s">
        <v>74</v>
      </c>
      <c r="BR415" t="s">
        <v>74</v>
      </c>
      <c r="BS415" t="s">
        <v>3881</v>
      </c>
      <c r="BT415" t="str">
        <f>HYPERLINK("https%3A%2F%2Fwww.webofscience.com%2Fwos%2Fwoscc%2Ffull-record%2FWOS:000908872100001","View Full Record in Web of Science")</f>
        <v>View Full Record in Web of Science</v>
      </c>
    </row>
    <row r="416" spans="1:72" x14ac:dyDescent="0.25">
      <c r="A416" t="s">
        <v>72</v>
      </c>
      <c r="B416" t="s">
        <v>3882</v>
      </c>
      <c r="C416" t="s">
        <v>74</v>
      </c>
      <c r="D416" t="s">
        <v>74</v>
      </c>
      <c r="E416" t="s">
        <v>74</v>
      </c>
      <c r="F416" t="s">
        <v>3883</v>
      </c>
      <c r="G416" t="s">
        <v>74</v>
      </c>
      <c r="H416" t="s">
        <v>74</v>
      </c>
      <c r="I416" t="s">
        <v>3884</v>
      </c>
      <c r="J416" t="s">
        <v>709</v>
      </c>
      <c r="K416" t="s">
        <v>74</v>
      </c>
      <c r="L416" t="s">
        <v>74</v>
      </c>
      <c r="M416" t="s">
        <v>74</v>
      </c>
      <c r="N416" t="s">
        <v>74</v>
      </c>
      <c r="O416" t="s">
        <v>74</v>
      </c>
      <c r="P416" t="s">
        <v>74</v>
      </c>
      <c r="Q416" t="s">
        <v>74</v>
      </c>
      <c r="R416" t="s">
        <v>74</v>
      </c>
      <c r="S416" t="s">
        <v>74</v>
      </c>
      <c r="T416" t="s">
        <v>74</v>
      </c>
      <c r="U416" t="s">
        <v>74</v>
      </c>
      <c r="V416" t="s">
        <v>3885</v>
      </c>
      <c r="W416" t="s">
        <v>74</v>
      </c>
      <c r="X416" t="s">
        <v>74</v>
      </c>
      <c r="Y416" t="s">
        <v>74</v>
      </c>
      <c r="Z416" t="s">
        <v>74</v>
      </c>
      <c r="AA416" t="s">
        <v>3886</v>
      </c>
      <c r="AB416" t="s">
        <v>3887</v>
      </c>
      <c r="AC416" t="s">
        <v>74</v>
      </c>
      <c r="AD416" t="s">
        <v>74</v>
      </c>
      <c r="AE416" t="s">
        <v>74</v>
      </c>
      <c r="AF416" t="s">
        <v>74</v>
      </c>
      <c r="AG416" t="s">
        <v>74</v>
      </c>
      <c r="AH416" t="s">
        <v>74</v>
      </c>
      <c r="AI416" t="s">
        <v>74</v>
      </c>
      <c r="AJ416" t="s">
        <v>74</v>
      </c>
      <c r="AK416" t="s">
        <v>74</v>
      </c>
      <c r="AL416" t="s">
        <v>74</v>
      </c>
      <c r="AM416" t="s">
        <v>74</v>
      </c>
      <c r="AN416" t="s">
        <v>74</v>
      </c>
      <c r="AO416" t="s">
        <v>74</v>
      </c>
      <c r="AP416" t="s">
        <v>711</v>
      </c>
      <c r="AQ416" t="s">
        <v>74</v>
      </c>
      <c r="AR416" t="s">
        <v>74</v>
      </c>
      <c r="AS416" t="s">
        <v>74</v>
      </c>
      <c r="AT416" t="s">
        <v>389</v>
      </c>
      <c r="AU416">
        <v>2022</v>
      </c>
      <c r="AV416">
        <v>12</v>
      </c>
      <c r="AW416">
        <v>17</v>
      </c>
      <c r="AX416" t="s">
        <v>74</v>
      </c>
      <c r="AY416" t="s">
        <v>74</v>
      </c>
      <c r="AZ416" t="s">
        <v>74</v>
      </c>
      <c r="BA416" t="s">
        <v>74</v>
      </c>
      <c r="BB416" t="s">
        <v>74</v>
      </c>
      <c r="BC416" t="s">
        <v>74</v>
      </c>
      <c r="BD416">
        <v>8785</v>
      </c>
      <c r="BE416" t="s">
        <v>3888</v>
      </c>
      <c r="BF416" t="str">
        <f>HYPERLINK("http://dx.doi.org/10.3390/app12178785","http://dx.doi.org/10.3390/app12178785")</f>
        <v>http://dx.doi.org/10.3390/app12178785</v>
      </c>
      <c r="BG416" t="s">
        <v>74</v>
      </c>
      <c r="BH416" t="s">
        <v>74</v>
      </c>
      <c r="BI416" t="s">
        <v>74</v>
      </c>
      <c r="BJ416" t="s">
        <v>74</v>
      </c>
      <c r="BK416" t="s">
        <v>74</v>
      </c>
      <c r="BL416" t="s">
        <v>74</v>
      </c>
      <c r="BM416" t="s">
        <v>74</v>
      </c>
      <c r="BN416" t="s">
        <v>74</v>
      </c>
      <c r="BO416" t="s">
        <v>74</v>
      </c>
      <c r="BP416" t="s">
        <v>74</v>
      </c>
      <c r="BQ416" t="s">
        <v>74</v>
      </c>
      <c r="BR416" t="s">
        <v>74</v>
      </c>
      <c r="BS416" t="s">
        <v>3889</v>
      </c>
      <c r="BT416" t="str">
        <f>HYPERLINK("https%3A%2F%2Fwww.webofscience.com%2Fwos%2Fwoscc%2Ffull-record%2FWOS:000850976200001","View Full Record in Web of Science")</f>
        <v>View Full Record in Web of Science</v>
      </c>
    </row>
    <row r="417" spans="1:72" x14ac:dyDescent="0.25">
      <c r="A417" t="s">
        <v>72</v>
      </c>
      <c r="B417" t="s">
        <v>3503</v>
      </c>
      <c r="C417" t="s">
        <v>74</v>
      </c>
      <c r="D417" t="s">
        <v>74</v>
      </c>
      <c r="E417" t="s">
        <v>74</v>
      </c>
      <c r="F417" t="s">
        <v>3504</v>
      </c>
      <c r="G417" t="s">
        <v>74</v>
      </c>
      <c r="H417" t="s">
        <v>74</v>
      </c>
      <c r="I417" t="s">
        <v>3890</v>
      </c>
      <c r="J417" t="s">
        <v>201</v>
      </c>
      <c r="K417" t="s">
        <v>74</v>
      </c>
      <c r="L417" t="s">
        <v>74</v>
      </c>
      <c r="M417" t="s">
        <v>74</v>
      </c>
      <c r="N417" t="s">
        <v>74</v>
      </c>
      <c r="O417" t="s">
        <v>74</v>
      </c>
      <c r="P417" t="s">
        <v>74</v>
      </c>
      <c r="Q417" t="s">
        <v>74</v>
      </c>
      <c r="R417" t="s">
        <v>74</v>
      </c>
      <c r="S417" t="s">
        <v>74</v>
      </c>
      <c r="T417" t="s">
        <v>74</v>
      </c>
      <c r="U417" t="s">
        <v>74</v>
      </c>
      <c r="V417" t="s">
        <v>3891</v>
      </c>
      <c r="W417" t="s">
        <v>74</v>
      </c>
      <c r="X417" t="s">
        <v>74</v>
      </c>
      <c r="Y417" t="s">
        <v>74</v>
      </c>
      <c r="Z417" t="s">
        <v>74</v>
      </c>
      <c r="AA417" t="s">
        <v>74</v>
      </c>
      <c r="AB417" t="s">
        <v>3892</v>
      </c>
      <c r="AC417" t="s">
        <v>74</v>
      </c>
      <c r="AD417" t="s">
        <v>74</v>
      </c>
      <c r="AE417" t="s">
        <v>74</v>
      </c>
      <c r="AF417" t="s">
        <v>74</v>
      </c>
      <c r="AG417" t="s">
        <v>74</v>
      </c>
      <c r="AH417" t="s">
        <v>74</v>
      </c>
      <c r="AI417" t="s">
        <v>74</v>
      </c>
      <c r="AJ417" t="s">
        <v>74</v>
      </c>
      <c r="AK417" t="s">
        <v>74</v>
      </c>
      <c r="AL417" t="s">
        <v>74</v>
      </c>
      <c r="AM417" t="s">
        <v>74</v>
      </c>
      <c r="AN417" t="s">
        <v>74</v>
      </c>
      <c r="AO417" t="s">
        <v>205</v>
      </c>
      <c r="AP417" t="s">
        <v>74</v>
      </c>
      <c r="AQ417" t="s">
        <v>74</v>
      </c>
      <c r="AR417" t="s">
        <v>74</v>
      </c>
      <c r="AS417" t="s">
        <v>74</v>
      </c>
      <c r="AT417" t="s">
        <v>74</v>
      </c>
      <c r="AU417">
        <v>2022</v>
      </c>
      <c r="AV417">
        <v>10</v>
      </c>
      <c r="AW417" t="s">
        <v>74</v>
      </c>
      <c r="AX417" t="s">
        <v>74</v>
      </c>
      <c r="AY417" t="s">
        <v>74</v>
      </c>
      <c r="AZ417" t="s">
        <v>74</v>
      </c>
      <c r="BA417" t="s">
        <v>74</v>
      </c>
      <c r="BB417">
        <v>103781</v>
      </c>
      <c r="BC417">
        <v>103792</v>
      </c>
      <c r="BD417" t="s">
        <v>74</v>
      </c>
      <c r="BE417" t="s">
        <v>3893</v>
      </c>
      <c r="BF417" t="str">
        <f>HYPERLINK("http://dx.doi.org/10.1109/ACCESS.2022.3207154","http://dx.doi.org/10.1109/ACCESS.2022.3207154")</f>
        <v>http://dx.doi.org/10.1109/ACCESS.2022.3207154</v>
      </c>
      <c r="BG417" t="s">
        <v>74</v>
      </c>
      <c r="BH417" t="s">
        <v>74</v>
      </c>
      <c r="BI417" t="s">
        <v>74</v>
      </c>
      <c r="BJ417" t="s">
        <v>74</v>
      </c>
      <c r="BK417" t="s">
        <v>74</v>
      </c>
      <c r="BL417" t="s">
        <v>74</v>
      </c>
      <c r="BM417" t="s">
        <v>74</v>
      </c>
      <c r="BN417" t="s">
        <v>74</v>
      </c>
      <c r="BO417" t="s">
        <v>74</v>
      </c>
      <c r="BP417" t="s">
        <v>74</v>
      </c>
      <c r="BQ417" t="s">
        <v>74</v>
      </c>
      <c r="BR417" t="s">
        <v>74</v>
      </c>
      <c r="BS417" t="s">
        <v>3894</v>
      </c>
      <c r="BT417" t="str">
        <f>HYPERLINK("https%3A%2F%2Fwww.webofscience.com%2Fwos%2Fwoscc%2Ffull-record%2FWOS:000865082000001","View Full Record in Web of Science")</f>
        <v>View Full Record in Web of Science</v>
      </c>
    </row>
    <row r="418" spans="1:72" x14ac:dyDescent="0.25">
      <c r="A418" t="s">
        <v>84</v>
      </c>
      <c r="B418" t="s">
        <v>3895</v>
      </c>
      <c r="C418" t="s">
        <v>74</v>
      </c>
      <c r="D418" t="s">
        <v>3896</v>
      </c>
      <c r="E418" t="s">
        <v>74</v>
      </c>
      <c r="F418" t="s">
        <v>3897</v>
      </c>
      <c r="G418" t="s">
        <v>74</v>
      </c>
      <c r="H418" t="s">
        <v>74</v>
      </c>
      <c r="I418" t="s">
        <v>3898</v>
      </c>
      <c r="J418" t="s">
        <v>3899</v>
      </c>
      <c r="K418" t="s">
        <v>3804</v>
      </c>
      <c r="L418" t="s">
        <v>74</v>
      </c>
      <c r="M418" t="s">
        <v>74</v>
      </c>
      <c r="N418" t="s">
        <v>74</v>
      </c>
      <c r="O418" t="s">
        <v>3900</v>
      </c>
      <c r="P418" t="s">
        <v>3901</v>
      </c>
      <c r="Q418" t="s">
        <v>3902</v>
      </c>
      <c r="R418" t="s">
        <v>3903</v>
      </c>
      <c r="S418" t="s">
        <v>74</v>
      </c>
      <c r="T418" t="s">
        <v>74</v>
      </c>
      <c r="U418" t="s">
        <v>74</v>
      </c>
      <c r="V418" t="s">
        <v>3904</v>
      </c>
      <c r="W418" t="s">
        <v>74</v>
      </c>
      <c r="X418" t="s">
        <v>74</v>
      </c>
      <c r="Y418" t="s">
        <v>74</v>
      </c>
      <c r="Z418" t="s">
        <v>74</v>
      </c>
      <c r="AA418" t="s">
        <v>74</v>
      </c>
      <c r="AB418" t="s">
        <v>3905</v>
      </c>
      <c r="AC418" t="s">
        <v>74</v>
      </c>
      <c r="AD418" t="s">
        <v>74</v>
      </c>
      <c r="AE418" t="s">
        <v>74</v>
      </c>
      <c r="AF418" t="s">
        <v>74</v>
      </c>
      <c r="AG418" t="s">
        <v>74</v>
      </c>
      <c r="AH418" t="s">
        <v>74</v>
      </c>
      <c r="AI418" t="s">
        <v>74</v>
      </c>
      <c r="AJ418" t="s">
        <v>74</v>
      </c>
      <c r="AK418" t="s">
        <v>74</v>
      </c>
      <c r="AL418" t="s">
        <v>74</v>
      </c>
      <c r="AM418" t="s">
        <v>74</v>
      </c>
      <c r="AN418" t="s">
        <v>74</v>
      </c>
      <c r="AO418" t="s">
        <v>3810</v>
      </c>
      <c r="AP418" t="s">
        <v>3811</v>
      </c>
      <c r="AQ418" t="s">
        <v>3906</v>
      </c>
      <c r="AR418" t="s">
        <v>74</v>
      </c>
      <c r="AS418" t="s">
        <v>74</v>
      </c>
      <c r="AT418" t="s">
        <v>74</v>
      </c>
      <c r="AU418">
        <v>2022</v>
      </c>
      <c r="AV418">
        <v>452</v>
      </c>
      <c r="AW418" t="s">
        <v>74</v>
      </c>
      <c r="AX418" t="s">
        <v>74</v>
      </c>
      <c r="AY418" t="s">
        <v>74</v>
      </c>
      <c r="AZ418" t="s">
        <v>74</v>
      </c>
      <c r="BA418" t="s">
        <v>74</v>
      </c>
      <c r="BB418">
        <v>92</v>
      </c>
      <c r="BC418">
        <v>99</v>
      </c>
      <c r="BD418" t="s">
        <v>74</v>
      </c>
      <c r="BE418" t="s">
        <v>3907</v>
      </c>
      <c r="BF418" t="str">
        <f>HYPERLINK("http://dx.doi.org/10.1007/978-3-031-07481-3_11","http://dx.doi.org/10.1007/978-3-031-07481-3_11")</f>
        <v>http://dx.doi.org/10.1007/978-3-031-07481-3_11</v>
      </c>
      <c r="BG418" t="s">
        <v>74</v>
      </c>
      <c r="BH418" t="s">
        <v>74</v>
      </c>
      <c r="BI418" t="s">
        <v>74</v>
      </c>
      <c r="BJ418" t="s">
        <v>74</v>
      </c>
      <c r="BK418" t="s">
        <v>74</v>
      </c>
      <c r="BL418" t="s">
        <v>74</v>
      </c>
      <c r="BM418" t="s">
        <v>74</v>
      </c>
      <c r="BN418" t="s">
        <v>74</v>
      </c>
      <c r="BO418" t="s">
        <v>74</v>
      </c>
      <c r="BP418" t="s">
        <v>74</v>
      </c>
      <c r="BQ418" t="s">
        <v>74</v>
      </c>
      <c r="BR418" t="s">
        <v>74</v>
      </c>
      <c r="BS418" t="s">
        <v>3908</v>
      </c>
      <c r="BT418" t="str">
        <f>HYPERLINK("https%3A%2F%2Fwww.webofscience.com%2Fwos%2Fwoscc%2Ffull-record%2FWOS:000871754800011","View Full Record in Web of Science")</f>
        <v>View Full Record in Web of Science</v>
      </c>
    </row>
    <row r="419" spans="1:72" x14ac:dyDescent="0.25">
      <c r="A419" t="s">
        <v>84</v>
      </c>
      <c r="B419" t="s">
        <v>3909</v>
      </c>
      <c r="C419" t="s">
        <v>74</v>
      </c>
      <c r="D419" t="s">
        <v>1344</v>
      </c>
      <c r="E419" t="s">
        <v>74</v>
      </c>
      <c r="F419" t="s">
        <v>3910</v>
      </c>
      <c r="G419" t="s">
        <v>74</v>
      </c>
      <c r="H419" t="s">
        <v>74</v>
      </c>
      <c r="I419" t="s">
        <v>3911</v>
      </c>
      <c r="J419" t="s">
        <v>1347</v>
      </c>
      <c r="K419" t="s">
        <v>158</v>
      </c>
      <c r="L419" t="s">
        <v>74</v>
      </c>
      <c r="M419" t="s">
        <v>74</v>
      </c>
      <c r="N419" t="s">
        <v>74</v>
      </c>
      <c r="O419" t="s">
        <v>1348</v>
      </c>
      <c r="P419" t="s">
        <v>1349</v>
      </c>
      <c r="Q419" t="s">
        <v>1350</v>
      </c>
      <c r="R419" t="s">
        <v>74</v>
      </c>
      <c r="S419" t="s">
        <v>1351</v>
      </c>
      <c r="T419" t="s">
        <v>74</v>
      </c>
      <c r="U419" t="s">
        <v>74</v>
      </c>
      <c r="V419" t="s">
        <v>3912</v>
      </c>
      <c r="W419" t="s">
        <v>74</v>
      </c>
      <c r="X419" t="s">
        <v>74</v>
      </c>
      <c r="Y419" t="s">
        <v>74</v>
      </c>
      <c r="Z419" t="s">
        <v>74</v>
      </c>
      <c r="AA419" t="s">
        <v>74</v>
      </c>
      <c r="AB419" t="s">
        <v>74</v>
      </c>
      <c r="AC419" t="s">
        <v>74</v>
      </c>
      <c r="AD419" t="s">
        <v>74</v>
      </c>
      <c r="AE419" t="s">
        <v>74</v>
      </c>
      <c r="AF419" t="s">
        <v>74</v>
      </c>
      <c r="AG419" t="s">
        <v>74</v>
      </c>
      <c r="AH419" t="s">
        <v>74</v>
      </c>
      <c r="AI419" t="s">
        <v>74</v>
      </c>
      <c r="AJ419" t="s">
        <v>74</v>
      </c>
      <c r="AK419" t="s">
        <v>74</v>
      </c>
      <c r="AL419" t="s">
        <v>74</v>
      </c>
      <c r="AM419" t="s">
        <v>74</v>
      </c>
      <c r="AN419" t="s">
        <v>74</v>
      </c>
      <c r="AO419" t="s">
        <v>164</v>
      </c>
      <c r="AP419" t="s">
        <v>165</v>
      </c>
      <c r="AQ419" t="s">
        <v>1354</v>
      </c>
      <c r="AR419" t="s">
        <v>74</v>
      </c>
      <c r="AS419" t="s">
        <v>74</v>
      </c>
      <c r="AT419" t="s">
        <v>74</v>
      </c>
      <c r="AU419">
        <v>2022</v>
      </c>
      <c r="AV419">
        <v>13606</v>
      </c>
      <c r="AW419" t="s">
        <v>74</v>
      </c>
      <c r="AX419" t="s">
        <v>74</v>
      </c>
      <c r="AY419" t="s">
        <v>74</v>
      </c>
      <c r="AZ419" t="s">
        <v>74</v>
      </c>
      <c r="BA419" t="s">
        <v>74</v>
      </c>
      <c r="BB419">
        <v>543</v>
      </c>
      <c r="BC419">
        <v>547</v>
      </c>
      <c r="BD419" t="s">
        <v>74</v>
      </c>
      <c r="BE419" t="s">
        <v>3913</v>
      </c>
      <c r="BF419" t="str">
        <f>HYPERLINK("http://dx.doi.org/10.1007/978-3-031-20503-3_46","http://dx.doi.org/10.1007/978-3-031-20503-3_46")</f>
        <v>http://dx.doi.org/10.1007/978-3-031-20503-3_46</v>
      </c>
      <c r="BG419" t="s">
        <v>74</v>
      </c>
      <c r="BH419" t="s">
        <v>74</v>
      </c>
      <c r="BI419" t="s">
        <v>74</v>
      </c>
      <c r="BJ419" t="s">
        <v>74</v>
      </c>
      <c r="BK419" t="s">
        <v>74</v>
      </c>
      <c r="BL419" t="s">
        <v>74</v>
      </c>
      <c r="BM419" t="s">
        <v>74</v>
      </c>
      <c r="BN419" t="s">
        <v>74</v>
      </c>
      <c r="BO419" t="s">
        <v>74</v>
      </c>
      <c r="BP419" t="s">
        <v>74</v>
      </c>
      <c r="BQ419" t="s">
        <v>74</v>
      </c>
      <c r="BR419" t="s">
        <v>74</v>
      </c>
      <c r="BS419" t="s">
        <v>3914</v>
      </c>
      <c r="BT419" t="str">
        <f>HYPERLINK("https%3A%2F%2Fwww.webofscience.com%2Fwos%2Fwoscc%2Ffull-record%2FWOS:000916066400045","View Full Record in Web of Science")</f>
        <v>View Full Record in Web of Science</v>
      </c>
    </row>
    <row r="420" spans="1:72" x14ac:dyDescent="0.25">
      <c r="A420" t="s">
        <v>84</v>
      </c>
      <c r="B420" t="s">
        <v>3915</v>
      </c>
      <c r="C420" t="s">
        <v>74</v>
      </c>
      <c r="D420" t="s">
        <v>3916</v>
      </c>
      <c r="E420" t="s">
        <v>74</v>
      </c>
      <c r="F420" t="s">
        <v>3917</v>
      </c>
      <c r="G420" t="s">
        <v>74</v>
      </c>
      <c r="H420" t="s">
        <v>74</v>
      </c>
      <c r="I420" t="s">
        <v>3918</v>
      </c>
      <c r="J420" t="s">
        <v>3919</v>
      </c>
      <c r="K420" t="s">
        <v>3415</v>
      </c>
      <c r="L420" t="s">
        <v>74</v>
      </c>
      <c r="M420" t="s">
        <v>74</v>
      </c>
      <c r="N420" t="s">
        <v>74</v>
      </c>
      <c r="O420" t="s">
        <v>3920</v>
      </c>
      <c r="P420" t="s">
        <v>3921</v>
      </c>
      <c r="Q420" t="s">
        <v>108</v>
      </c>
      <c r="R420" t="s">
        <v>3419</v>
      </c>
      <c r="S420" t="s">
        <v>74</v>
      </c>
      <c r="T420" t="s">
        <v>74</v>
      </c>
      <c r="U420" t="s">
        <v>74</v>
      </c>
      <c r="V420" t="s">
        <v>3922</v>
      </c>
      <c r="W420" t="s">
        <v>74</v>
      </c>
      <c r="X420" t="s">
        <v>74</v>
      </c>
      <c r="Y420" t="s">
        <v>74</v>
      </c>
      <c r="Z420" t="s">
        <v>74</v>
      </c>
      <c r="AA420" t="s">
        <v>3923</v>
      </c>
      <c r="AB420" t="s">
        <v>3924</v>
      </c>
      <c r="AC420" t="s">
        <v>74</v>
      </c>
      <c r="AD420" t="s">
        <v>74</v>
      </c>
      <c r="AE420" t="s">
        <v>74</v>
      </c>
      <c r="AF420" t="s">
        <v>74</v>
      </c>
      <c r="AG420" t="s">
        <v>74</v>
      </c>
      <c r="AH420" t="s">
        <v>74</v>
      </c>
      <c r="AI420" t="s">
        <v>74</v>
      </c>
      <c r="AJ420" t="s">
        <v>74</v>
      </c>
      <c r="AK420" t="s">
        <v>74</v>
      </c>
      <c r="AL420" t="s">
        <v>74</v>
      </c>
      <c r="AM420" t="s">
        <v>74</v>
      </c>
      <c r="AN420" t="s">
        <v>74</v>
      </c>
      <c r="AO420" t="s">
        <v>3421</v>
      </c>
      <c r="AP420" t="s">
        <v>3422</v>
      </c>
      <c r="AQ420" t="s">
        <v>3925</v>
      </c>
      <c r="AR420" t="s">
        <v>74</v>
      </c>
      <c r="AS420" t="s">
        <v>74</v>
      </c>
      <c r="AT420" t="s">
        <v>74</v>
      </c>
      <c r="AU420">
        <v>2022</v>
      </c>
      <c r="AV420">
        <v>12100</v>
      </c>
      <c r="AW420" t="s">
        <v>74</v>
      </c>
      <c r="AX420" t="s">
        <v>74</v>
      </c>
      <c r="AY420" t="s">
        <v>74</v>
      </c>
      <c r="AZ420" t="s">
        <v>74</v>
      </c>
      <c r="BA420" t="s">
        <v>74</v>
      </c>
      <c r="BB420" t="s">
        <v>74</v>
      </c>
      <c r="BC420" t="s">
        <v>74</v>
      </c>
      <c r="BD420" t="s">
        <v>3926</v>
      </c>
      <c r="BE420" t="s">
        <v>3927</v>
      </c>
      <c r="BF420" t="str">
        <f>HYPERLINK("http://dx.doi.org/10.1117/12.2618989","http://dx.doi.org/10.1117/12.2618989")</f>
        <v>http://dx.doi.org/10.1117/12.2618989</v>
      </c>
      <c r="BG420" t="s">
        <v>74</v>
      </c>
      <c r="BH420" t="s">
        <v>74</v>
      </c>
      <c r="BI420" t="s">
        <v>74</v>
      </c>
      <c r="BJ420" t="s">
        <v>74</v>
      </c>
      <c r="BK420" t="s">
        <v>74</v>
      </c>
      <c r="BL420" t="s">
        <v>74</v>
      </c>
      <c r="BM420" t="s">
        <v>74</v>
      </c>
      <c r="BN420" t="s">
        <v>74</v>
      </c>
      <c r="BO420" t="s">
        <v>74</v>
      </c>
      <c r="BP420" t="s">
        <v>74</v>
      </c>
      <c r="BQ420" t="s">
        <v>74</v>
      </c>
      <c r="BR420" t="s">
        <v>74</v>
      </c>
      <c r="BS420" t="s">
        <v>3928</v>
      </c>
      <c r="BT420" t="str">
        <f>HYPERLINK("https%3A%2F%2Fwww.webofscience.com%2Fwos%2Fwoscc%2Ffull-record%2FWOS:000839350100021","View Full Record in Web of Science")</f>
        <v>View Full Record in Web of Science</v>
      </c>
    </row>
    <row r="421" spans="1:72" x14ac:dyDescent="0.25">
      <c r="A421" t="s">
        <v>72</v>
      </c>
      <c r="B421" t="s">
        <v>3929</v>
      </c>
      <c r="C421" t="s">
        <v>74</v>
      </c>
      <c r="D421" t="s">
        <v>74</v>
      </c>
      <c r="E421" t="s">
        <v>74</v>
      </c>
      <c r="F421" t="s">
        <v>3930</v>
      </c>
      <c r="G421" t="s">
        <v>74</v>
      </c>
      <c r="H421" t="s">
        <v>74</v>
      </c>
      <c r="I421" t="s">
        <v>3931</v>
      </c>
      <c r="J421" t="s">
        <v>3932</v>
      </c>
      <c r="K421" t="s">
        <v>74</v>
      </c>
      <c r="L421" t="s">
        <v>74</v>
      </c>
      <c r="M421" t="s">
        <v>74</v>
      </c>
      <c r="N421" t="s">
        <v>74</v>
      </c>
      <c r="O421" t="s">
        <v>74</v>
      </c>
      <c r="P421" t="s">
        <v>74</v>
      </c>
      <c r="Q421" t="s">
        <v>74</v>
      </c>
      <c r="R421" t="s">
        <v>74</v>
      </c>
      <c r="S421" t="s">
        <v>74</v>
      </c>
      <c r="T421" t="s">
        <v>74</v>
      </c>
      <c r="U421" t="s">
        <v>74</v>
      </c>
      <c r="V421" t="s">
        <v>3933</v>
      </c>
      <c r="W421" t="s">
        <v>74</v>
      </c>
      <c r="X421" t="s">
        <v>74</v>
      </c>
      <c r="Y421" t="s">
        <v>74</v>
      </c>
      <c r="Z421" t="s">
        <v>74</v>
      </c>
      <c r="AA421" t="s">
        <v>74</v>
      </c>
      <c r="AB421" t="s">
        <v>74</v>
      </c>
      <c r="AC421" t="s">
        <v>74</v>
      </c>
      <c r="AD421" t="s">
        <v>74</v>
      </c>
      <c r="AE421" t="s">
        <v>74</v>
      </c>
      <c r="AF421" t="s">
        <v>74</v>
      </c>
      <c r="AG421" t="s">
        <v>74</v>
      </c>
      <c r="AH421" t="s">
        <v>74</v>
      </c>
      <c r="AI421" t="s">
        <v>74</v>
      </c>
      <c r="AJ421" t="s">
        <v>74</v>
      </c>
      <c r="AK421" t="s">
        <v>74</v>
      </c>
      <c r="AL421" t="s">
        <v>74</v>
      </c>
      <c r="AM421" t="s">
        <v>74</v>
      </c>
      <c r="AN421" t="s">
        <v>74</v>
      </c>
      <c r="AO421" t="s">
        <v>3934</v>
      </c>
      <c r="AP421" t="s">
        <v>3935</v>
      </c>
      <c r="AQ421" t="s">
        <v>74</v>
      </c>
      <c r="AR421" t="s">
        <v>74</v>
      </c>
      <c r="AS421" t="s">
        <v>74</v>
      </c>
      <c r="AT421" t="s">
        <v>195</v>
      </c>
      <c r="AU421">
        <v>2022</v>
      </c>
      <c r="AV421">
        <v>200</v>
      </c>
      <c r="AW421" t="s">
        <v>74</v>
      </c>
      <c r="AX421" t="s">
        <v>74</v>
      </c>
      <c r="AY421" t="s">
        <v>74</v>
      </c>
      <c r="AZ421" t="s">
        <v>74</v>
      </c>
      <c r="BA421" t="s">
        <v>74</v>
      </c>
      <c r="BB421" t="s">
        <v>74</v>
      </c>
      <c r="BC421" t="s">
        <v>74</v>
      </c>
      <c r="BD421">
        <v>109042</v>
      </c>
      <c r="BE421" t="s">
        <v>3936</v>
      </c>
      <c r="BF421" t="str">
        <f>HYPERLINK("http://dx.doi.org/10.1016/j.apacoust.2022.109042","http://dx.doi.org/10.1016/j.apacoust.2022.109042")</f>
        <v>http://dx.doi.org/10.1016/j.apacoust.2022.109042</v>
      </c>
      <c r="BG421" t="s">
        <v>74</v>
      </c>
      <c r="BH421" t="s">
        <v>1065</v>
      </c>
      <c r="BI421" t="s">
        <v>74</v>
      </c>
      <c r="BJ421" t="s">
        <v>74</v>
      </c>
      <c r="BK421" t="s">
        <v>74</v>
      </c>
      <c r="BL421" t="s">
        <v>74</v>
      </c>
      <c r="BM421" t="s">
        <v>74</v>
      </c>
      <c r="BN421" t="s">
        <v>74</v>
      </c>
      <c r="BO421" t="s">
        <v>74</v>
      </c>
      <c r="BP421" t="s">
        <v>74</v>
      </c>
      <c r="BQ421" t="s">
        <v>74</v>
      </c>
      <c r="BR421" t="s">
        <v>74</v>
      </c>
      <c r="BS421" t="s">
        <v>3937</v>
      </c>
      <c r="BT421" t="str">
        <f>HYPERLINK("https%3A%2F%2Fwww.webofscience.com%2Fwos%2Fwoscc%2Ffull-record%2FWOS:000912717900002","View Full Record in Web of Science")</f>
        <v>View Full Record in Web of Science</v>
      </c>
    </row>
    <row r="422" spans="1:72" x14ac:dyDescent="0.25">
      <c r="A422" t="s">
        <v>72</v>
      </c>
      <c r="B422" t="s">
        <v>3938</v>
      </c>
      <c r="C422" t="s">
        <v>74</v>
      </c>
      <c r="D422" t="s">
        <v>74</v>
      </c>
      <c r="E422" t="s">
        <v>74</v>
      </c>
      <c r="F422" t="s">
        <v>3939</v>
      </c>
      <c r="G422" t="s">
        <v>74</v>
      </c>
      <c r="H422" t="s">
        <v>74</v>
      </c>
      <c r="I422" t="s">
        <v>3940</v>
      </c>
      <c r="J422" t="s">
        <v>709</v>
      </c>
      <c r="K422" t="s">
        <v>74</v>
      </c>
      <c r="L422" t="s">
        <v>74</v>
      </c>
      <c r="M422" t="s">
        <v>74</v>
      </c>
      <c r="N422" t="s">
        <v>74</v>
      </c>
      <c r="O422" t="s">
        <v>74</v>
      </c>
      <c r="P422" t="s">
        <v>74</v>
      </c>
      <c r="Q422" t="s">
        <v>74</v>
      </c>
      <c r="R422" t="s">
        <v>74</v>
      </c>
      <c r="S422" t="s">
        <v>74</v>
      </c>
      <c r="T422" t="s">
        <v>74</v>
      </c>
      <c r="U422" t="s">
        <v>74</v>
      </c>
      <c r="V422" t="s">
        <v>3941</v>
      </c>
      <c r="W422" t="s">
        <v>74</v>
      </c>
      <c r="X422" t="s">
        <v>74</v>
      </c>
      <c r="Y422" t="s">
        <v>74</v>
      </c>
      <c r="Z422" t="s">
        <v>74</v>
      </c>
      <c r="AA422" t="s">
        <v>74</v>
      </c>
      <c r="AB422" t="s">
        <v>3942</v>
      </c>
      <c r="AC422" t="s">
        <v>74</v>
      </c>
      <c r="AD422" t="s">
        <v>74</v>
      </c>
      <c r="AE422" t="s">
        <v>74</v>
      </c>
      <c r="AF422" t="s">
        <v>74</v>
      </c>
      <c r="AG422" t="s">
        <v>74</v>
      </c>
      <c r="AH422" t="s">
        <v>74</v>
      </c>
      <c r="AI422" t="s">
        <v>74</v>
      </c>
      <c r="AJ422" t="s">
        <v>74</v>
      </c>
      <c r="AK422" t="s">
        <v>74</v>
      </c>
      <c r="AL422" t="s">
        <v>74</v>
      </c>
      <c r="AM422" t="s">
        <v>74</v>
      </c>
      <c r="AN422" t="s">
        <v>74</v>
      </c>
      <c r="AO422" t="s">
        <v>74</v>
      </c>
      <c r="AP422" t="s">
        <v>711</v>
      </c>
      <c r="AQ422" t="s">
        <v>74</v>
      </c>
      <c r="AR422" t="s">
        <v>74</v>
      </c>
      <c r="AS422" t="s">
        <v>74</v>
      </c>
      <c r="AT422" t="s">
        <v>1202</v>
      </c>
      <c r="AU422">
        <v>2022</v>
      </c>
      <c r="AV422">
        <v>12</v>
      </c>
      <c r="AW422">
        <v>7</v>
      </c>
      <c r="AX422" t="s">
        <v>74</v>
      </c>
      <c r="AY422" t="s">
        <v>74</v>
      </c>
      <c r="AZ422" t="s">
        <v>74</v>
      </c>
      <c r="BA422" t="s">
        <v>74</v>
      </c>
      <c r="BB422" t="s">
        <v>74</v>
      </c>
      <c r="BC422" t="s">
        <v>74</v>
      </c>
      <c r="BD422">
        <v>3653</v>
      </c>
      <c r="BE422" t="s">
        <v>3943</v>
      </c>
      <c r="BF422" t="str">
        <f>HYPERLINK("http://dx.doi.org/10.3390/app12073653","http://dx.doi.org/10.3390/app12073653")</f>
        <v>http://dx.doi.org/10.3390/app12073653</v>
      </c>
      <c r="BG422" t="s">
        <v>74</v>
      </c>
      <c r="BH422" t="s">
        <v>74</v>
      </c>
      <c r="BI422" t="s">
        <v>74</v>
      </c>
      <c r="BJ422" t="s">
        <v>74</v>
      </c>
      <c r="BK422" t="s">
        <v>74</v>
      </c>
      <c r="BL422" t="s">
        <v>74</v>
      </c>
      <c r="BM422" t="s">
        <v>74</v>
      </c>
      <c r="BN422" t="s">
        <v>74</v>
      </c>
      <c r="BO422" t="s">
        <v>74</v>
      </c>
      <c r="BP422" t="s">
        <v>74</v>
      </c>
      <c r="BQ422" t="s">
        <v>74</v>
      </c>
      <c r="BR422" t="s">
        <v>74</v>
      </c>
      <c r="BS422" t="s">
        <v>3944</v>
      </c>
      <c r="BT422" t="str">
        <f>HYPERLINK("https%3A%2F%2Fwww.webofscience.com%2Fwos%2Fwoscc%2Ffull-record%2FWOS:000781459100001","View Full Record in Web of Science")</f>
        <v>View Full Record in Web of Science</v>
      </c>
    </row>
    <row r="423" spans="1:72" x14ac:dyDescent="0.25">
      <c r="A423" t="s">
        <v>72</v>
      </c>
      <c r="B423" t="s">
        <v>3945</v>
      </c>
      <c r="C423" t="s">
        <v>74</v>
      </c>
      <c r="D423" t="s">
        <v>74</v>
      </c>
      <c r="E423" t="s">
        <v>74</v>
      </c>
      <c r="F423" t="s">
        <v>3946</v>
      </c>
      <c r="G423" t="s">
        <v>74</v>
      </c>
      <c r="H423" t="s">
        <v>74</v>
      </c>
      <c r="I423" t="s">
        <v>3947</v>
      </c>
      <c r="J423" t="s">
        <v>1052</v>
      </c>
      <c r="K423" t="s">
        <v>74</v>
      </c>
      <c r="L423" t="s">
        <v>74</v>
      </c>
      <c r="M423" t="s">
        <v>74</v>
      </c>
      <c r="N423" t="s">
        <v>74</v>
      </c>
      <c r="O423" t="s">
        <v>74</v>
      </c>
      <c r="P423" t="s">
        <v>74</v>
      </c>
      <c r="Q423" t="s">
        <v>74</v>
      </c>
      <c r="R423" t="s">
        <v>74</v>
      </c>
      <c r="S423" t="s">
        <v>74</v>
      </c>
      <c r="T423" t="s">
        <v>74</v>
      </c>
      <c r="U423" t="s">
        <v>74</v>
      </c>
      <c r="V423" t="s">
        <v>3948</v>
      </c>
      <c r="W423" t="s">
        <v>74</v>
      </c>
      <c r="X423" t="s">
        <v>74</v>
      </c>
      <c r="Y423" t="s">
        <v>74</v>
      </c>
      <c r="Z423" t="s">
        <v>74</v>
      </c>
      <c r="AA423" t="s">
        <v>3949</v>
      </c>
      <c r="AB423" t="s">
        <v>3950</v>
      </c>
      <c r="AC423" t="s">
        <v>74</v>
      </c>
      <c r="AD423" t="s">
        <v>74</v>
      </c>
      <c r="AE423" t="s">
        <v>74</v>
      </c>
      <c r="AF423" t="s">
        <v>74</v>
      </c>
      <c r="AG423" t="s">
        <v>74</v>
      </c>
      <c r="AH423" t="s">
        <v>74</v>
      </c>
      <c r="AI423" t="s">
        <v>74</v>
      </c>
      <c r="AJ423" t="s">
        <v>74</v>
      </c>
      <c r="AK423" t="s">
        <v>74</v>
      </c>
      <c r="AL423" t="s">
        <v>74</v>
      </c>
      <c r="AM423" t="s">
        <v>74</v>
      </c>
      <c r="AN423" t="s">
        <v>74</v>
      </c>
      <c r="AO423" t="s">
        <v>1054</v>
      </c>
      <c r="AP423" t="s">
        <v>74</v>
      </c>
      <c r="AQ423" t="s">
        <v>74</v>
      </c>
      <c r="AR423" t="s">
        <v>74</v>
      </c>
      <c r="AS423" t="s">
        <v>74</v>
      </c>
      <c r="AT423" t="s">
        <v>1586</v>
      </c>
      <c r="AU423">
        <v>2023</v>
      </c>
      <c r="AV423">
        <v>10</v>
      </c>
      <c r="AW423">
        <v>1</v>
      </c>
      <c r="AX423" t="s">
        <v>74</v>
      </c>
      <c r="AY423" t="s">
        <v>74</v>
      </c>
      <c r="AZ423" t="s">
        <v>74</v>
      </c>
      <c r="BA423" t="s">
        <v>74</v>
      </c>
      <c r="BB423">
        <v>653</v>
      </c>
      <c r="BC423">
        <v>663</v>
      </c>
      <c r="BD423" t="s">
        <v>74</v>
      </c>
      <c r="BE423" t="s">
        <v>3951</v>
      </c>
      <c r="BF423" t="str">
        <f>HYPERLINK("http://dx.doi.org/10.1109/JIOT.2022.3203417","http://dx.doi.org/10.1109/JIOT.2022.3203417")</f>
        <v>http://dx.doi.org/10.1109/JIOT.2022.3203417</v>
      </c>
      <c r="BG423" t="s">
        <v>74</v>
      </c>
      <c r="BH423" t="s">
        <v>74</v>
      </c>
      <c r="BI423" t="s">
        <v>74</v>
      </c>
      <c r="BJ423" t="s">
        <v>74</v>
      </c>
      <c r="BK423" t="s">
        <v>74</v>
      </c>
      <c r="BL423" t="s">
        <v>74</v>
      </c>
      <c r="BM423" t="s">
        <v>74</v>
      </c>
      <c r="BN423" t="s">
        <v>74</v>
      </c>
      <c r="BO423" t="s">
        <v>74</v>
      </c>
      <c r="BP423" t="s">
        <v>74</v>
      </c>
      <c r="BQ423" t="s">
        <v>74</v>
      </c>
      <c r="BR423" t="s">
        <v>74</v>
      </c>
      <c r="BS423" t="s">
        <v>3952</v>
      </c>
      <c r="BT423" t="str">
        <f>HYPERLINK("https%3A%2F%2Fwww.webofscience.com%2Fwos%2Fwoscc%2Ffull-record%2FWOS:000911309300049","View Full Record in Web of Science")</f>
        <v>View Full Record in Web of Science</v>
      </c>
    </row>
    <row r="424" spans="1:72" x14ac:dyDescent="0.25">
      <c r="A424" t="s">
        <v>72</v>
      </c>
      <c r="B424" t="s">
        <v>3953</v>
      </c>
      <c r="C424" t="s">
        <v>74</v>
      </c>
      <c r="D424" t="s">
        <v>74</v>
      </c>
      <c r="E424" t="s">
        <v>74</v>
      </c>
      <c r="F424" t="s">
        <v>3954</v>
      </c>
      <c r="G424" t="s">
        <v>74</v>
      </c>
      <c r="H424" t="s">
        <v>74</v>
      </c>
      <c r="I424" t="s">
        <v>3955</v>
      </c>
      <c r="J424" t="s">
        <v>3956</v>
      </c>
      <c r="K424" t="s">
        <v>74</v>
      </c>
      <c r="L424" t="s">
        <v>74</v>
      </c>
      <c r="M424" t="s">
        <v>74</v>
      </c>
      <c r="N424" t="s">
        <v>74</v>
      </c>
      <c r="O424" t="s">
        <v>74</v>
      </c>
      <c r="P424" t="s">
        <v>74</v>
      </c>
      <c r="Q424" t="s">
        <v>74</v>
      </c>
      <c r="R424" t="s">
        <v>74</v>
      </c>
      <c r="S424" t="s">
        <v>74</v>
      </c>
      <c r="T424" t="s">
        <v>74</v>
      </c>
      <c r="U424" t="s">
        <v>74</v>
      </c>
      <c r="V424" t="s">
        <v>3957</v>
      </c>
      <c r="W424" t="s">
        <v>74</v>
      </c>
      <c r="X424" t="s">
        <v>74</v>
      </c>
      <c r="Y424" t="s">
        <v>74</v>
      </c>
      <c r="Z424" t="s">
        <v>74</v>
      </c>
      <c r="AA424" t="s">
        <v>3958</v>
      </c>
      <c r="AB424" t="s">
        <v>3959</v>
      </c>
      <c r="AC424" t="s">
        <v>74</v>
      </c>
      <c r="AD424" t="s">
        <v>74</v>
      </c>
      <c r="AE424" t="s">
        <v>74</v>
      </c>
      <c r="AF424" t="s">
        <v>74</v>
      </c>
      <c r="AG424" t="s">
        <v>74</v>
      </c>
      <c r="AH424" t="s">
        <v>74</v>
      </c>
      <c r="AI424" t="s">
        <v>74</v>
      </c>
      <c r="AJ424" t="s">
        <v>74</v>
      </c>
      <c r="AK424" t="s">
        <v>74</v>
      </c>
      <c r="AL424" t="s">
        <v>74</v>
      </c>
      <c r="AM424" t="s">
        <v>74</v>
      </c>
      <c r="AN424" t="s">
        <v>74</v>
      </c>
      <c r="AO424" t="s">
        <v>3960</v>
      </c>
      <c r="AP424" t="s">
        <v>3961</v>
      </c>
      <c r="AQ424" t="s">
        <v>74</v>
      </c>
      <c r="AR424" t="s">
        <v>74</v>
      </c>
      <c r="AS424" t="s">
        <v>74</v>
      </c>
      <c r="AT424" t="s">
        <v>465</v>
      </c>
      <c r="AU424">
        <v>2022</v>
      </c>
      <c r="AV424">
        <v>14</v>
      </c>
      <c r="AW424">
        <v>1</v>
      </c>
      <c r="AX424" t="s">
        <v>74</v>
      </c>
      <c r="AY424" t="s">
        <v>74</v>
      </c>
      <c r="AZ424" t="s">
        <v>74</v>
      </c>
      <c r="BA424" t="s">
        <v>74</v>
      </c>
      <c r="BB424" t="s">
        <v>74</v>
      </c>
      <c r="BC424" t="s">
        <v>74</v>
      </c>
      <c r="BD424">
        <v>131</v>
      </c>
      <c r="BE424" t="s">
        <v>3962</v>
      </c>
      <c r="BF424" t="str">
        <f>HYPERLINK("http://dx.doi.org/10.1007/s40820-022-00875-9","http://dx.doi.org/10.1007/s40820-022-00875-9")</f>
        <v>http://dx.doi.org/10.1007/s40820-022-00875-9</v>
      </c>
      <c r="BG424" t="s">
        <v>74</v>
      </c>
      <c r="BH424" t="s">
        <v>74</v>
      </c>
      <c r="BI424" t="s">
        <v>74</v>
      </c>
      <c r="BJ424" t="s">
        <v>74</v>
      </c>
      <c r="BK424" t="s">
        <v>74</v>
      </c>
      <c r="BL424" t="s">
        <v>74</v>
      </c>
      <c r="BM424" t="s">
        <v>74</v>
      </c>
      <c r="BN424">
        <v>35699779</v>
      </c>
      <c r="BO424" t="s">
        <v>74</v>
      </c>
      <c r="BP424" t="s">
        <v>74</v>
      </c>
      <c r="BQ424" t="s">
        <v>74</v>
      </c>
      <c r="BR424" t="s">
        <v>74</v>
      </c>
      <c r="BS424" t="s">
        <v>3963</v>
      </c>
      <c r="BT424" t="str">
        <f>HYPERLINK("https%3A%2F%2Fwww.webofscience.com%2Fwos%2Fwoscc%2Ffull-record%2FWOS:000811219600008","View Full Record in Web of Science")</f>
        <v>View Full Record in Web of Science</v>
      </c>
    </row>
    <row r="425" spans="1:72" x14ac:dyDescent="0.25">
      <c r="A425" t="s">
        <v>84</v>
      </c>
      <c r="B425" t="s">
        <v>3964</v>
      </c>
      <c r="C425" t="s">
        <v>74</v>
      </c>
      <c r="D425" t="s">
        <v>74</v>
      </c>
      <c r="E425" t="s">
        <v>326</v>
      </c>
      <c r="F425" t="s">
        <v>3965</v>
      </c>
      <c r="G425" t="s">
        <v>74</v>
      </c>
      <c r="H425" t="s">
        <v>74</v>
      </c>
      <c r="I425" t="s">
        <v>3966</v>
      </c>
      <c r="J425" t="s">
        <v>3022</v>
      </c>
      <c r="K425" t="s">
        <v>74</v>
      </c>
      <c r="L425" t="s">
        <v>74</v>
      </c>
      <c r="M425" t="s">
        <v>74</v>
      </c>
      <c r="N425" t="s">
        <v>74</v>
      </c>
      <c r="O425" t="s">
        <v>3023</v>
      </c>
      <c r="P425" t="s">
        <v>3024</v>
      </c>
      <c r="Q425" t="s">
        <v>3025</v>
      </c>
      <c r="R425" t="s">
        <v>3026</v>
      </c>
      <c r="S425" t="s">
        <v>74</v>
      </c>
      <c r="T425" t="s">
        <v>74</v>
      </c>
      <c r="U425" t="s">
        <v>74</v>
      </c>
      <c r="V425" t="s">
        <v>3967</v>
      </c>
      <c r="W425" t="s">
        <v>74</v>
      </c>
      <c r="X425" t="s">
        <v>74</v>
      </c>
      <c r="Y425" t="s">
        <v>74</v>
      </c>
      <c r="Z425" t="s">
        <v>74</v>
      </c>
      <c r="AA425" t="s">
        <v>74</v>
      </c>
      <c r="AB425" t="s">
        <v>74</v>
      </c>
      <c r="AC425" t="s">
        <v>74</v>
      </c>
      <c r="AD425" t="s">
        <v>74</v>
      </c>
      <c r="AE425" t="s">
        <v>74</v>
      </c>
      <c r="AF425" t="s">
        <v>74</v>
      </c>
      <c r="AG425" t="s">
        <v>74</v>
      </c>
      <c r="AH425" t="s">
        <v>74</v>
      </c>
      <c r="AI425" t="s">
        <v>74</v>
      </c>
      <c r="AJ425" t="s">
        <v>74</v>
      </c>
      <c r="AK425" t="s">
        <v>74</v>
      </c>
      <c r="AL425" t="s">
        <v>74</v>
      </c>
      <c r="AM425" t="s">
        <v>74</v>
      </c>
      <c r="AN425" t="s">
        <v>74</v>
      </c>
      <c r="AO425" t="s">
        <v>74</v>
      </c>
      <c r="AP425" t="s">
        <v>74</v>
      </c>
      <c r="AQ425" t="s">
        <v>3028</v>
      </c>
      <c r="AR425" t="s">
        <v>74</v>
      </c>
      <c r="AS425" t="s">
        <v>74</v>
      </c>
      <c r="AT425" t="s">
        <v>74</v>
      </c>
      <c r="AU425">
        <v>2022</v>
      </c>
      <c r="AV425" t="s">
        <v>74</v>
      </c>
      <c r="AW425" t="s">
        <v>74</v>
      </c>
      <c r="AX425" t="s">
        <v>74</v>
      </c>
      <c r="AY425" t="s">
        <v>74</v>
      </c>
      <c r="AZ425" t="s">
        <v>74</v>
      </c>
      <c r="BA425" t="s">
        <v>74</v>
      </c>
      <c r="BB425" t="s">
        <v>74</v>
      </c>
      <c r="BC425" t="s">
        <v>74</v>
      </c>
      <c r="BD425" t="s">
        <v>74</v>
      </c>
      <c r="BE425" t="s">
        <v>3968</v>
      </c>
      <c r="BF425" t="str">
        <f>HYPERLINK("http://dx.doi.org/10.1145/3491102.3517542","http://dx.doi.org/10.1145/3491102.3517542")</f>
        <v>http://dx.doi.org/10.1145/3491102.3517542</v>
      </c>
      <c r="BG425" t="s">
        <v>74</v>
      </c>
      <c r="BH425" t="s">
        <v>74</v>
      </c>
      <c r="BI425" t="s">
        <v>74</v>
      </c>
      <c r="BJ425" t="s">
        <v>74</v>
      </c>
      <c r="BK425" t="s">
        <v>74</v>
      </c>
      <c r="BL425" t="s">
        <v>74</v>
      </c>
      <c r="BM425" t="s">
        <v>74</v>
      </c>
      <c r="BN425" t="s">
        <v>74</v>
      </c>
      <c r="BO425" t="s">
        <v>74</v>
      </c>
      <c r="BP425" t="s">
        <v>74</v>
      </c>
      <c r="BQ425" t="s">
        <v>74</v>
      </c>
      <c r="BR425" t="s">
        <v>74</v>
      </c>
      <c r="BS425" t="s">
        <v>3969</v>
      </c>
      <c r="BT425" t="str">
        <f>HYPERLINK("https%3A%2F%2Fwww.webofscience.com%2Fwos%2Fwoscc%2Ffull-record%2FWOS:000922929502009","View Full Record in Web of Science")</f>
        <v>View Full Record in Web of Science</v>
      </c>
    </row>
    <row r="426" spans="1:72" x14ac:dyDescent="0.25">
      <c r="A426" t="s">
        <v>84</v>
      </c>
      <c r="B426" t="s">
        <v>3970</v>
      </c>
      <c r="C426" t="s">
        <v>74</v>
      </c>
      <c r="D426" t="s">
        <v>74</v>
      </c>
      <c r="E426" t="s">
        <v>326</v>
      </c>
      <c r="F426" t="s">
        <v>3971</v>
      </c>
      <c r="G426" t="s">
        <v>74</v>
      </c>
      <c r="H426" t="s">
        <v>74</v>
      </c>
      <c r="I426" t="s">
        <v>3972</v>
      </c>
      <c r="J426" t="s">
        <v>3022</v>
      </c>
      <c r="K426" t="s">
        <v>74</v>
      </c>
      <c r="L426" t="s">
        <v>74</v>
      </c>
      <c r="M426" t="s">
        <v>74</v>
      </c>
      <c r="N426" t="s">
        <v>74</v>
      </c>
      <c r="O426" t="s">
        <v>3023</v>
      </c>
      <c r="P426" t="s">
        <v>3024</v>
      </c>
      <c r="Q426" t="s">
        <v>3025</v>
      </c>
      <c r="R426" t="s">
        <v>3026</v>
      </c>
      <c r="S426" t="s">
        <v>74</v>
      </c>
      <c r="T426" t="s">
        <v>74</v>
      </c>
      <c r="U426" t="s">
        <v>74</v>
      </c>
      <c r="V426" t="s">
        <v>3973</v>
      </c>
      <c r="W426" t="s">
        <v>74</v>
      </c>
      <c r="X426" t="s">
        <v>74</v>
      </c>
      <c r="Y426" t="s">
        <v>74</v>
      </c>
      <c r="Z426" t="s">
        <v>74</v>
      </c>
      <c r="AA426" t="s">
        <v>74</v>
      </c>
      <c r="AB426" t="s">
        <v>74</v>
      </c>
      <c r="AC426" t="s">
        <v>74</v>
      </c>
      <c r="AD426" t="s">
        <v>74</v>
      </c>
      <c r="AE426" t="s">
        <v>74</v>
      </c>
      <c r="AF426" t="s">
        <v>74</v>
      </c>
      <c r="AG426" t="s">
        <v>74</v>
      </c>
      <c r="AH426" t="s">
        <v>74</v>
      </c>
      <c r="AI426" t="s">
        <v>74</v>
      </c>
      <c r="AJ426" t="s">
        <v>74</v>
      </c>
      <c r="AK426" t="s">
        <v>74</v>
      </c>
      <c r="AL426" t="s">
        <v>74</v>
      </c>
      <c r="AM426" t="s">
        <v>74</v>
      </c>
      <c r="AN426" t="s">
        <v>74</v>
      </c>
      <c r="AO426" t="s">
        <v>74</v>
      </c>
      <c r="AP426" t="s">
        <v>74</v>
      </c>
      <c r="AQ426" t="s">
        <v>3028</v>
      </c>
      <c r="AR426" t="s">
        <v>74</v>
      </c>
      <c r="AS426" t="s">
        <v>74</v>
      </c>
      <c r="AT426" t="s">
        <v>74</v>
      </c>
      <c r="AU426">
        <v>2022</v>
      </c>
      <c r="AV426" t="s">
        <v>74</v>
      </c>
      <c r="AW426" t="s">
        <v>74</v>
      </c>
      <c r="AX426" t="s">
        <v>74</v>
      </c>
      <c r="AY426" t="s">
        <v>74</v>
      </c>
      <c r="AZ426" t="s">
        <v>74</v>
      </c>
      <c r="BA426" t="s">
        <v>74</v>
      </c>
      <c r="BB426" t="s">
        <v>74</v>
      </c>
      <c r="BC426" t="s">
        <v>74</v>
      </c>
      <c r="BD426" t="s">
        <v>74</v>
      </c>
      <c r="BE426" t="s">
        <v>3974</v>
      </c>
      <c r="BF426" t="str">
        <f>HYPERLINK("http://dx.doi.org/10.1145/3491102.3502082","http://dx.doi.org/10.1145/3491102.3502082")</f>
        <v>http://dx.doi.org/10.1145/3491102.3502082</v>
      </c>
      <c r="BG426" t="s">
        <v>74</v>
      </c>
      <c r="BH426" t="s">
        <v>74</v>
      </c>
      <c r="BI426" t="s">
        <v>74</v>
      </c>
      <c r="BJ426" t="s">
        <v>74</v>
      </c>
      <c r="BK426" t="s">
        <v>74</v>
      </c>
      <c r="BL426" t="s">
        <v>74</v>
      </c>
      <c r="BM426" t="s">
        <v>74</v>
      </c>
      <c r="BN426" t="s">
        <v>74</v>
      </c>
      <c r="BO426" t="s">
        <v>74</v>
      </c>
      <c r="BP426" t="s">
        <v>74</v>
      </c>
      <c r="BQ426" t="s">
        <v>74</v>
      </c>
      <c r="BR426" t="s">
        <v>74</v>
      </c>
      <c r="BS426" t="s">
        <v>3975</v>
      </c>
      <c r="BT426" t="str">
        <f>HYPERLINK("https%3A%2F%2Fwww.webofscience.com%2Fwos%2Fwoscc%2Ffull-record%2FWOS:000890212504026","View Full Record in Web of Science")</f>
        <v>View Full Record in Web of Science</v>
      </c>
    </row>
    <row r="427" spans="1:72" x14ac:dyDescent="0.25">
      <c r="A427" t="s">
        <v>72</v>
      </c>
      <c r="B427" t="s">
        <v>3976</v>
      </c>
      <c r="C427" t="s">
        <v>74</v>
      </c>
      <c r="D427" t="s">
        <v>74</v>
      </c>
      <c r="E427" t="s">
        <v>74</v>
      </c>
      <c r="F427" t="s">
        <v>3977</v>
      </c>
      <c r="G427" t="s">
        <v>74</v>
      </c>
      <c r="H427" t="s">
        <v>74</v>
      </c>
      <c r="I427" t="s">
        <v>3978</v>
      </c>
      <c r="J427" t="s">
        <v>3979</v>
      </c>
      <c r="K427" t="s">
        <v>74</v>
      </c>
      <c r="L427" t="s">
        <v>74</v>
      </c>
      <c r="M427" t="s">
        <v>74</v>
      </c>
      <c r="N427" t="s">
        <v>74</v>
      </c>
      <c r="O427" t="s">
        <v>74</v>
      </c>
      <c r="P427" t="s">
        <v>74</v>
      </c>
      <c r="Q427" t="s">
        <v>74</v>
      </c>
      <c r="R427" t="s">
        <v>74</v>
      </c>
      <c r="S427" t="s">
        <v>74</v>
      </c>
      <c r="T427" t="s">
        <v>74</v>
      </c>
      <c r="U427" t="s">
        <v>74</v>
      </c>
      <c r="V427" t="s">
        <v>3980</v>
      </c>
      <c r="W427" t="s">
        <v>74</v>
      </c>
      <c r="X427" t="s">
        <v>74</v>
      </c>
      <c r="Y427" t="s">
        <v>74</v>
      </c>
      <c r="Z427" t="s">
        <v>74</v>
      </c>
      <c r="AA427" t="s">
        <v>3981</v>
      </c>
      <c r="AB427" t="s">
        <v>3982</v>
      </c>
      <c r="AC427" t="s">
        <v>74</v>
      </c>
      <c r="AD427" t="s">
        <v>74</v>
      </c>
      <c r="AE427" t="s">
        <v>74</v>
      </c>
      <c r="AF427" t="s">
        <v>74</v>
      </c>
      <c r="AG427" t="s">
        <v>74</v>
      </c>
      <c r="AH427" t="s">
        <v>74</v>
      </c>
      <c r="AI427" t="s">
        <v>74</v>
      </c>
      <c r="AJ427" t="s">
        <v>74</v>
      </c>
      <c r="AK427" t="s">
        <v>74</v>
      </c>
      <c r="AL427" t="s">
        <v>74</v>
      </c>
      <c r="AM427" t="s">
        <v>74</v>
      </c>
      <c r="AN427" t="s">
        <v>74</v>
      </c>
      <c r="AO427" t="s">
        <v>3983</v>
      </c>
      <c r="AP427" t="s">
        <v>74</v>
      </c>
      <c r="AQ427" t="s">
        <v>74</v>
      </c>
      <c r="AR427" t="s">
        <v>74</v>
      </c>
      <c r="AS427" t="s">
        <v>74</v>
      </c>
      <c r="AT427" t="s">
        <v>81</v>
      </c>
      <c r="AU427">
        <v>2022</v>
      </c>
      <c r="AV427">
        <v>27</v>
      </c>
      <c r="AW427" t="s">
        <v>74</v>
      </c>
      <c r="AX427" t="s">
        <v>74</v>
      </c>
      <c r="AY427" t="s">
        <v>74</v>
      </c>
      <c r="AZ427" t="s">
        <v>74</v>
      </c>
      <c r="BA427" t="s">
        <v>74</v>
      </c>
      <c r="BB427" t="s">
        <v>74</v>
      </c>
      <c r="BC427" t="s">
        <v>74</v>
      </c>
      <c r="BD427">
        <v>100812</v>
      </c>
      <c r="BE427" t="s">
        <v>3984</v>
      </c>
      <c r="BF427" t="str">
        <f>HYPERLINK("http://dx.doi.org/10.1016/j.mtphys.2022.100812","http://dx.doi.org/10.1016/j.mtphys.2022.100812")</f>
        <v>http://dx.doi.org/10.1016/j.mtphys.2022.100812</v>
      </c>
      <c r="BG427" t="s">
        <v>74</v>
      </c>
      <c r="BH427" t="s">
        <v>74</v>
      </c>
      <c r="BI427" t="s">
        <v>74</v>
      </c>
      <c r="BJ427" t="s">
        <v>74</v>
      </c>
      <c r="BK427" t="s">
        <v>74</v>
      </c>
      <c r="BL427" t="s">
        <v>74</v>
      </c>
      <c r="BM427" t="s">
        <v>74</v>
      </c>
      <c r="BN427" t="s">
        <v>74</v>
      </c>
      <c r="BO427" t="s">
        <v>74</v>
      </c>
      <c r="BP427" t="s">
        <v>74</v>
      </c>
      <c r="BQ427" t="s">
        <v>74</v>
      </c>
      <c r="BR427" t="s">
        <v>74</v>
      </c>
      <c r="BS427" t="s">
        <v>3985</v>
      </c>
      <c r="BT427" t="str">
        <f>HYPERLINK("https%3A%2F%2Fwww.webofscience.com%2Fwos%2Fwoscc%2Ffull-record%2FWOS:000864672000001","View Full Record in Web of Science")</f>
        <v>View Full Record in Web of Science</v>
      </c>
    </row>
    <row r="428" spans="1:72" x14ac:dyDescent="0.25">
      <c r="A428" t="s">
        <v>84</v>
      </c>
      <c r="B428" t="s">
        <v>3986</v>
      </c>
      <c r="C428" t="s">
        <v>74</v>
      </c>
      <c r="D428" t="s">
        <v>74</v>
      </c>
      <c r="E428" t="s">
        <v>86</v>
      </c>
      <c r="F428" t="s">
        <v>3987</v>
      </c>
      <c r="G428" t="s">
        <v>74</v>
      </c>
      <c r="H428" t="s">
        <v>74</v>
      </c>
      <c r="I428" t="s">
        <v>3988</v>
      </c>
      <c r="J428" t="s">
        <v>3777</v>
      </c>
      <c r="K428" t="s">
        <v>3778</v>
      </c>
      <c r="L428" t="s">
        <v>74</v>
      </c>
      <c r="M428" t="s">
        <v>74</v>
      </c>
      <c r="N428" t="s">
        <v>74</v>
      </c>
      <c r="O428" t="s">
        <v>3779</v>
      </c>
      <c r="P428" t="s">
        <v>3780</v>
      </c>
      <c r="Q428" t="s">
        <v>3781</v>
      </c>
      <c r="R428" t="s">
        <v>86</v>
      </c>
      <c r="S428" t="s">
        <v>74</v>
      </c>
      <c r="T428" t="s">
        <v>74</v>
      </c>
      <c r="U428" t="s">
        <v>74</v>
      </c>
      <c r="V428" t="s">
        <v>3989</v>
      </c>
      <c r="W428" t="s">
        <v>74</v>
      </c>
      <c r="X428" t="s">
        <v>74</v>
      </c>
      <c r="Y428" t="s">
        <v>74</v>
      </c>
      <c r="Z428" t="s">
        <v>74</v>
      </c>
      <c r="AA428" t="s">
        <v>74</v>
      </c>
      <c r="AB428" t="s">
        <v>74</v>
      </c>
      <c r="AC428" t="s">
        <v>74</v>
      </c>
      <c r="AD428" t="s">
        <v>74</v>
      </c>
      <c r="AE428" t="s">
        <v>74</v>
      </c>
      <c r="AF428" t="s">
        <v>74</v>
      </c>
      <c r="AG428" t="s">
        <v>74</v>
      </c>
      <c r="AH428" t="s">
        <v>74</v>
      </c>
      <c r="AI428" t="s">
        <v>74</v>
      </c>
      <c r="AJ428" t="s">
        <v>74</v>
      </c>
      <c r="AK428" t="s">
        <v>74</v>
      </c>
      <c r="AL428" t="s">
        <v>74</v>
      </c>
      <c r="AM428" t="s">
        <v>74</v>
      </c>
      <c r="AN428" t="s">
        <v>74</v>
      </c>
      <c r="AO428" t="s">
        <v>3783</v>
      </c>
      <c r="AP428" t="s">
        <v>74</v>
      </c>
      <c r="AQ428" t="s">
        <v>3784</v>
      </c>
      <c r="AR428" t="s">
        <v>74</v>
      </c>
      <c r="AS428" t="s">
        <v>74</v>
      </c>
      <c r="AT428" t="s">
        <v>74</v>
      </c>
      <c r="AU428">
        <v>2022</v>
      </c>
      <c r="AV428" t="s">
        <v>74</v>
      </c>
      <c r="AW428" t="s">
        <v>74</v>
      </c>
      <c r="AX428" t="s">
        <v>74</v>
      </c>
      <c r="AY428" t="s">
        <v>74</v>
      </c>
      <c r="AZ428" t="s">
        <v>74</v>
      </c>
      <c r="BA428" t="s">
        <v>74</v>
      </c>
      <c r="BB428">
        <v>6856</v>
      </c>
      <c r="BC428">
        <v>6859</v>
      </c>
      <c r="BD428" t="s">
        <v>74</v>
      </c>
      <c r="BE428" t="s">
        <v>3990</v>
      </c>
      <c r="BF428" t="str">
        <f>HYPERLINK("http://dx.doi.org/10.1109/IGARSS46834.2022.9884101","http://dx.doi.org/10.1109/IGARSS46834.2022.9884101")</f>
        <v>http://dx.doi.org/10.1109/IGARSS46834.2022.9884101</v>
      </c>
      <c r="BG428" t="s">
        <v>74</v>
      </c>
      <c r="BH428" t="s">
        <v>74</v>
      </c>
      <c r="BI428" t="s">
        <v>74</v>
      </c>
      <c r="BJ428" t="s">
        <v>74</v>
      </c>
      <c r="BK428" t="s">
        <v>74</v>
      </c>
      <c r="BL428" t="s">
        <v>74</v>
      </c>
      <c r="BM428" t="s">
        <v>74</v>
      </c>
      <c r="BN428" t="s">
        <v>74</v>
      </c>
      <c r="BO428" t="s">
        <v>74</v>
      </c>
      <c r="BP428" t="s">
        <v>74</v>
      </c>
      <c r="BQ428" t="s">
        <v>74</v>
      </c>
      <c r="BR428" t="s">
        <v>74</v>
      </c>
      <c r="BS428" t="s">
        <v>3991</v>
      </c>
      <c r="BT428" t="str">
        <f>HYPERLINK("https%3A%2F%2Fwww.webofscience.com%2Fwos%2Fwoscc%2Ffull-record%2FWOS:000920916606204","View Full Record in Web of Science")</f>
        <v>View Full Record in Web of Science</v>
      </c>
    </row>
    <row r="429" spans="1:72" x14ac:dyDescent="0.25">
      <c r="A429" t="s">
        <v>72</v>
      </c>
      <c r="B429" t="s">
        <v>3992</v>
      </c>
      <c r="C429" t="s">
        <v>74</v>
      </c>
      <c r="D429" t="s">
        <v>74</v>
      </c>
      <c r="E429" t="s">
        <v>74</v>
      </c>
      <c r="F429" t="s">
        <v>3993</v>
      </c>
      <c r="G429" t="s">
        <v>74</v>
      </c>
      <c r="H429" t="s">
        <v>74</v>
      </c>
      <c r="I429" t="s">
        <v>3994</v>
      </c>
      <c r="J429" t="s">
        <v>3995</v>
      </c>
      <c r="K429" t="s">
        <v>74</v>
      </c>
      <c r="L429" t="s">
        <v>74</v>
      </c>
      <c r="M429" t="s">
        <v>74</v>
      </c>
      <c r="N429" t="s">
        <v>74</v>
      </c>
      <c r="O429" t="s">
        <v>74</v>
      </c>
      <c r="P429" t="s">
        <v>74</v>
      </c>
      <c r="Q429" t="s">
        <v>74</v>
      </c>
      <c r="R429" t="s">
        <v>74</v>
      </c>
      <c r="S429" t="s">
        <v>74</v>
      </c>
      <c r="T429" t="s">
        <v>74</v>
      </c>
      <c r="U429" t="s">
        <v>74</v>
      </c>
      <c r="V429" t="s">
        <v>3996</v>
      </c>
      <c r="W429" t="s">
        <v>74</v>
      </c>
      <c r="X429" t="s">
        <v>74</v>
      </c>
      <c r="Y429" t="s">
        <v>74</v>
      </c>
      <c r="Z429" t="s">
        <v>74</v>
      </c>
      <c r="AA429" t="s">
        <v>3997</v>
      </c>
      <c r="AB429" t="s">
        <v>3998</v>
      </c>
      <c r="AC429" t="s">
        <v>74</v>
      </c>
      <c r="AD429" t="s">
        <v>74</v>
      </c>
      <c r="AE429" t="s">
        <v>74</v>
      </c>
      <c r="AF429" t="s">
        <v>74</v>
      </c>
      <c r="AG429" t="s">
        <v>74</v>
      </c>
      <c r="AH429" t="s">
        <v>74</v>
      </c>
      <c r="AI429" t="s">
        <v>74</v>
      </c>
      <c r="AJ429" t="s">
        <v>74</v>
      </c>
      <c r="AK429" t="s">
        <v>74</v>
      </c>
      <c r="AL429" t="s">
        <v>74</v>
      </c>
      <c r="AM429" t="s">
        <v>74</v>
      </c>
      <c r="AN429" t="s">
        <v>74</v>
      </c>
      <c r="AO429" t="s">
        <v>74</v>
      </c>
      <c r="AP429" t="s">
        <v>3999</v>
      </c>
      <c r="AQ429" t="s">
        <v>74</v>
      </c>
      <c r="AR429" t="s">
        <v>74</v>
      </c>
      <c r="AS429" t="s">
        <v>74</v>
      </c>
      <c r="AT429" t="s">
        <v>175</v>
      </c>
      <c r="AU429">
        <v>2023</v>
      </c>
      <c r="AV429">
        <v>5</v>
      </c>
      <c r="AW429">
        <v>1</v>
      </c>
      <c r="AX429" t="s">
        <v>74</v>
      </c>
      <c r="AY429" t="s">
        <v>74</v>
      </c>
      <c r="AZ429" t="s">
        <v>74</v>
      </c>
      <c r="BA429" t="s">
        <v>74</v>
      </c>
      <c r="BB429" t="s">
        <v>74</v>
      </c>
      <c r="BC429" t="s">
        <v>74</v>
      </c>
      <c r="BD429" t="s">
        <v>4000</v>
      </c>
      <c r="BE429" t="s">
        <v>4001</v>
      </c>
      <c r="BF429" t="str">
        <f>HYPERLINK("http://dx.doi.org/10.1002/inf2.12360","http://dx.doi.org/10.1002/inf2.12360")</f>
        <v>http://dx.doi.org/10.1002/inf2.12360</v>
      </c>
      <c r="BG429" t="s">
        <v>74</v>
      </c>
      <c r="BH429" t="s">
        <v>2013</v>
      </c>
      <c r="BI429" t="s">
        <v>74</v>
      </c>
      <c r="BJ429" t="s">
        <v>74</v>
      </c>
      <c r="BK429" t="s">
        <v>74</v>
      </c>
      <c r="BL429" t="s">
        <v>74</v>
      </c>
      <c r="BM429" t="s">
        <v>74</v>
      </c>
      <c r="BN429" t="s">
        <v>74</v>
      </c>
      <c r="BO429" t="s">
        <v>74</v>
      </c>
      <c r="BP429" t="s">
        <v>74</v>
      </c>
      <c r="BQ429" t="s">
        <v>74</v>
      </c>
      <c r="BR429" t="s">
        <v>74</v>
      </c>
      <c r="BS429" t="s">
        <v>4002</v>
      </c>
      <c r="BT429" t="str">
        <f>HYPERLINK("https%3A%2F%2Fwww.webofscience.com%2Fwos%2Fwoscc%2Ffull-record%2FWOS:000842945600001","View Full Record in Web of Science")</f>
        <v>View Full Record in Web of Science</v>
      </c>
    </row>
    <row r="430" spans="1:72" x14ac:dyDescent="0.25">
      <c r="A430" t="s">
        <v>84</v>
      </c>
      <c r="B430" t="s">
        <v>4003</v>
      </c>
      <c r="C430" t="s">
        <v>74</v>
      </c>
      <c r="D430" t="s">
        <v>74</v>
      </c>
      <c r="E430" t="s">
        <v>86</v>
      </c>
      <c r="F430" t="s">
        <v>4004</v>
      </c>
      <c r="G430" t="s">
        <v>74</v>
      </c>
      <c r="H430" t="s">
        <v>74</v>
      </c>
      <c r="I430" t="s">
        <v>4005</v>
      </c>
      <c r="J430" t="s">
        <v>4006</v>
      </c>
      <c r="K430" t="s">
        <v>74</v>
      </c>
      <c r="L430" t="s">
        <v>74</v>
      </c>
      <c r="M430" t="s">
        <v>74</v>
      </c>
      <c r="N430" t="s">
        <v>74</v>
      </c>
      <c r="O430" t="s">
        <v>4007</v>
      </c>
      <c r="P430" t="s">
        <v>4008</v>
      </c>
      <c r="Q430" t="s">
        <v>4009</v>
      </c>
      <c r="R430" t="s">
        <v>241</v>
      </c>
      <c r="S430" t="s">
        <v>74</v>
      </c>
      <c r="T430" t="s">
        <v>74</v>
      </c>
      <c r="U430" t="s">
        <v>74</v>
      </c>
      <c r="V430" t="s">
        <v>4010</v>
      </c>
      <c r="W430" t="s">
        <v>74</v>
      </c>
      <c r="X430" t="s">
        <v>74</v>
      </c>
      <c r="Y430" t="s">
        <v>74</v>
      </c>
      <c r="Z430" t="s">
        <v>74</v>
      </c>
      <c r="AA430" t="s">
        <v>74</v>
      </c>
      <c r="AB430" t="s">
        <v>74</v>
      </c>
      <c r="AC430" t="s">
        <v>74</v>
      </c>
      <c r="AD430" t="s">
        <v>74</v>
      </c>
      <c r="AE430" t="s">
        <v>74</v>
      </c>
      <c r="AF430" t="s">
        <v>74</v>
      </c>
      <c r="AG430" t="s">
        <v>74</v>
      </c>
      <c r="AH430" t="s">
        <v>74</v>
      </c>
      <c r="AI430" t="s">
        <v>74</v>
      </c>
      <c r="AJ430" t="s">
        <v>74</v>
      </c>
      <c r="AK430" t="s">
        <v>74</v>
      </c>
      <c r="AL430" t="s">
        <v>74</v>
      </c>
      <c r="AM430" t="s">
        <v>74</v>
      </c>
      <c r="AN430" t="s">
        <v>74</v>
      </c>
      <c r="AO430" t="s">
        <v>74</v>
      </c>
      <c r="AP430" t="s">
        <v>74</v>
      </c>
      <c r="AQ430" t="s">
        <v>4011</v>
      </c>
      <c r="AR430" t="s">
        <v>74</v>
      </c>
      <c r="AS430" t="s">
        <v>74</v>
      </c>
      <c r="AT430" t="s">
        <v>74</v>
      </c>
      <c r="AU430">
        <v>2022</v>
      </c>
      <c r="AV430" t="s">
        <v>74</v>
      </c>
      <c r="AW430" t="s">
        <v>74</v>
      </c>
      <c r="AX430" t="s">
        <v>74</v>
      </c>
      <c r="AY430" t="s">
        <v>74</v>
      </c>
      <c r="AZ430" t="s">
        <v>74</v>
      </c>
      <c r="BA430" t="s">
        <v>74</v>
      </c>
      <c r="BB430">
        <v>214</v>
      </c>
      <c r="BC430">
        <v>217</v>
      </c>
      <c r="BD430" t="s">
        <v>74</v>
      </c>
      <c r="BE430" t="s">
        <v>4012</v>
      </c>
      <c r="BF430" t="str">
        <f>HYPERLINK("http://dx.doi.org/10.1109/ISM55400.2022.00048","http://dx.doi.org/10.1109/ISM55400.2022.00048")</f>
        <v>http://dx.doi.org/10.1109/ISM55400.2022.00048</v>
      </c>
      <c r="BG430" t="s">
        <v>74</v>
      </c>
      <c r="BH430" t="s">
        <v>74</v>
      </c>
      <c r="BI430" t="s">
        <v>74</v>
      </c>
      <c r="BJ430" t="s">
        <v>74</v>
      </c>
      <c r="BK430" t="s">
        <v>74</v>
      </c>
      <c r="BL430" t="s">
        <v>74</v>
      </c>
      <c r="BM430" t="s">
        <v>74</v>
      </c>
      <c r="BN430" t="s">
        <v>74</v>
      </c>
      <c r="BO430" t="s">
        <v>74</v>
      </c>
      <c r="BP430" t="s">
        <v>74</v>
      </c>
      <c r="BQ430" t="s">
        <v>74</v>
      </c>
      <c r="BR430" t="s">
        <v>74</v>
      </c>
      <c r="BS430" t="s">
        <v>4013</v>
      </c>
      <c r="BT430" t="str">
        <f>HYPERLINK("https%3A%2F%2Fwww.webofscience.com%2Fwos%2Fwoscc%2Ffull-record%2FWOS:000964457800041","View Full Record in Web of Science")</f>
        <v>View Full Record in Web of Science</v>
      </c>
    </row>
    <row r="431" spans="1:72" x14ac:dyDescent="0.25">
      <c r="A431" t="s">
        <v>84</v>
      </c>
      <c r="B431" t="s">
        <v>4014</v>
      </c>
      <c r="C431" t="s">
        <v>74</v>
      </c>
      <c r="D431" t="s">
        <v>74</v>
      </c>
      <c r="E431" t="s">
        <v>233</v>
      </c>
      <c r="F431" t="s">
        <v>4015</v>
      </c>
      <c r="G431" t="s">
        <v>74</v>
      </c>
      <c r="H431" t="s">
        <v>74</v>
      </c>
      <c r="I431" t="s">
        <v>4016</v>
      </c>
      <c r="J431" t="s">
        <v>4017</v>
      </c>
      <c r="K431" t="s">
        <v>4018</v>
      </c>
      <c r="L431" t="s">
        <v>74</v>
      </c>
      <c r="M431" t="s">
        <v>74</v>
      </c>
      <c r="N431" t="s">
        <v>74</v>
      </c>
      <c r="O431" t="s">
        <v>238</v>
      </c>
      <c r="P431" t="s">
        <v>239</v>
      </c>
      <c r="Q431" t="s">
        <v>240</v>
      </c>
      <c r="R431" t="s">
        <v>241</v>
      </c>
      <c r="S431" t="s">
        <v>74</v>
      </c>
      <c r="T431" t="s">
        <v>74</v>
      </c>
      <c r="U431" t="s">
        <v>74</v>
      </c>
      <c r="V431" t="s">
        <v>4019</v>
      </c>
      <c r="W431" t="s">
        <v>74</v>
      </c>
      <c r="X431" t="s">
        <v>74</v>
      </c>
      <c r="Y431" t="s">
        <v>74</v>
      </c>
      <c r="Z431" t="s">
        <v>74</v>
      </c>
      <c r="AA431" t="s">
        <v>74</v>
      </c>
      <c r="AB431" t="s">
        <v>74</v>
      </c>
      <c r="AC431" t="s">
        <v>74</v>
      </c>
      <c r="AD431" t="s">
        <v>74</v>
      </c>
      <c r="AE431" t="s">
        <v>74</v>
      </c>
      <c r="AF431" t="s">
        <v>74</v>
      </c>
      <c r="AG431" t="s">
        <v>74</v>
      </c>
      <c r="AH431" t="s">
        <v>74</v>
      </c>
      <c r="AI431" t="s">
        <v>74</v>
      </c>
      <c r="AJ431" t="s">
        <v>74</v>
      </c>
      <c r="AK431" t="s">
        <v>74</v>
      </c>
      <c r="AL431" t="s">
        <v>74</v>
      </c>
      <c r="AM431" t="s">
        <v>74</v>
      </c>
      <c r="AN431" t="s">
        <v>74</v>
      </c>
      <c r="AO431" t="s">
        <v>4020</v>
      </c>
      <c r="AP431" t="s">
        <v>74</v>
      </c>
      <c r="AQ431" t="s">
        <v>4021</v>
      </c>
      <c r="AR431" t="s">
        <v>74</v>
      </c>
      <c r="AS431" t="s">
        <v>74</v>
      </c>
      <c r="AT431" t="s">
        <v>74</v>
      </c>
      <c r="AU431">
        <v>2022</v>
      </c>
      <c r="AV431" t="s">
        <v>74</v>
      </c>
      <c r="AW431" t="s">
        <v>74</v>
      </c>
      <c r="AX431" t="s">
        <v>74</v>
      </c>
      <c r="AY431" t="s">
        <v>74</v>
      </c>
      <c r="AZ431" t="s">
        <v>74</v>
      </c>
      <c r="BA431" t="s">
        <v>74</v>
      </c>
      <c r="BB431">
        <v>168</v>
      </c>
      <c r="BC431">
        <v>179</v>
      </c>
      <c r="BD431" t="s">
        <v>74</v>
      </c>
      <c r="BE431" t="s">
        <v>4022</v>
      </c>
      <c r="BF431" t="str">
        <f>HYPERLINK("http://dx.doi.org/10.1109/ICDCS54860.2022.00025","http://dx.doi.org/10.1109/ICDCS54860.2022.00025")</f>
        <v>http://dx.doi.org/10.1109/ICDCS54860.2022.00025</v>
      </c>
      <c r="BG431" t="s">
        <v>74</v>
      </c>
      <c r="BH431" t="s">
        <v>74</v>
      </c>
      <c r="BI431" t="s">
        <v>74</v>
      </c>
      <c r="BJ431" t="s">
        <v>74</v>
      </c>
      <c r="BK431" t="s">
        <v>74</v>
      </c>
      <c r="BL431" t="s">
        <v>74</v>
      </c>
      <c r="BM431" t="s">
        <v>74</v>
      </c>
      <c r="BN431" t="s">
        <v>74</v>
      </c>
      <c r="BO431" t="s">
        <v>74</v>
      </c>
      <c r="BP431" t="s">
        <v>74</v>
      </c>
      <c r="BQ431" t="s">
        <v>74</v>
      </c>
      <c r="BR431" t="s">
        <v>74</v>
      </c>
      <c r="BS431" t="s">
        <v>4023</v>
      </c>
      <c r="BT431" t="str">
        <f>HYPERLINK("https%3A%2F%2Fwww.webofscience.com%2Fwos%2Fwoscc%2Ffull-record%2FWOS:000877026100016","View Full Record in Web of Science")</f>
        <v>View Full Record in Web of Science</v>
      </c>
    </row>
    <row r="432" spans="1:72" x14ac:dyDescent="0.25">
      <c r="A432" t="s">
        <v>72</v>
      </c>
      <c r="B432" t="s">
        <v>1474</v>
      </c>
      <c r="C432" t="s">
        <v>74</v>
      </c>
      <c r="D432" t="s">
        <v>74</v>
      </c>
      <c r="E432" t="s">
        <v>74</v>
      </c>
      <c r="F432" t="s">
        <v>1475</v>
      </c>
      <c r="G432" t="s">
        <v>74</v>
      </c>
      <c r="H432" t="s">
        <v>74</v>
      </c>
      <c r="I432" t="s">
        <v>4024</v>
      </c>
      <c r="J432" t="s">
        <v>4025</v>
      </c>
      <c r="K432" t="s">
        <v>74</v>
      </c>
      <c r="L432" t="s">
        <v>74</v>
      </c>
      <c r="M432" t="s">
        <v>74</v>
      </c>
      <c r="N432" t="s">
        <v>74</v>
      </c>
      <c r="O432" t="s">
        <v>74</v>
      </c>
      <c r="P432" t="s">
        <v>74</v>
      </c>
      <c r="Q432" t="s">
        <v>74</v>
      </c>
      <c r="R432" t="s">
        <v>74</v>
      </c>
      <c r="S432" t="s">
        <v>74</v>
      </c>
      <c r="T432" t="s">
        <v>74</v>
      </c>
      <c r="U432" t="s">
        <v>74</v>
      </c>
      <c r="V432" t="s">
        <v>4026</v>
      </c>
      <c r="W432" t="s">
        <v>74</v>
      </c>
      <c r="X432" t="s">
        <v>74</v>
      </c>
      <c r="Y432" t="s">
        <v>74</v>
      </c>
      <c r="Z432" t="s">
        <v>74</v>
      </c>
      <c r="AA432" t="s">
        <v>74</v>
      </c>
      <c r="AB432" t="s">
        <v>74</v>
      </c>
      <c r="AC432" t="s">
        <v>74</v>
      </c>
      <c r="AD432" t="s">
        <v>74</v>
      </c>
      <c r="AE432" t="s">
        <v>74</v>
      </c>
      <c r="AF432" t="s">
        <v>74</v>
      </c>
      <c r="AG432" t="s">
        <v>74</v>
      </c>
      <c r="AH432" t="s">
        <v>74</v>
      </c>
      <c r="AI432" t="s">
        <v>74</v>
      </c>
      <c r="AJ432" t="s">
        <v>74</v>
      </c>
      <c r="AK432" t="s">
        <v>74</v>
      </c>
      <c r="AL432" t="s">
        <v>74</v>
      </c>
      <c r="AM432" t="s">
        <v>74</v>
      </c>
      <c r="AN432" t="s">
        <v>74</v>
      </c>
      <c r="AO432" t="s">
        <v>4027</v>
      </c>
      <c r="AP432" t="s">
        <v>4028</v>
      </c>
      <c r="AQ432" t="s">
        <v>74</v>
      </c>
      <c r="AR432" t="s">
        <v>74</v>
      </c>
      <c r="AS432" t="s">
        <v>74</v>
      </c>
      <c r="AT432" t="s">
        <v>175</v>
      </c>
      <c r="AU432">
        <v>2023</v>
      </c>
      <c r="AV432">
        <v>71</v>
      </c>
      <c r="AW432">
        <v>1</v>
      </c>
      <c r="AX432" t="s">
        <v>74</v>
      </c>
      <c r="AY432" t="s">
        <v>74</v>
      </c>
      <c r="AZ432" t="s">
        <v>74</v>
      </c>
      <c r="BA432" t="s">
        <v>74</v>
      </c>
      <c r="BB432">
        <v>256</v>
      </c>
      <c r="BC432">
        <v>268</v>
      </c>
      <c r="BD432" t="s">
        <v>74</v>
      </c>
      <c r="BE432" t="s">
        <v>4029</v>
      </c>
      <c r="BF432" t="str">
        <f>HYPERLINK("http://dx.doi.org/10.1109/TCOMM.2022.3225186","http://dx.doi.org/10.1109/TCOMM.2022.3225186")</f>
        <v>http://dx.doi.org/10.1109/TCOMM.2022.3225186</v>
      </c>
      <c r="BG432" t="s">
        <v>74</v>
      </c>
      <c r="BH432" t="s">
        <v>74</v>
      </c>
      <c r="BI432" t="s">
        <v>74</v>
      </c>
      <c r="BJ432" t="s">
        <v>74</v>
      </c>
      <c r="BK432" t="s">
        <v>74</v>
      </c>
      <c r="BL432" t="s">
        <v>74</v>
      </c>
      <c r="BM432" t="s">
        <v>74</v>
      </c>
      <c r="BN432" t="s">
        <v>74</v>
      </c>
      <c r="BO432" t="s">
        <v>74</v>
      </c>
      <c r="BP432" t="s">
        <v>74</v>
      </c>
      <c r="BQ432" t="s">
        <v>74</v>
      </c>
      <c r="BR432" t="s">
        <v>74</v>
      </c>
      <c r="BS432" t="s">
        <v>4030</v>
      </c>
      <c r="BT432" t="str">
        <f>HYPERLINK("https%3A%2F%2Fwww.webofscience.com%2Fwos%2Fwoscc%2Ffull-record%2FWOS:000965370100001","View Full Record in Web of Science")</f>
        <v>View Full Record in Web of Science</v>
      </c>
    </row>
    <row r="433" spans="1:72" x14ac:dyDescent="0.25">
      <c r="A433" t="s">
        <v>72</v>
      </c>
      <c r="B433" t="s">
        <v>4031</v>
      </c>
      <c r="C433" t="s">
        <v>74</v>
      </c>
      <c r="D433" t="s">
        <v>74</v>
      </c>
      <c r="E433" t="s">
        <v>74</v>
      </c>
      <c r="F433" t="s">
        <v>4032</v>
      </c>
      <c r="G433" t="s">
        <v>74</v>
      </c>
      <c r="H433" t="s">
        <v>74</v>
      </c>
      <c r="I433" t="s">
        <v>4033</v>
      </c>
      <c r="J433" t="s">
        <v>2569</v>
      </c>
      <c r="K433" t="s">
        <v>74</v>
      </c>
      <c r="L433" t="s">
        <v>74</v>
      </c>
      <c r="M433" t="s">
        <v>74</v>
      </c>
      <c r="N433" t="s">
        <v>74</v>
      </c>
      <c r="O433" t="s">
        <v>74</v>
      </c>
      <c r="P433" t="s">
        <v>74</v>
      </c>
      <c r="Q433" t="s">
        <v>74</v>
      </c>
      <c r="R433" t="s">
        <v>74</v>
      </c>
      <c r="S433" t="s">
        <v>74</v>
      </c>
      <c r="T433" t="s">
        <v>74</v>
      </c>
      <c r="U433" t="s">
        <v>74</v>
      </c>
      <c r="V433" t="s">
        <v>4034</v>
      </c>
      <c r="W433" t="s">
        <v>74</v>
      </c>
      <c r="X433" t="s">
        <v>74</v>
      </c>
      <c r="Y433" t="s">
        <v>74</v>
      </c>
      <c r="Z433" t="s">
        <v>74</v>
      </c>
      <c r="AA433" t="s">
        <v>74</v>
      </c>
      <c r="AB433" t="s">
        <v>4035</v>
      </c>
      <c r="AC433" t="s">
        <v>74</v>
      </c>
      <c r="AD433" t="s">
        <v>74</v>
      </c>
      <c r="AE433" t="s">
        <v>74</v>
      </c>
      <c r="AF433" t="s">
        <v>74</v>
      </c>
      <c r="AG433" t="s">
        <v>74</v>
      </c>
      <c r="AH433" t="s">
        <v>74</v>
      </c>
      <c r="AI433" t="s">
        <v>74</v>
      </c>
      <c r="AJ433" t="s">
        <v>74</v>
      </c>
      <c r="AK433" t="s">
        <v>74</v>
      </c>
      <c r="AL433" t="s">
        <v>74</v>
      </c>
      <c r="AM433" t="s">
        <v>74</v>
      </c>
      <c r="AN433" t="s">
        <v>74</v>
      </c>
      <c r="AO433" t="s">
        <v>2571</v>
      </c>
      <c r="AP433" t="s">
        <v>2572</v>
      </c>
      <c r="AQ433" t="s">
        <v>74</v>
      </c>
      <c r="AR433" t="s">
        <v>74</v>
      </c>
      <c r="AS433" t="s">
        <v>74</v>
      </c>
      <c r="AT433" t="s">
        <v>4036</v>
      </c>
      <c r="AU433">
        <v>2022</v>
      </c>
      <c r="AV433">
        <v>2022</v>
      </c>
      <c r="AW433" t="s">
        <v>74</v>
      </c>
      <c r="AX433" t="s">
        <v>74</v>
      </c>
      <c r="AY433" t="s">
        <v>74</v>
      </c>
      <c r="AZ433" t="s">
        <v>74</v>
      </c>
      <c r="BA433" t="s">
        <v>74</v>
      </c>
      <c r="BB433" t="s">
        <v>74</v>
      </c>
      <c r="BC433" t="s">
        <v>74</v>
      </c>
      <c r="BD433">
        <v>6219401</v>
      </c>
      <c r="BE433" t="s">
        <v>4037</v>
      </c>
      <c r="BF433" t="str">
        <f>HYPERLINK("http://dx.doi.org/10.1155/2022/6219401","http://dx.doi.org/10.1155/2022/6219401")</f>
        <v>http://dx.doi.org/10.1155/2022/6219401</v>
      </c>
      <c r="BG433" t="s">
        <v>74</v>
      </c>
      <c r="BH433" t="s">
        <v>74</v>
      </c>
      <c r="BI433" t="s">
        <v>74</v>
      </c>
      <c r="BJ433" t="s">
        <v>74</v>
      </c>
      <c r="BK433" t="s">
        <v>74</v>
      </c>
      <c r="BL433" t="s">
        <v>74</v>
      </c>
      <c r="BM433" t="s">
        <v>74</v>
      </c>
      <c r="BN433">
        <v>36200088</v>
      </c>
      <c r="BO433" t="s">
        <v>74</v>
      </c>
      <c r="BP433" t="s">
        <v>74</v>
      </c>
      <c r="BQ433" t="s">
        <v>74</v>
      </c>
      <c r="BR433" t="s">
        <v>74</v>
      </c>
      <c r="BS433" t="s">
        <v>4038</v>
      </c>
      <c r="BT433" t="str">
        <f>HYPERLINK("https%3A%2F%2Fwww.webofscience.com%2Fwos%2Fwoscc%2Ffull-record%2FWOS:000863446300005","View Full Record in Web of Science")</f>
        <v>View Full Record in Web of Science</v>
      </c>
    </row>
    <row r="434" spans="1:72" x14ac:dyDescent="0.25">
      <c r="A434" t="s">
        <v>84</v>
      </c>
      <c r="B434" t="s">
        <v>4039</v>
      </c>
      <c r="C434" t="s">
        <v>74</v>
      </c>
      <c r="D434" t="s">
        <v>74</v>
      </c>
      <c r="E434" t="s">
        <v>233</v>
      </c>
      <c r="F434" t="s">
        <v>4040</v>
      </c>
      <c r="G434" t="s">
        <v>74</v>
      </c>
      <c r="H434" t="s">
        <v>74</v>
      </c>
      <c r="I434" t="s">
        <v>4041</v>
      </c>
      <c r="J434" t="s">
        <v>4042</v>
      </c>
      <c r="K434" t="s">
        <v>4043</v>
      </c>
      <c r="L434" t="s">
        <v>74</v>
      </c>
      <c r="M434" t="s">
        <v>74</v>
      </c>
      <c r="N434" t="s">
        <v>74</v>
      </c>
      <c r="O434" t="s">
        <v>4044</v>
      </c>
      <c r="P434" t="s">
        <v>4045</v>
      </c>
      <c r="Q434" t="s">
        <v>108</v>
      </c>
      <c r="R434" t="s">
        <v>241</v>
      </c>
      <c r="S434" t="s">
        <v>74</v>
      </c>
      <c r="T434" t="s">
        <v>74</v>
      </c>
      <c r="U434" t="s">
        <v>74</v>
      </c>
      <c r="V434" t="s">
        <v>4046</v>
      </c>
      <c r="W434" t="s">
        <v>74</v>
      </c>
      <c r="X434" t="s">
        <v>74</v>
      </c>
      <c r="Y434" t="s">
        <v>74</v>
      </c>
      <c r="Z434" t="s">
        <v>74</v>
      </c>
      <c r="AA434" t="s">
        <v>74</v>
      </c>
      <c r="AB434" t="s">
        <v>74</v>
      </c>
      <c r="AC434" t="s">
        <v>74</v>
      </c>
      <c r="AD434" t="s">
        <v>74</v>
      </c>
      <c r="AE434" t="s">
        <v>74</v>
      </c>
      <c r="AF434" t="s">
        <v>74</v>
      </c>
      <c r="AG434" t="s">
        <v>74</v>
      </c>
      <c r="AH434" t="s">
        <v>74</v>
      </c>
      <c r="AI434" t="s">
        <v>74</v>
      </c>
      <c r="AJ434" t="s">
        <v>74</v>
      </c>
      <c r="AK434" t="s">
        <v>74</v>
      </c>
      <c r="AL434" t="s">
        <v>74</v>
      </c>
      <c r="AM434" t="s">
        <v>74</v>
      </c>
      <c r="AN434" t="s">
        <v>74</v>
      </c>
      <c r="AO434" t="s">
        <v>4047</v>
      </c>
      <c r="AP434" t="s">
        <v>74</v>
      </c>
      <c r="AQ434" t="s">
        <v>4048</v>
      </c>
      <c r="AR434" t="s">
        <v>74</v>
      </c>
      <c r="AS434" t="s">
        <v>74</v>
      </c>
      <c r="AT434" t="s">
        <v>74</v>
      </c>
      <c r="AU434">
        <v>2022</v>
      </c>
      <c r="AV434" t="s">
        <v>74</v>
      </c>
      <c r="AW434" t="s">
        <v>74</v>
      </c>
      <c r="AX434" t="s">
        <v>74</v>
      </c>
      <c r="AY434" t="s">
        <v>74</v>
      </c>
      <c r="AZ434" t="s">
        <v>74</v>
      </c>
      <c r="BA434" t="s">
        <v>74</v>
      </c>
      <c r="BB434">
        <v>3226</v>
      </c>
      <c r="BC434">
        <v>3229</v>
      </c>
      <c r="BD434" t="s">
        <v>74</v>
      </c>
      <c r="BE434" t="s">
        <v>4049</v>
      </c>
      <c r="BF434" t="str">
        <f>HYPERLINK("http://dx.doi.org/10.1109/ICDE53745.2022.00304","http://dx.doi.org/10.1109/ICDE53745.2022.00304")</f>
        <v>http://dx.doi.org/10.1109/ICDE53745.2022.00304</v>
      </c>
      <c r="BG434" t="s">
        <v>74</v>
      </c>
      <c r="BH434" t="s">
        <v>74</v>
      </c>
      <c r="BI434" t="s">
        <v>74</v>
      </c>
      <c r="BJ434" t="s">
        <v>74</v>
      </c>
      <c r="BK434" t="s">
        <v>74</v>
      </c>
      <c r="BL434" t="s">
        <v>74</v>
      </c>
      <c r="BM434" t="s">
        <v>74</v>
      </c>
      <c r="BN434" t="s">
        <v>74</v>
      </c>
      <c r="BO434" t="s">
        <v>74</v>
      </c>
      <c r="BP434" t="s">
        <v>74</v>
      </c>
      <c r="BQ434" t="s">
        <v>74</v>
      </c>
      <c r="BR434" t="s">
        <v>74</v>
      </c>
      <c r="BS434" t="s">
        <v>4050</v>
      </c>
      <c r="BT434" t="str">
        <f>HYPERLINK("https%3A%2F%2Fwww.webofscience.com%2Fwos%2Fwoscc%2Ffull-record%2FWOS:000855078403039","View Full Record in Web of Science")</f>
        <v>View Full Record in Web of Science</v>
      </c>
    </row>
    <row r="435" spans="1:72" x14ac:dyDescent="0.25">
      <c r="A435" t="s">
        <v>84</v>
      </c>
      <c r="B435" t="s">
        <v>4051</v>
      </c>
      <c r="C435" t="s">
        <v>74</v>
      </c>
      <c r="D435" t="s">
        <v>74</v>
      </c>
      <c r="E435" t="s">
        <v>233</v>
      </c>
      <c r="F435" t="s">
        <v>4052</v>
      </c>
      <c r="G435" t="s">
        <v>74</v>
      </c>
      <c r="H435" t="s">
        <v>74</v>
      </c>
      <c r="I435" t="s">
        <v>4053</v>
      </c>
      <c r="J435" t="s">
        <v>236</v>
      </c>
      <c r="K435" t="s">
        <v>237</v>
      </c>
      <c r="L435" t="s">
        <v>74</v>
      </c>
      <c r="M435" t="s">
        <v>74</v>
      </c>
      <c r="N435" t="s">
        <v>74</v>
      </c>
      <c r="O435" t="s">
        <v>238</v>
      </c>
      <c r="P435" t="s">
        <v>239</v>
      </c>
      <c r="Q435" t="s">
        <v>240</v>
      </c>
      <c r="R435" t="s">
        <v>241</v>
      </c>
      <c r="S435" t="s">
        <v>74</v>
      </c>
      <c r="T435" t="s">
        <v>74</v>
      </c>
      <c r="U435" t="s">
        <v>74</v>
      </c>
      <c r="V435" t="s">
        <v>4054</v>
      </c>
      <c r="W435" t="s">
        <v>74</v>
      </c>
      <c r="X435" t="s">
        <v>74</v>
      </c>
      <c r="Y435" t="s">
        <v>74</v>
      </c>
      <c r="Z435" t="s">
        <v>74</v>
      </c>
      <c r="AA435" t="s">
        <v>4055</v>
      </c>
      <c r="AB435" t="s">
        <v>4056</v>
      </c>
      <c r="AC435" t="s">
        <v>74</v>
      </c>
      <c r="AD435" t="s">
        <v>74</v>
      </c>
      <c r="AE435" t="s">
        <v>74</v>
      </c>
      <c r="AF435" t="s">
        <v>74</v>
      </c>
      <c r="AG435" t="s">
        <v>74</v>
      </c>
      <c r="AH435" t="s">
        <v>74</v>
      </c>
      <c r="AI435" t="s">
        <v>74</v>
      </c>
      <c r="AJ435" t="s">
        <v>74</v>
      </c>
      <c r="AK435" t="s">
        <v>74</v>
      </c>
      <c r="AL435" t="s">
        <v>74</v>
      </c>
      <c r="AM435" t="s">
        <v>74</v>
      </c>
      <c r="AN435" t="s">
        <v>74</v>
      </c>
      <c r="AO435" t="s">
        <v>243</v>
      </c>
      <c r="AP435" t="s">
        <v>74</v>
      </c>
      <c r="AQ435" t="s">
        <v>244</v>
      </c>
      <c r="AR435" t="s">
        <v>74</v>
      </c>
      <c r="AS435" t="s">
        <v>74</v>
      </c>
      <c r="AT435" t="s">
        <v>74</v>
      </c>
      <c r="AU435">
        <v>2022</v>
      </c>
      <c r="AV435" t="s">
        <v>74</v>
      </c>
      <c r="AW435" t="s">
        <v>74</v>
      </c>
      <c r="AX435" t="s">
        <v>74</v>
      </c>
      <c r="AY435" t="s">
        <v>74</v>
      </c>
      <c r="AZ435" t="s">
        <v>74</v>
      </c>
      <c r="BA435" t="s">
        <v>74</v>
      </c>
      <c r="BB435">
        <v>254</v>
      </c>
      <c r="BC435">
        <v>259</v>
      </c>
      <c r="BD435" t="s">
        <v>74</v>
      </c>
      <c r="BE435" t="s">
        <v>4057</v>
      </c>
      <c r="BF435" t="str">
        <f>HYPERLINK("http://dx.doi.org/10.1109/ICDCSW56584.2022.00055","http://dx.doi.org/10.1109/ICDCSW56584.2022.00055")</f>
        <v>http://dx.doi.org/10.1109/ICDCSW56584.2022.00055</v>
      </c>
      <c r="BG435" t="s">
        <v>74</v>
      </c>
      <c r="BH435" t="s">
        <v>74</v>
      </c>
      <c r="BI435" t="s">
        <v>74</v>
      </c>
      <c r="BJ435" t="s">
        <v>74</v>
      </c>
      <c r="BK435" t="s">
        <v>74</v>
      </c>
      <c r="BL435" t="s">
        <v>74</v>
      </c>
      <c r="BM435" t="s">
        <v>74</v>
      </c>
      <c r="BN435" t="s">
        <v>74</v>
      </c>
      <c r="BO435" t="s">
        <v>74</v>
      </c>
      <c r="BP435" t="s">
        <v>74</v>
      </c>
      <c r="BQ435" t="s">
        <v>74</v>
      </c>
      <c r="BR435" t="s">
        <v>74</v>
      </c>
      <c r="BS435" t="s">
        <v>4058</v>
      </c>
      <c r="BT435" t="str">
        <f>HYPERLINK("https%3A%2F%2Fwww.webofscience.com%2Fwos%2Fwoscc%2Ffull-record%2FWOS:000895984800046","View Full Record in Web of Science")</f>
        <v>View Full Record in Web of Science</v>
      </c>
    </row>
    <row r="436" spans="1:72" x14ac:dyDescent="0.25">
      <c r="A436" t="s">
        <v>84</v>
      </c>
      <c r="B436" t="s">
        <v>4059</v>
      </c>
      <c r="C436" t="s">
        <v>74</v>
      </c>
      <c r="D436" t="s">
        <v>74</v>
      </c>
      <c r="E436" t="s">
        <v>4060</v>
      </c>
      <c r="F436" t="s">
        <v>4061</v>
      </c>
      <c r="G436" t="s">
        <v>74</v>
      </c>
      <c r="H436" t="s">
        <v>74</v>
      </c>
      <c r="I436" t="s">
        <v>4062</v>
      </c>
      <c r="J436" t="s">
        <v>4063</v>
      </c>
      <c r="K436" t="s">
        <v>4064</v>
      </c>
      <c r="L436" t="s">
        <v>74</v>
      </c>
      <c r="M436" t="s">
        <v>74</v>
      </c>
      <c r="N436" t="s">
        <v>74</v>
      </c>
      <c r="O436" t="s">
        <v>4065</v>
      </c>
      <c r="P436" t="s">
        <v>4066</v>
      </c>
      <c r="Q436" t="s">
        <v>3025</v>
      </c>
      <c r="R436" t="s">
        <v>4067</v>
      </c>
      <c r="S436" t="s">
        <v>74</v>
      </c>
      <c r="T436" t="s">
        <v>74</v>
      </c>
      <c r="U436" t="s">
        <v>74</v>
      </c>
      <c r="V436" t="s">
        <v>4068</v>
      </c>
      <c r="W436" t="s">
        <v>74</v>
      </c>
      <c r="X436" t="s">
        <v>74</v>
      </c>
      <c r="Y436" t="s">
        <v>74</v>
      </c>
      <c r="Z436" t="s">
        <v>74</v>
      </c>
      <c r="AA436" t="s">
        <v>74</v>
      </c>
      <c r="AB436" t="s">
        <v>74</v>
      </c>
      <c r="AC436" t="s">
        <v>74</v>
      </c>
      <c r="AD436" t="s">
        <v>74</v>
      </c>
      <c r="AE436" t="s">
        <v>74</v>
      </c>
      <c r="AF436" t="s">
        <v>74</v>
      </c>
      <c r="AG436" t="s">
        <v>74</v>
      </c>
      <c r="AH436" t="s">
        <v>74</v>
      </c>
      <c r="AI436" t="s">
        <v>74</v>
      </c>
      <c r="AJ436" t="s">
        <v>74</v>
      </c>
      <c r="AK436" t="s">
        <v>74</v>
      </c>
      <c r="AL436" t="s">
        <v>74</v>
      </c>
      <c r="AM436" t="s">
        <v>74</v>
      </c>
      <c r="AN436" t="s">
        <v>74</v>
      </c>
      <c r="AO436" t="s">
        <v>4069</v>
      </c>
      <c r="AP436" t="s">
        <v>74</v>
      </c>
      <c r="AQ436" t="s">
        <v>4070</v>
      </c>
      <c r="AR436" t="s">
        <v>74</v>
      </c>
      <c r="AS436" t="s">
        <v>74</v>
      </c>
      <c r="AT436" t="s">
        <v>74</v>
      </c>
      <c r="AU436">
        <v>2022</v>
      </c>
      <c r="AV436" t="s">
        <v>74</v>
      </c>
      <c r="AW436" t="s">
        <v>74</v>
      </c>
      <c r="AX436" t="s">
        <v>74</v>
      </c>
      <c r="AY436" t="s">
        <v>74</v>
      </c>
      <c r="AZ436" t="s">
        <v>74</v>
      </c>
      <c r="BA436" t="s">
        <v>74</v>
      </c>
      <c r="BB436">
        <v>18666</v>
      </c>
      <c r="BC436">
        <v>18675</v>
      </c>
      <c r="BD436" t="s">
        <v>74</v>
      </c>
      <c r="BE436" t="s">
        <v>4071</v>
      </c>
      <c r="BF436" t="str">
        <f>HYPERLINK("http://dx.doi.org/10.1109/CVPR52688.2022.01813","http://dx.doi.org/10.1109/CVPR52688.2022.01813")</f>
        <v>http://dx.doi.org/10.1109/CVPR52688.2022.01813</v>
      </c>
      <c r="BG436" t="s">
        <v>74</v>
      </c>
      <c r="BH436" t="s">
        <v>74</v>
      </c>
      <c r="BI436" t="s">
        <v>74</v>
      </c>
      <c r="BJ436" t="s">
        <v>74</v>
      </c>
      <c r="BK436" t="s">
        <v>74</v>
      </c>
      <c r="BL436" t="s">
        <v>74</v>
      </c>
      <c r="BM436" t="s">
        <v>74</v>
      </c>
      <c r="BN436" t="s">
        <v>74</v>
      </c>
      <c r="BO436" t="s">
        <v>74</v>
      </c>
      <c r="BP436" t="s">
        <v>74</v>
      </c>
      <c r="BQ436" t="s">
        <v>74</v>
      </c>
      <c r="BR436" t="s">
        <v>74</v>
      </c>
      <c r="BS436" t="s">
        <v>4072</v>
      </c>
      <c r="BT436" t="str">
        <f>HYPERLINK("https%3A%2F%2Fwww.webofscience.com%2Fwos%2Fwoscc%2Ffull-record%2FWOS:000870783004048","View Full Record in Web of Science")</f>
        <v>View Full Record in Web of Science</v>
      </c>
    </row>
    <row r="437" spans="1:72" x14ac:dyDescent="0.25">
      <c r="A437" t="s">
        <v>72</v>
      </c>
      <c r="B437" t="s">
        <v>4073</v>
      </c>
      <c r="C437" t="s">
        <v>74</v>
      </c>
      <c r="D437" t="s">
        <v>74</v>
      </c>
      <c r="E437" t="s">
        <v>74</v>
      </c>
      <c r="F437" t="s">
        <v>4074</v>
      </c>
      <c r="G437" t="s">
        <v>74</v>
      </c>
      <c r="H437" t="s">
        <v>74</v>
      </c>
      <c r="I437" t="s">
        <v>4075</v>
      </c>
      <c r="J437" t="s">
        <v>4076</v>
      </c>
      <c r="K437" t="s">
        <v>74</v>
      </c>
      <c r="L437" t="s">
        <v>74</v>
      </c>
      <c r="M437" t="s">
        <v>74</v>
      </c>
      <c r="N437" t="s">
        <v>74</v>
      </c>
      <c r="O437" t="s">
        <v>74</v>
      </c>
      <c r="P437" t="s">
        <v>74</v>
      </c>
      <c r="Q437" t="s">
        <v>74</v>
      </c>
      <c r="R437" t="s">
        <v>74</v>
      </c>
      <c r="S437" t="s">
        <v>74</v>
      </c>
      <c r="T437" t="s">
        <v>74</v>
      </c>
      <c r="U437" t="s">
        <v>74</v>
      </c>
      <c r="V437" t="s">
        <v>4077</v>
      </c>
      <c r="W437" t="s">
        <v>74</v>
      </c>
      <c r="X437" t="s">
        <v>74</v>
      </c>
      <c r="Y437" t="s">
        <v>74</v>
      </c>
      <c r="Z437" t="s">
        <v>74</v>
      </c>
      <c r="AA437" t="s">
        <v>74</v>
      </c>
      <c r="AB437" t="s">
        <v>4078</v>
      </c>
      <c r="AC437" t="s">
        <v>74</v>
      </c>
      <c r="AD437" t="s">
        <v>74</v>
      </c>
      <c r="AE437" t="s">
        <v>74</v>
      </c>
      <c r="AF437" t="s">
        <v>74</v>
      </c>
      <c r="AG437" t="s">
        <v>74</v>
      </c>
      <c r="AH437" t="s">
        <v>74</v>
      </c>
      <c r="AI437" t="s">
        <v>74</v>
      </c>
      <c r="AJ437" t="s">
        <v>74</v>
      </c>
      <c r="AK437" t="s">
        <v>74</v>
      </c>
      <c r="AL437" t="s">
        <v>74</v>
      </c>
      <c r="AM437" t="s">
        <v>74</v>
      </c>
      <c r="AN437" t="s">
        <v>74</v>
      </c>
      <c r="AO437" t="s">
        <v>4079</v>
      </c>
      <c r="AP437" t="s">
        <v>4080</v>
      </c>
      <c r="AQ437" t="s">
        <v>74</v>
      </c>
      <c r="AR437" t="s">
        <v>74</v>
      </c>
      <c r="AS437" t="s">
        <v>74</v>
      </c>
      <c r="AT437" t="s">
        <v>175</v>
      </c>
      <c r="AU437">
        <v>2023</v>
      </c>
      <c r="AV437">
        <v>119</v>
      </c>
      <c r="AW437" t="s">
        <v>74</v>
      </c>
      <c r="AX437" t="s">
        <v>74</v>
      </c>
      <c r="AY437" t="s">
        <v>74</v>
      </c>
      <c r="AZ437" t="s">
        <v>74</v>
      </c>
      <c r="BA437" t="s">
        <v>74</v>
      </c>
      <c r="BB437" t="s">
        <v>74</v>
      </c>
      <c r="BC437" t="s">
        <v>74</v>
      </c>
      <c r="BD437">
        <v>102610</v>
      </c>
      <c r="BE437" t="s">
        <v>4081</v>
      </c>
      <c r="BF437" t="str">
        <f>HYPERLINK("http://dx.doi.org/10.1016/j.technovation.2022.102610","http://dx.doi.org/10.1016/j.technovation.2022.102610")</f>
        <v>http://dx.doi.org/10.1016/j.technovation.2022.102610</v>
      </c>
      <c r="BG437" t="s">
        <v>74</v>
      </c>
      <c r="BH437" t="s">
        <v>74</v>
      </c>
      <c r="BI437" t="s">
        <v>74</v>
      </c>
      <c r="BJ437" t="s">
        <v>74</v>
      </c>
      <c r="BK437" t="s">
        <v>74</v>
      </c>
      <c r="BL437" t="s">
        <v>74</v>
      </c>
      <c r="BM437" t="s">
        <v>74</v>
      </c>
      <c r="BN437" t="s">
        <v>74</v>
      </c>
      <c r="BO437" t="s">
        <v>74</v>
      </c>
      <c r="BP437" t="s">
        <v>74</v>
      </c>
      <c r="BQ437" t="s">
        <v>74</v>
      </c>
      <c r="BR437" t="s">
        <v>74</v>
      </c>
      <c r="BS437" t="s">
        <v>4082</v>
      </c>
      <c r="BT437" t="str">
        <f>HYPERLINK("https%3A%2F%2Fwww.webofscience.com%2Fwos%2Fwoscc%2Ffull-record%2FWOS:000899357100002","View Full Record in Web of Science")</f>
        <v>View Full Record in Web of Science</v>
      </c>
    </row>
    <row r="438" spans="1:72" x14ac:dyDescent="0.25">
      <c r="A438" t="s">
        <v>72</v>
      </c>
      <c r="B438" t="s">
        <v>4083</v>
      </c>
      <c r="C438" t="s">
        <v>74</v>
      </c>
      <c r="D438" t="s">
        <v>74</v>
      </c>
      <c r="E438" t="s">
        <v>74</v>
      </c>
      <c r="F438" t="s">
        <v>4084</v>
      </c>
      <c r="G438" t="s">
        <v>74</v>
      </c>
      <c r="H438" t="s">
        <v>74</v>
      </c>
      <c r="I438" t="s">
        <v>4085</v>
      </c>
      <c r="J438" t="s">
        <v>460</v>
      </c>
      <c r="K438" t="s">
        <v>74</v>
      </c>
      <c r="L438" t="s">
        <v>74</v>
      </c>
      <c r="M438" t="s">
        <v>74</v>
      </c>
      <c r="N438" t="s">
        <v>74</v>
      </c>
      <c r="O438" t="s">
        <v>74</v>
      </c>
      <c r="P438" t="s">
        <v>74</v>
      </c>
      <c r="Q438" t="s">
        <v>74</v>
      </c>
      <c r="R438" t="s">
        <v>74</v>
      </c>
      <c r="S438" t="s">
        <v>74</v>
      </c>
      <c r="T438" t="s">
        <v>74</v>
      </c>
      <c r="U438" t="s">
        <v>74</v>
      </c>
      <c r="V438" t="s">
        <v>4086</v>
      </c>
      <c r="W438" t="s">
        <v>74</v>
      </c>
      <c r="X438" t="s">
        <v>74</v>
      </c>
      <c r="Y438" t="s">
        <v>74</v>
      </c>
      <c r="Z438" t="s">
        <v>74</v>
      </c>
      <c r="AA438" t="s">
        <v>74</v>
      </c>
      <c r="AB438" t="s">
        <v>74</v>
      </c>
      <c r="AC438" t="s">
        <v>74</v>
      </c>
      <c r="AD438" t="s">
        <v>74</v>
      </c>
      <c r="AE438" t="s">
        <v>74</v>
      </c>
      <c r="AF438" t="s">
        <v>74</v>
      </c>
      <c r="AG438" t="s">
        <v>74</v>
      </c>
      <c r="AH438" t="s">
        <v>74</v>
      </c>
      <c r="AI438" t="s">
        <v>74</v>
      </c>
      <c r="AJ438" t="s">
        <v>74</v>
      </c>
      <c r="AK438" t="s">
        <v>74</v>
      </c>
      <c r="AL438" t="s">
        <v>74</v>
      </c>
      <c r="AM438" t="s">
        <v>74</v>
      </c>
      <c r="AN438" t="s">
        <v>74</v>
      </c>
      <c r="AO438" t="s">
        <v>74</v>
      </c>
      <c r="AP438" t="s">
        <v>464</v>
      </c>
      <c r="AQ438" t="s">
        <v>74</v>
      </c>
      <c r="AR438" t="s">
        <v>74</v>
      </c>
      <c r="AS438" t="s">
        <v>74</v>
      </c>
      <c r="AT438" t="s">
        <v>195</v>
      </c>
      <c r="AU438">
        <v>2022</v>
      </c>
      <c r="AV438">
        <v>14</v>
      </c>
      <c r="AW438">
        <v>22</v>
      </c>
      <c r="AX438" t="s">
        <v>74</v>
      </c>
      <c r="AY438" t="s">
        <v>74</v>
      </c>
      <c r="AZ438" t="s">
        <v>74</v>
      </c>
      <c r="BA438" t="s">
        <v>74</v>
      </c>
      <c r="BB438" t="s">
        <v>74</v>
      </c>
      <c r="BC438" t="s">
        <v>74</v>
      </c>
      <c r="BD438">
        <v>15408</v>
      </c>
      <c r="BE438" t="s">
        <v>4087</v>
      </c>
      <c r="BF438" t="str">
        <f>HYPERLINK("http://dx.doi.org/10.3390/su142215408","http://dx.doi.org/10.3390/su142215408")</f>
        <v>http://dx.doi.org/10.3390/su142215408</v>
      </c>
      <c r="BG438" t="s">
        <v>74</v>
      </c>
      <c r="BH438" t="s">
        <v>74</v>
      </c>
      <c r="BI438" t="s">
        <v>74</v>
      </c>
      <c r="BJ438" t="s">
        <v>74</v>
      </c>
      <c r="BK438" t="s">
        <v>74</v>
      </c>
      <c r="BL438" t="s">
        <v>74</v>
      </c>
      <c r="BM438" t="s">
        <v>74</v>
      </c>
      <c r="BN438" t="s">
        <v>74</v>
      </c>
      <c r="BO438" t="s">
        <v>74</v>
      </c>
      <c r="BP438" t="s">
        <v>74</v>
      </c>
      <c r="BQ438" t="s">
        <v>74</v>
      </c>
      <c r="BR438" t="s">
        <v>74</v>
      </c>
      <c r="BS438" t="s">
        <v>4088</v>
      </c>
      <c r="BT438" t="str">
        <f>HYPERLINK("https%3A%2F%2Fwww.webofscience.com%2Fwos%2Fwoscc%2Ffull-record%2FWOS:000887696100001","View Full Record in Web of Science")</f>
        <v>View Full Record in Web of Science</v>
      </c>
    </row>
    <row r="439" spans="1:72" x14ac:dyDescent="0.25">
      <c r="A439" t="s">
        <v>72</v>
      </c>
      <c r="B439" t="s">
        <v>4089</v>
      </c>
      <c r="C439" t="s">
        <v>74</v>
      </c>
      <c r="D439" t="s">
        <v>74</v>
      </c>
      <c r="E439" t="s">
        <v>74</v>
      </c>
      <c r="F439" t="s">
        <v>4090</v>
      </c>
      <c r="G439" t="s">
        <v>74</v>
      </c>
      <c r="H439" t="s">
        <v>74</v>
      </c>
      <c r="I439" t="s">
        <v>4091</v>
      </c>
      <c r="J439" t="s">
        <v>449</v>
      </c>
      <c r="K439" t="s">
        <v>74</v>
      </c>
      <c r="L439" t="s">
        <v>74</v>
      </c>
      <c r="M439" t="s">
        <v>74</v>
      </c>
      <c r="N439" t="s">
        <v>74</v>
      </c>
      <c r="O439" t="s">
        <v>74</v>
      </c>
      <c r="P439" t="s">
        <v>74</v>
      </c>
      <c r="Q439" t="s">
        <v>74</v>
      </c>
      <c r="R439" t="s">
        <v>74</v>
      </c>
      <c r="S439" t="s">
        <v>74</v>
      </c>
      <c r="T439" t="s">
        <v>74</v>
      </c>
      <c r="U439" t="s">
        <v>74</v>
      </c>
      <c r="V439" t="s">
        <v>4092</v>
      </c>
      <c r="W439" t="s">
        <v>74</v>
      </c>
      <c r="X439" t="s">
        <v>74</v>
      </c>
      <c r="Y439" t="s">
        <v>74</v>
      </c>
      <c r="Z439" t="s">
        <v>74</v>
      </c>
      <c r="AA439" t="s">
        <v>74</v>
      </c>
      <c r="AB439" t="s">
        <v>74</v>
      </c>
      <c r="AC439" t="s">
        <v>74</v>
      </c>
      <c r="AD439" t="s">
        <v>74</v>
      </c>
      <c r="AE439" t="s">
        <v>74</v>
      </c>
      <c r="AF439" t="s">
        <v>74</v>
      </c>
      <c r="AG439" t="s">
        <v>74</v>
      </c>
      <c r="AH439" t="s">
        <v>74</v>
      </c>
      <c r="AI439" t="s">
        <v>74</v>
      </c>
      <c r="AJ439" t="s">
        <v>74</v>
      </c>
      <c r="AK439" t="s">
        <v>74</v>
      </c>
      <c r="AL439" t="s">
        <v>74</v>
      </c>
      <c r="AM439" t="s">
        <v>74</v>
      </c>
      <c r="AN439" t="s">
        <v>74</v>
      </c>
      <c r="AO439" t="s">
        <v>74</v>
      </c>
      <c r="AP439" t="s">
        <v>453</v>
      </c>
      <c r="AQ439" t="s">
        <v>74</v>
      </c>
      <c r="AR439" t="s">
        <v>74</v>
      </c>
      <c r="AS439" t="s">
        <v>74</v>
      </c>
      <c r="AT439" t="s">
        <v>4093</v>
      </c>
      <c r="AU439">
        <v>2021</v>
      </c>
      <c r="AV439">
        <v>11</v>
      </c>
      <c r="AW439" t="s">
        <v>74</v>
      </c>
      <c r="AX439" t="s">
        <v>74</v>
      </c>
      <c r="AY439" t="s">
        <v>74</v>
      </c>
      <c r="AZ439" t="s">
        <v>74</v>
      </c>
      <c r="BA439" t="s">
        <v>74</v>
      </c>
      <c r="BB439" t="s">
        <v>74</v>
      </c>
      <c r="BC439" t="s">
        <v>74</v>
      </c>
      <c r="BD439">
        <v>40</v>
      </c>
      <c r="BE439" t="s">
        <v>4094</v>
      </c>
      <c r="BF439" t="str">
        <f>HYPERLINK("http://dx.doi.org/10.22967/HCIS.2021.11.40","http://dx.doi.org/10.22967/HCIS.2021.11.40")</f>
        <v>http://dx.doi.org/10.22967/HCIS.2021.11.40</v>
      </c>
      <c r="BG439" t="s">
        <v>74</v>
      </c>
      <c r="BH439" t="s">
        <v>74</v>
      </c>
      <c r="BI439" t="s">
        <v>74</v>
      </c>
      <c r="BJ439" t="s">
        <v>74</v>
      </c>
      <c r="BK439" t="s">
        <v>74</v>
      </c>
      <c r="BL439" t="s">
        <v>74</v>
      </c>
      <c r="BM439" t="s">
        <v>74</v>
      </c>
      <c r="BN439" t="s">
        <v>74</v>
      </c>
      <c r="BO439" t="s">
        <v>74</v>
      </c>
      <c r="BP439" t="s">
        <v>74</v>
      </c>
      <c r="BQ439" t="s">
        <v>74</v>
      </c>
      <c r="BR439" t="s">
        <v>74</v>
      </c>
      <c r="BS439" t="s">
        <v>4095</v>
      </c>
      <c r="BT439" t="str">
        <f>HYPERLINK("https%3A%2F%2Fwww.webofscience.com%2Fwos%2Fwoscc%2Ffull-record%2FWOS:000715516300001","View Full Record in Web of Science")</f>
        <v>View Full Record in Web of Science</v>
      </c>
    </row>
    <row r="440" spans="1:72" x14ac:dyDescent="0.25">
      <c r="A440" t="s">
        <v>72</v>
      </c>
      <c r="B440" t="s">
        <v>4096</v>
      </c>
      <c r="C440" t="s">
        <v>74</v>
      </c>
      <c r="D440" t="s">
        <v>74</v>
      </c>
      <c r="E440" t="s">
        <v>74</v>
      </c>
      <c r="F440" t="s">
        <v>4097</v>
      </c>
      <c r="G440" t="s">
        <v>74</v>
      </c>
      <c r="H440" t="s">
        <v>74</v>
      </c>
      <c r="I440" t="s">
        <v>4098</v>
      </c>
      <c r="J440" t="s">
        <v>4099</v>
      </c>
      <c r="K440" t="s">
        <v>74</v>
      </c>
      <c r="L440" t="s">
        <v>74</v>
      </c>
      <c r="M440" t="s">
        <v>74</v>
      </c>
      <c r="N440" t="s">
        <v>74</v>
      </c>
      <c r="O440" t="s">
        <v>74</v>
      </c>
      <c r="P440" t="s">
        <v>74</v>
      </c>
      <c r="Q440" t="s">
        <v>74</v>
      </c>
      <c r="R440" t="s">
        <v>74</v>
      </c>
      <c r="S440" t="s">
        <v>74</v>
      </c>
      <c r="T440" t="s">
        <v>74</v>
      </c>
      <c r="U440" t="s">
        <v>74</v>
      </c>
      <c r="V440" t="s">
        <v>4100</v>
      </c>
      <c r="W440" t="s">
        <v>74</v>
      </c>
      <c r="X440" t="s">
        <v>74</v>
      </c>
      <c r="Y440" t="s">
        <v>74</v>
      </c>
      <c r="Z440" t="s">
        <v>74</v>
      </c>
      <c r="AA440" t="s">
        <v>74</v>
      </c>
      <c r="AB440" t="s">
        <v>74</v>
      </c>
      <c r="AC440" t="s">
        <v>74</v>
      </c>
      <c r="AD440" t="s">
        <v>74</v>
      </c>
      <c r="AE440" t="s">
        <v>74</v>
      </c>
      <c r="AF440" t="s">
        <v>74</v>
      </c>
      <c r="AG440" t="s">
        <v>74</v>
      </c>
      <c r="AH440" t="s">
        <v>74</v>
      </c>
      <c r="AI440" t="s">
        <v>74</v>
      </c>
      <c r="AJ440" t="s">
        <v>74</v>
      </c>
      <c r="AK440" t="s">
        <v>74</v>
      </c>
      <c r="AL440" t="s">
        <v>74</v>
      </c>
      <c r="AM440" t="s">
        <v>74</v>
      </c>
      <c r="AN440" t="s">
        <v>74</v>
      </c>
      <c r="AO440" t="s">
        <v>4101</v>
      </c>
      <c r="AP440" t="s">
        <v>4102</v>
      </c>
      <c r="AQ440" t="s">
        <v>74</v>
      </c>
      <c r="AR440" t="s">
        <v>74</v>
      </c>
      <c r="AS440" t="s">
        <v>74</v>
      </c>
      <c r="AT440" t="s">
        <v>74</v>
      </c>
      <c r="AU440" t="s">
        <v>74</v>
      </c>
      <c r="AV440" t="s">
        <v>74</v>
      </c>
      <c r="AW440" t="s">
        <v>74</v>
      </c>
      <c r="AX440" t="s">
        <v>74</v>
      </c>
      <c r="AY440" t="s">
        <v>74</v>
      </c>
      <c r="AZ440" t="s">
        <v>74</v>
      </c>
      <c r="BA440" t="s">
        <v>74</v>
      </c>
      <c r="BB440" t="s">
        <v>74</v>
      </c>
      <c r="BC440" t="s">
        <v>74</v>
      </c>
      <c r="BD440" t="s">
        <v>74</v>
      </c>
      <c r="BE440" t="s">
        <v>4103</v>
      </c>
      <c r="BF440" t="str">
        <f>HYPERLINK("http://dx.doi.org/10.1021/acsnano.2c12612","http://dx.doi.org/10.1021/acsnano.2c12612")</f>
        <v>http://dx.doi.org/10.1021/acsnano.2c12612</v>
      </c>
      <c r="BG440" t="s">
        <v>74</v>
      </c>
      <c r="BH440" t="s">
        <v>611</v>
      </c>
      <c r="BI440" t="s">
        <v>74</v>
      </c>
      <c r="BJ440" t="s">
        <v>74</v>
      </c>
      <c r="BK440" t="s">
        <v>74</v>
      </c>
      <c r="BL440" t="s">
        <v>74</v>
      </c>
      <c r="BM440" t="s">
        <v>74</v>
      </c>
      <c r="BN440">
        <v>37074102</v>
      </c>
      <c r="BO440" t="s">
        <v>74</v>
      </c>
      <c r="BP440" t="s">
        <v>74</v>
      </c>
      <c r="BQ440" t="s">
        <v>74</v>
      </c>
      <c r="BR440" t="s">
        <v>74</v>
      </c>
      <c r="BS440" t="s">
        <v>4104</v>
      </c>
      <c r="BT440" t="str">
        <f>HYPERLINK("https%3A%2F%2Fwww.webofscience.com%2Fwos%2Fwoscc%2Ffull-record%2FWOS:000974587400001","View Full Record in Web of Science")</f>
        <v>View Full Record in Web of Science</v>
      </c>
    </row>
    <row r="441" spans="1:72" x14ac:dyDescent="0.25">
      <c r="A441" t="s">
        <v>84</v>
      </c>
      <c r="B441" t="s">
        <v>4105</v>
      </c>
      <c r="C441" t="s">
        <v>74</v>
      </c>
      <c r="D441" t="s">
        <v>74</v>
      </c>
      <c r="E441" t="s">
        <v>86</v>
      </c>
      <c r="F441" t="s">
        <v>4106</v>
      </c>
      <c r="G441" t="s">
        <v>74</v>
      </c>
      <c r="H441" t="s">
        <v>74</v>
      </c>
      <c r="I441" t="s">
        <v>4107</v>
      </c>
      <c r="J441" t="s">
        <v>181</v>
      </c>
      <c r="K441" t="s">
        <v>74</v>
      </c>
      <c r="L441" t="s">
        <v>74</v>
      </c>
      <c r="M441" t="s">
        <v>74</v>
      </c>
      <c r="N441" t="s">
        <v>74</v>
      </c>
      <c r="O441" t="s">
        <v>182</v>
      </c>
      <c r="P441" t="s">
        <v>183</v>
      </c>
      <c r="Q441" t="s">
        <v>184</v>
      </c>
      <c r="R441" t="s">
        <v>185</v>
      </c>
      <c r="S441" t="s">
        <v>74</v>
      </c>
      <c r="T441" t="s">
        <v>74</v>
      </c>
      <c r="U441" t="s">
        <v>74</v>
      </c>
      <c r="V441" t="s">
        <v>4108</v>
      </c>
      <c r="W441" t="s">
        <v>74</v>
      </c>
      <c r="X441" t="s">
        <v>74</v>
      </c>
      <c r="Y441" t="s">
        <v>74</v>
      </c>
      <c r="Z441" t="s">
        <v>74</v>
      </c>
      <c r="AA441" t="s">
        <v>4109</v>
      </c>
      <c r="AB441" t="s">
        <v>4110</v>
      </c>
      <c r="AC441" t="s">
        <v>74</v>
      </c>
      <c r="AD441" t="s">
        <v>74</v>
      </c>
      <c r="AE441" t="s">
        <v>74</v>
      </c>
      <c r="AF441" t="s">
        <v>74</v>
      </c>
      <c r="AG441" t="s">
        <v>74</v>
      </c>
      <c r="AH441" t="s">
        <v>74</v>
      </c>
      <c r="AI441" t="s">
        <v>74</v>
      </c>
      <c r="AJ441" t="s">
        <v>74</v>
      </c>
      <c r="AK441" t="s">
        <v>74</v>
      </c>
      <c r="AL441" t="s">
        <v>74</v>
      </c>
      <c r="AM441" t="s">
        <v>74</v>
      </c>
      <c r="AN441" t="s">
        <v>74</v>
      </c>
      <c r="AO441" t="s">
        <v>74</v>
      </c>
      <c r="AP441" t="s">
        <v>74</v>
      </c>
      <c r="AQ441" t="s">
        <v>187</v>
      </c>
      <c r="AR441" t="s">
        <v>74</v>
      </c>
      <c r="AS441" t="s">
        <v>74</v>
      </c>
      <c r="AT441" t="s">
        <v>74</v>
      </c>
      <c r="AU441">
        <v>2022</v>
      </c>
      <c r="AV441" t="s">
        <v>74</v>
      </c>
      <c r="AW441" t="s">
        <v>74</v>
      </c>
      <c r="AX441" t="s">
        <v>74</v>
      </c>
      <c r="AY441" t="s">
        <v>74</v>
      </c>
      <c r="AZ441" t="s">
        <v>74</v>
      </c>
      <c r="BA441" t="s">
        <v>74</v>
      </c>
      <c r="BB441">
        <v>352</v>
      </c>
      <c r="BC441">
        <v>356</v>
      </c>
      <c r="BD441" t="s">
        <v>74</v>
      </c>
      <c r="BE441" t="s">
        <v>4111</v>
      </c>
      <c r="BF441" t="str">
        <f>HYPERLINK("http://dx.doi.org/10.1109/MetroXRAINE54828.2022.9967636","http://dx.doi.org/10.1109/MetroXRAINE54828.2022.9967636")</f>
        <v>http://dx.doi.org/10.1109/MetroXRAINE54828.2022.9967636</v>
      </c>
      <c r="BG441" t="s">
        <v>74</v>
      </c>
      <c r="BH441" t="s">
        <v>74</v>
      </c>
      <c r="BI441" t="s">
        <v>74</v>
      </c>
      <c r="BJ441" t="s">
        <v>74</v>
      </c>
      <c r="BK441" t="s">
        <v>74</v>
      </c>
      <c r="BL441" t="s">
        <v>74</v>
      </c>
      <c r="BM441" t="s">
        <v>74</v>
      </c>
      <c r="BN441" t="s">
        <v>74</v>
      </c>
      <c r="BO441" t="s">
        <v>74</v>
      </c>
      <c r="BP441" t="s">
        <v>74</v>
      </c>
      <c r="BQ441" t="s">
        <v>74</v>
      </c>
      <c r="BR441" t="s">
        <v>74</v>
      </c>
      <c r="BS441" t="s">
        <v>4112</v>
      </c>
      <c r="BT441" t="str">
        <f>HYPERLINK("https%3A%2F%2Fwww.webofscience.com%2Fwos%2Fwoscc%2Ffull-record%2FWOS:000947347200061","View Full Record in Web of Science")</f>
        <v>View Full Record in Web of Science</v>
      </c>
    </row>
    <row r="442" spans="1:72" x14ac:dyDescent="0.25">
      <c r="A442" t="s">
        <v>72</v>
      </c>
      <c r="B442" t="s">
        <v>4113</v>
      </c>
      <c r="C442" t="s">
        <v>74</v>
      </c>
      <c r="D442" t="s">
        <v>74</v>
      </c>
      <c r="E442" t="s">
        <v>74</v>
      </c>
      <c r="F442" t="s">
        <v>4114</v>
      </c>
      <c r="G442" t="s">
        <v>74</v>
      </c>
      <c r="H442" t="s">
        <v>74</v>
      </c>
      <c r="I442" t="s">
        <v>4115</v>
      </c>
      <c r="J442" t="s">
        <v>4116</v>
      </c>
      <c r="K442" t="s">
        <v>74</v>
      </c>
      <c r="L442" t="s">
        <v>74</v>
      </c>
      <c r="M442" t="s">
        <v>74</v>
      </c>
      <c r="N442" t="s">
        <v>74</v>
      </c>
      <c r="O442" t="s">
        <v>74</v>
      </c>
      <c r="P442" t="s">
        <v>74</v>
      </c>
      <c r="Q442" t="s">
        <v>74</v>
      </c>
      <c r="R442" t="s">
        <v>74</v>
      </c>
      <c r="S442" t="s">
        <v>74</v>
      </c>
      <c r="T442" t="s">
        <v>74</v>
      </c>
      <c r="U442" t="s">
        <v>74</v>
      </c>
      <c r="V442" t="s">
        <v>4117</v>
      </c>
      <c r="W442" t="s">
        <v>74</v>
      </c>
      <c r="X442" t="s">
        <v>74</v>
      </c>
      <c r="Y442" t="s">
        <v>74</v>
      </c>
      <c r="Z442" t="s">
        <v>74</v>
      </c>
      <c r="AA442" t="s">
        <v>74</v>
      </c>
      <c r="AB442" t="s">
        <v>4118</v>
      </c>
      <c r="AC442" t="s">
        <v>74</v>
      </c>
      <c r="AD442" t="s">
        <v>74</v>
      </c>
      <c r="AE442" t="s">
        <v>74</v>
      </c>
      <c r="AF442" t="s">
        <v>74</v>
      </c>
      <c r="AG442" t="s">
        <v>74</v>
      </c>
      <c r="AH442" t="s">
        <v>74</v>
      </c>
      <c r="AI442" t="s">
        <v>74</v>
      </c>
      <c r="AJ442" t="s">
        <v>74</v>
      </c>
      <c r="AK442" t="s">
        <v>74</v>
      </c>
      <c r="AL442" t="s">
        <v>74</v>
      </c>
      <c r="AM442" t="s">
        <v>74</v>
      </c>
      <c r="AN442" t="s">
        <v>74</v>
      </c>
      <c r="AO442" t="s">
        <v>74</v>
      </c>
      <c r="AP442" t="s">
        <v>4119</v>
      </c>
      <c r="AQ442" t="s">
        <v>74</v>
      </c>
      <c r="AR442" t="s">
        <v>74</v>
      </c>
      <c r="AS442" t="s">
        <v>74</v>
      </c>
      <c r="AT442" t="s">
        <v>366</v>
      </c>
      <c r="AU442">
        <v>2023</v>
      </c>
      <c r="AV442">
        <v>8</v>
      </c>
      <c r="AW442">
        <v>1</v>
      </c>
      <c r="AX442" t="s">
        <v>74</v>
      </c>
      <c r="AY442" t="s">
        <v>74</v>
      </c>
      <c r="AZ442" t="s">
        <v>74</v>
      </c>
      <c r="BA442" t="s">
        <v>74</v>
      </c>
      <c r="BB442" t="s">
        <v>74</v>
      </c>
      <c r="BC442" t="s">
        <v>74</v>
      </c>
      <c r="BD442">
        <v>127</v>
      </c>
      <c r="BE442" t="s">
        <v>4120</v>
      </c>
      <c r="BF442" t="str">
        <f>HYPERLINK("http://dx.doi.org/10.3390/biomimetics8010127","http://dx.doi.org/10.3390/biomimetics8010127")</f>
        <v>http://dx.doi.org/10.3390/biomimetics8010127</v>
      </c>
      <c r="BG442" t="s">
        <v>74</v>
      </c>
      <c r="BH442" t="s">
        <v>74</v>
      </c>
      <c r="BI442" t="s">
        <v>74</v>
      </c>
      <c r="BJ442" t="s">
        <v>74</v>
      </c>
      <c r="BK442" t="s">
        <v>74</v>
      </c>
      <c r="BL442" t="s">
        <v>74</v>
      </c>
      <c r="BM442" t="s">
        <v>74</v>
      </c>
      <c r="BN442">
        <v>36975357</v>
      </c>
      <c r="BO442" t="s">
        <v>74</v>
      </c>
      <c r="BP442" t="s">
        <v>74</v>
      </c>
      <c r="BQ442" t="s">
        <v>74</v>
      </c>
      <c r="BR442" t="s">
        <v>74</v>
      </c>
      <c r="BS442" t="s">
        <v>4121</v>
      </c>
      <c r="BT442" t="str">
        <f>HYPERLINK("https%3A%2F%2Fwww.webofscience.com%2Fwos%2Fwoscc%2Ffull-record%2FWOS:000957365200001","View Full Record in Web of Science")</f>
        <v>View Full Record in Web of Science</v>
      </c>
    </row>
    <row r="443" spans="1:72" x14ac:dyDescent="0.25">
      <c r="A443" t="s">
        <v>72</v>
      </c>
      <c r="B443" t="s">
        <v>4122</v>
      </c>
      <c r="C443" t="s">
        <v>74</v>
      </c>
      <c r="D443" t="s">
        <v>74</v>
      </c>
      <c r="E443" t="s">
        <v>74</v>
      </c>
      <c r="F443" t="s">
        <v>4123</v>
      </c>
      <c r="G443" t="s">
        <v>74</v>
      </c>
      <c r="H443" t="s">
        <v>74</v>
      </c>
      <c r="I443" t="s">
        <v>4124</v>
      </c>
      <c r="J443" t="s">
        <v>4125</v>
      </c>
      <c r="K443" t="s">
        <v>74</v>
      </c>
      <c r="L443" t="s">
        <v>74</v>
      </c>
      <c r="M443" t="s">
        <v>74</v>
      </c>
      <c r="N443" t="s">
        <v>74</v>
      </c>
      <c r="O443" t="s">
        <v>74</v>
      </c>
      <c r="P443" t="s">
        <v>74</v>
      </c>
      <c r="Q443" t="s">
        <v>74</v>
      </c>
      <c r="R443" t="s">
        <v>74</v>
      </c>
      <c r="S443" t="s">
        <v>74</v>
      </c>
      <c r="T443" t="s">
        <v>74</v>
      </c>
      <c r="U443" t="s">
        <v>74</v>
      </c>
      <c r="V443" t="s">
        <v>4126</v>
      </c>
      <c r="W443" t="s">
        <v>74</v>
      </c>
      <c r="X443" t="s">
        <v>74</v>
      </c>
      <c r="Y443" t="s">
        <v>74</v>
      </c>
      <c r="Z443" t="s">
        <v>74</v>
      </c>
      <c r="AA443" t="s">
        <v>4127</v>
      </c>
      <c r="AB443" t="s">
        <v>4128</v>
      </c>
      <c r="AC443" t="s">
        <v>74</v>
      </c>
      <c r="AD443" t="s">
        <v>74</v>
      </c>
      <c r="AE443" t="s">
        <v>74</v>
      </c>
      <c r="AF443" t="s">
        <v>74</v>
      </c>
      <c r="AG443" t="s">
        <v>74</v>
      </c>
      <c r="AH443" t="s">
        <v>74</v>
      </c>
      <c r="AI443" t="s">
        <v>74</v>
      </c>
      <c r="AJ443" t="s">
        <v>74</v>
      </c>
      <c r="AK443" t="s">
        <v>74</v>
      </c>
      <c r="AL443" t="s">
        <v>74</v>
      </c>
      <c r="AM443" t="s">
        <v>74</v>
      </c>
      <c r="AN443" t="s">
        <v>74</v>
      </c>
      <c r="AO443" t="s">
        <v>4129</v>
      </c>
      <c r="AP443" t="s">
        <v>4130</v>
      </c>
      <c r="AQ443" t="s">
        <v>74</v>
      </c>
      <c r="AR443" t="s">
        <v>74</v>
      </c>
      <c r="AS443" t="s">
        <v>74</v>
      </c>
      <c r="AT443" t="s">
        <v>175</v>
      </c>
      <c r="AU443">
        <v>2023</v>
      </c>
      <c r="AV443">
        <v>202</v>
      </c>
      <c r="AW443" t="s">
        <v>74</v>
      </c>
      <c r="AX443" t="s">
        <v>74</v>
      </c>
      <c r="AY443" t="s">
        <v>74</v>
      </c>
      <c r="AZ443" t="s">
        <v>74</v>
      </c>
      <c r="BA443" t="s">
        <v>74</v>
      </c>
      <c r="BB443" t="s">
        <v>74</v>
      </c>
      <c r="BC443" t="s">
        <v>74</v>
      </c>
      <c r="BD443">
        <v>108745</v>
      </c>
      <c r="BE443" t="s">
        <v>4131</v>
      </c>
      <c r="BF443" t="str">
        <f>HYPERLINK("http://dx.doi.org/10.1016/j.sigpro.2022.108745","http://dx.doi.org/10.1016/j.sigpro.2022.108745")</f>
        <v>http://dx.doi.org/10.1016/j.sigpro.2022.108745</v>
      </c>
      <c r="BG443" t="s">
        <v>74</v>
      </c>
      <c r="BH443" t="s">
        <v>74</v>
      </c>
      <c r="BI443" t="s">
        <v>74</v>
      </c>
      <c r="BJ443" t="s">
        <v>74</v>
      </c>
      <c r="BK443" t="s">
        <v>74</v>
      </c>
      <c r="BL443" t="s">
        <v>74</v>
      </c>
      <c r="BM443" t="s">
        <v>74</v>
      </c>
      <c r="BN443" t="s">
        <v>74</v>
      </c>
      <c r="BO443" t="s">
        <v>74</v>
      </c>
      <c r="BP443" t="s">
        <v>74</v>
      </c>
      <c r="BQ443" t="s">
        <v>74</v>
      </c>
      <c r="BR443" t="s">
        <v>74</v>
      </c>
      <c r="BS443" t="s">
        <v>4132</v>
      </c>
      <c r="BT443" t="str">
        <f>HYPERLINK("https%3A%2F%2Fwww.webofscience.com%2Fwos%2Fwoscc%2Ffull-record%2FWOS:000866211500005","View Full Record in Web of Science")</f>
        <v>View Full Record in Web of Science</v>
      </c>
    </row>
    <row r="444" spans="1:72" x14ac:dyDescent="0.25">
      <c r="A444" t="s">
        <v>72</v>
      </c>
      <c r="B444" t="s">
        <v>4133</v>
      </c>
      <c r="C444" t="s">
        <v>74</v>
      </c>
      <c r="D444" t="s">
        <v>74</v>
      </c>
      <c r="E444" t="s">
        <v>74</v>
      </c>
      <c r="F444" t="s">
        <v>4134</v>
      </c>
      <c r="G444" t="s">
        <v>74</v>
      </c>
      <c r="H444" t="s">
        <v>74</v>
      </c>
      <c r="I444" t="s">
        <v>4135</v>
      </c>
      <c r="J444" t="s">
        <v>2227</v>
      </c>
      <c r="K444" t="s">
        <v>74</v>
      </c>
      <c r="L444" t="s">
        <v>74</v>
      </c>
      <c r="M444" t="s">
        <v>74</v>
      </c>
      <c r="N444" t="s">
        <v>74</v>
      </c>
      <c r="O444" t="s">
        <v>74</v>
      </c>
      <c r="P444" t="s">
        <v>74</v>
      </c>
      <c r="Q444" t="s">
        <v>74</v>
      </c>
      <c r="R444" t="s">
        <v>74</v>
      </c>
      <c r="S444" t="s">
        <v>74</v>
      </c>
      <c r="T444" t="s">
        <v>74</v>
      </c>
      <c r="U444" t="s">
        <v>74</v>
      </c>
      <c r="V444" t="s">
        <v>4136</v>
      </c>
      <c r="W444" t="s">
        <v>74</v>
      </c>
      <c r="X444" t="s">
        <v>74</v>
      </c>
      <c r="Y444" t="s">
        <v>74</v>
      </c>
      <c r="Z444" t="s">
        <v>74</v>
      </c>
      <c r="AA444" t="s">
        <v>4137</v>
      </c>
      <c r="AB444" t="s">
        <v>74</v>
      </c>
      <c r="AC444" t="s">
        <v>74</v>
      </c>
      <c r="AD444" t="s">
        <v>74</v>
      </c>
      <c r="AE444" t="s">
        <v>74</v>
      </c>
      <c r="AF444" t="s">
        <v>74</v>
      </c>
      <c r="AG444" t="s">
        <v>74</v>
      </c>
      <c r="AH444" t="s">
        <v>74</v>
      </c>
      <c r="AI444" t="s">
        <v>74</v>
      </c>
      <c r="AJ444" t="s">
        <v>74</v>
      </c>
      <c r="AK444" t="s">
        <v>74</v>
      </c>
      <c r="AL444" t="s">
        <v>74</v>
      </c>
      <c r="AM444" t="s">
        <v>74</v>
      </c>
      <c r="AN444" t="s">
        <v>74</v>
      </c>
      <c r="AO444" t="s">
        <v>2231</v>
      </c>
      <c r="AP444" t="s">
        <v>74</v>
      </c>
      <c r="AQ444" t="s">
        <v>74</v>
      </c>
      <c r="AR444" t="s">
        <v>74</v>
      </c>
      <c r="AS444" t="s">
        <v>74</v>
      </c>
      <c r="AT444" t="s">
        <v>4138</v>
      </c>
      <c r="AU444">
        <v>2022</v>
      </c>
      <c r="AV444">
        <v>30</v>
      </c>
      <c r="AW444">
        <v>5</v>
      </c>
      <c r="AX444" t="s">
        <v>74</v>
      </c>
      <c r="AY444" t="s">
        <v>74</v>
      </c>
      <c r="AZ444" t="s">
        <v>74</v>
      </c>
      <c r="BA444" t="s">
        <v>74</v>
      </c>
      <c r="BB444">
        <v>6584</v>
      </c>
      <c r="BC444">
        <v>6602</v>
      </c>
      <c r="BD444" t="s">
        <v>74</v>
      </c>
      <c r="BE444" t="s">
        <v>4139</v>
      </c>
      <c r="BF444" t="str">
        <f>HYPERLINK("http://dx.doi.org/10.1364/OE.452747","http://dx.doi.org/10.1364/OE.452747")</f>
        <v>http://dx.doi.org/10.1364/OE.452747</v>
      </c>
      <c r="BG444" t="s">
        <v>74</v>
      </c>
      <c r="BH444" t="s">
        <v>74</v>
      </c>
      <c r="BI444" t="s">
        <v>74</v>
      </c>
      <c r="BJ444" t="s">
        <v>74</v>
      </c>
      <c r="BK444" t="s">
        <v>74</v>
      </c>
      <c r="BL444" t="s">
        <v>74</v>
      </c>
      <c r="BM444" t="s">
        <v>74</v>
      </c>
      <c r="BN444">
        <v>35299440</v>
      </c>
      <c r="BO444" t="s">
        <v>74</v>
      </c>
      <c r="BP444" t="s">
        <v>74</v>
      </c>
      <c r="BQ444" t="s">
        <v>74</v>
      </c>
      <c r="BR444" t="s">
        <v>74</v>
      </c>
      <c r="BS444" t="s">
        <v>4140</v>
      </c>
      <c r="BT444" t="str">
        <f>HYPERLINK("https%3A%2F%2Fwww.webofscience.com%2Fwos%2Fwoscc%2Ffull-record%2FWOS:000763174800011","View Full Record in Web of Science")</f>
        <v>View Full Record in Web of Science</v>
      </c>
    </row>
    <row r="445" spans="1:72" x14ac:dyDescent="0.25">
      <c r="A445" t="s">
        <v>72</v>
      </c>
      <c r="B445" t="s">
        <v>4141</v>
      </c>
      <c r="C445" t="s">
        <v>74</v>
      </c>
      <c r="D445" t="s">
        <v>74</v>
      </c>
      <c r="E445" t="s">
        <v>74</v>
      </c>
      <c r="F445" t="s">
        <v>4142</v>
      </c>
      <c r="G445" t="s">
        <v>74</v>
      </c>
      <c r="H445" t="s">
        <v>74</v>
      </c>
      <c r="I445" t="s">
        <v>4143</v>
      </c>
      <c r="J445" t="s">
        <v>1118</v>
      </c>
      <c r="K445" t="s">
        <v>74</v>
      </c>
      <c r="L445" t="s">
        <v>74</v>
      </c>
      <c r="M445" t="s">
        <v>74</v>
      </c>
      <c r="N445" t="s">
        <v>74</v>
      </c>
      <c r="O445" t="s">
        <v>74</v>
      </c>
      <c r="P445" t="s">
        <v>74</v>
      </c>
      <c r="Q445" t="s">
        <v>74</v>
      </c>
      <c r="R445" t="s">
        <v>74</v>
      </c>
      <c r="S445" t="s">
        <v>74</v>
      </c>
      <c r="T445" t="s">
        <v>74</v>
      </c>
      <c r="U445" t="s">
        <v>74</v>
      </c>
      <c r="V445" t="s">
        <v>4144</v>
      </c>
      <c r="W445" t="s">
        <v>74</v>
      </c>
      <c r="X445" t="s">
        <v>74</v>
      </c>
      <c r="Y445" t="s">
        <v>74</v>
      </c>
      <c r="Z445" t="s">
        <v>74</v>
      </c>
      <c r="AA445" t="s">
        <v>74</v>
      </c>
      <c r="AB445" t="s">
        <v>74</v>
      </c>
      <c r="AC445" t="s">
        <v>74</v>
      </c>
      <c r="AD445" t="s">
        <v>74</v>
      </c>
      <c r="AE445" t="s">
        <v>74</v>
      </c>
      <c r="AF445" t="s">
        <v>74</v>
      </c>
      <c r="AG445" t="s">
        <v>74</v>
      </c>
      <c r="AH445" t="s">
        <v>74</v>
      </c>
      <c r="AI445" t="s">
        <v>74</v>
      </c>
      <c r="AJ445" t="s">
        <v>74</v>
      </c>
      <c r="AK445" t="s">
        <v>74</v>
      </c>
      <c r="AL445" t="s">
        <v>74</v>
      </c>
      <c r="AM445" t="s">
        <v>74</v>
      </c>
      <c r="AN445" t="s">
        <v>74</v>
      </c>
      <c r="AO445" t="s">
        <v>1121</v>
      </c>
      <c r="AP445" t="s">
        <v>1122</v>
      </c>
      <c r="AQ445" t="s">
        <v>74</v>
      </c>
      <c r="AR445" t="s">
        <v>74</v>
      </c>
      <c r="AS445" t="s">
        <v>74</v>
      </c>
      <c r="AT445" t="s">
        <v>74</v>
      </c>
      <c r="AU445">
        <v>2023</v>
      </c>
      <c r="AV445">
        <v>44</v>
      </c>
      <c r="AW445">
        <v>1</v>
      </c>
      <c r="AX445" t="s">
        <v>74</v>
      </c>
      <c r="AY445" t="s">
        <v>74</v>
      </c>
      <c r="AZ445" t="s">
        <v>74</v>
      </c>
      <c r="BA445" t="s">
        <v>74</v>
      </c>
      <c r="BB445">
        <v>113</v>
      </c>
      <c r="BC445">
        <v>124</v>
      </c>
      <c r="BD445" t="s">
        <v>74</v>
      </c>
      <c r="BE445" t="s">
        <v>4145</v>
      </c>
      <c r="BF445" t="str">
        <f>HYPERLINK("http://dx.doi.org/10.3233/JIFS-220830","http://dx.doi.org/10.3233/JIFS-220830")</f>
        <v>http://dx.doi.org/10.3233/JIFS-220830</v>
      </c>
      <c r="BG445" t="s">
        <v>74</v>
      </c>
      <c r="BH445" t="s">
        <v>74</v>
      </c>
      <c r="BI445" t="s">
        <v>74</v>
      </c>
      <c r="BJ445" t="s">
        <v>74</v>
      </c>
      <c r="BK445" t="s">
        <v>74</v>
      </c>
      <c r="BL445" t="s">
        <v>74</v>
      </c>
      <c r="BM445" t="s">
        <v>74</v>
      </c>
      <c r="BN445" t="s">
        <v>74</v>
      </c>
      <c r="BO445" t="s">
        <v>74</v>
      </c>
      <c r="BP445" t="s">
        <v>74</v>
      </c>
      <c r="BQ445" t="s">
        <v>74</v>
      </c>
      <c r="BR445" t="s">
        <v>74</v>
      </c>
      <c r="BS445" t="s">
        <v>4146</v>
      </c>
      <c r="BT445" t="str">
        <f>HYPERLINK("https%3A%2F%2Fwww.webofscience.com%2Fwos%2Fwoscc%2Ffull-record%2FWOS:000925796500008","View Full Record in Web of Science")</f>
        <v>View Full Record in Web of Science</v>
      </c>
    </row>
    <row r="446" spans="1:72" x14ac:dyDescent="0.25">
      <c r="A446" t="s">
        <v>72</v>
      </c>
      <c r="B446" t="s">
        <v>4147</v>
      </c>
      <c r="C446" t="s">
        <v>74</v>
      </c>
      <c r="D446" t="s">
        <v>74</v>
      </c>
      <c r="E446" t="s">
        <v>74</v>
      </c>
      <c r="F446" t="s">
        <v>4148</v>
      </c>
      <c r="G446" t="s">
        <v>74</v>
      </c>
      <c r="H446" t="s">
        <v>74</v>
      </c>
      <c r="I446" t="s">
        <v>4149</v>
      </c>
      <c r="J446" t="s">
        <v>421</v>
      </c>
      <c r="K446" t="s">
        <v>74</v>
      </c>
      <c r="L446" t="s">
        <v>74</v>
      </c>
      <c r="M446" t="s">
        <v>74</v>
      </c>
      <c r="N446" t="s">
        <v>74</v>
      </c>
      <c r="O446" t="s">
        <v>74</v>
      </c>
      <c r="P446" t="s">
        <v>74</v>
      </c>
      <c r="Q446" t="s">
        <v>74</v>
      </c>
      <c r="R446" t="s">
        <v>74</v>
      </c>
      <c r="S446" t="s">
        <v>74</v>
      </c>
      <c r="T446" t="s">
        <v>74</v>
      </c>
      <c r="U446" t="s">
        <v>74</v>
      </c>
      <c r="V446" t="s">
        <v>4150</v>
      </c>
      <c r="W446" t="s">
        <v>74</v>
      </c>
      <c r="X446" t="s">
        <v>74</v>
      </c>
      <c r="Y446" t="s">
        <v>74</v>
      </c>
      <c r="Z446" t="s">
        <v>74</v>
      </c>
      <c r="AA446" t="s">
        <v>4151</v>
      </c>
      <c r="AB446" t="s">
        <v>4152</v>
      </c>
      <c r="AC446" t="s">
        <v>74</v>
      </c>
      <c r="AD446" t="s">
        <v>74</v>
      </c>
      <c r="AE446" t="s">
        <v>74</v>
      </c>
      <c r="AF446" t="s">
        <v>74</v>
      </c>
      <c r="AG446" t="s">
        <v>74</v>
      </c>
      <c r="AH446" t="s">
        <v>74</v>
      </c>
      <c r="AI446" t="s">
        <v>74</v>
      </c>
      <c r="AJ446" t="s">
        <v>74</v>
      </c>
      <c r="AK446" t="s">
        <v>74</v>
      </c>
      <c r="AL446" t="s">
        <v>74</v>
      </c>
      <c r="AM446" t="s">
        <v>74</v>
      </c>
      <c r="AN446" t="s">
        <v>74</v>
      </c>
      <c r="AO446" t="s">
        <v>423</v>
      </c>
      <c r="AP446" t="s">
        <v>424</v>
      </c>
      <c r="AQ446" t="s">
        <v>74</v>
      </c>
      <c r="AR446" t="s">
        <v>74</v>
      </c>
      <c r="AS446" t="s">
        <v>74</v>
      </c>
      <c r="AT446" t="s">
        <v>74</v>
      </c>
      <c r="AU446" t="s">
        <v>74</v>
      </c>
      <c r="AV446" t="s">
        <v>74</v>
      </c>
      <c r="AW446" t="s">
        <v>74</v>
      </c>
      <c r="AX446" t="s">
        <v>74</v>
      </c>
      <c r="AY446" t="s">
        <v>74</v>
      </c>
      <c r="AZ446" t="s">
        <v>74</v>
      </c>
      <c r="BA446" t="s">
        <v>74</v>
      </c>
      <c r="BB446" t="s">
        <v>74</v>
      </c>
      <c r="BC446" t="s">
        <v>74</v>
      </c>
      <c r="BD446" t="s">
        <v>74</v>
      </c>
      <c r="BE446" t="s">
        <v>4153</v>
      </c>
      <c r="BF446" t="str">
        <f>HYPERLINK("http://dx.doi.org/10.1109/TSMC.2022.3228914","http://dx.doi.org/10.1109/TSMC.2022.3228914")</f>
        <v>http://dx.doi.org/10.1109/TSMC.2022.3228914</v>
      </c>
      <c r="BG446" t="s">
        <v>74</v>
      </c>
      <c r="BH446" t="s">
        <v>426</v>
      </c>
      <c r="BI446" t="s">
        <v>74</v>
      </c>
      <c r="BJ446" t="s">
        <v>74</v>
      </c>
      <c r="BK446" t="s">
        <v>74</v>
      </c>
      <c r="BL446" t="s">
        <v>74</v>
      </c>
      <c r="BM446" t="s">
        <v>74</v>
      </c>
      <c r="BN446" t="s">
        <v>74</v>
      </c>
      <c r="BO446" t="s">
        <v>74</v>
      </c>
      <c r="BP446" t="s">
        <v>74</v>
      </c>
      <c r="BQ446" t="s">
        <v>74</v>
      </c>
      <c r="BR446" t="s">
        <v>74</v>
      </c>
      <c r="BS446" t="s">
        <v>4154</v>
      </c>
      <c r="BT446" t="str">
        <f>HYPERLINK("https%3A%2F%2Fwww.webofscience.com%2Fwos%2Fwoscc%2Ffull-record%2FWOS:000903474200001","View Full Record in Web of Science")</f>
        <v>View Full Record in Web of Science</v>
      </c>
    </row>
    <row r="447" spans="1:72" x14ac:dyDescent="0.25">
      <c r="A447" t="s">
        <v>72</v>
      </c>
      <c r="B447" t="s">
        <v>4155</v>
      </c>
      <c r="C447" t="s">
        <v>74</v>
      </c>
      <c r="D447" t="s">
        <v>74</v>
      </c>
      <c r="E447" t="s">
        <v>74</v>
      </c>
      <c r="F447" t="s">
        <v>4156</v>
      </c>
      <c r="G447" t="s">
        <v>74</v>
      </c>
      <c r="H447" t="s">
        <v>74</v>
      </c>
      <c r="I447" t="s">
        <v>4157</v>
      </c>
      <c r="J447" t="s">
        <v>4158</v>
      </c>
      <c r="K447" t="s">
        <v>74</v>
      </c>
      <c r="L447" t="s">
        <v>74</v>
      </c>
      <c r="M447" t="s">
        <v>74</v>
      </c>
      <c r="N447" t="s">
        <v>74</v>
      </c>
      <c r="O447" t="s">
        <v>74</v>
      </c>
      <c r="P447" t="s">
        <v>74</v>
      </c>
      <c r="Q447" t="s">
        <v>74</v>
      </c>
      <c r="R447" t="s">
        <v>74</v>
      </c>
      <c r="S447" t="s">
        <v>74</v>
      </c>
      <c r="T447" t="s">
        <v>74</v>
      </c>
      <c r="U447" t="s">
        <v>74</v>
      </c>
      <c r="V447" t="s">
        <v>4159</v>
      </c>
      <c r="W447" t="s">
        <v>74</v>
      </c>
      <c r="X447" t="s">
        <v>74</v>
      </c>
      <c r="Y447" t="s">
        <v>74</v>
      </c>
      <c r="Z447" t="s">
        <v>74</v>
      </c>
      <c r="AA447" t="s">
        <v>1091</v>
      </c>
      <c r="AB447" t="s">
        <v>4160</v>
      </c>
      <c r="AC447" t="s">
        <v>74</v>
      </c>
      <c r="AD447" t="s">
        <v>74</v>
      </c>
      <c r="AE447" t="s">
        <v>74</v>
      </c>
      <c r="AF447" t="s">
        <v>74</v>
      </c>
      <c r="AG447" t="s">
        <v>74</v>
      </c>
      <c r="AH447" t="s">
        <v>74</v>
      </c>
      <c r="AI447" t="s">
        <v>74</v>
      </c>
      <c r="AJ447" t="s">
        <v>74</v>
      </c>
      <c r="AK447" t="s">
        <v>74</v>
      </c>
      <c r="AL447" t="s">
        <v>74</v>
      </c>
      <c r="AM447" t="s">
        <v>74</v>
      </c>
      <c r="AN447" t="s">
        <v>74</v>
      </c>
      <c r="AO447" t="s">
        <v>4161</v>
      </c>
      <c r="AP447" t="s">
        <v>4162</v>
      </c>
      <c r="AQ447" t="s">
        <v>74</v>
      </c>
      <c r="AR447" t="s">
        <v>74</v>
      </c>
      <c r="AS447" t="s">
        <v>74</v>
      </c>
      <c r="AT447" t="s">
        <v>74</v>
      </c>
      <c r="AU447">
        <v>2022</v>
      </c>
      <c r="AV447">
        <v>71</v>
      </c>
      <c r="AW447" t="s">
        <v>74</v>
      </c>
      <c r="AX447" t="s">
        <v>74</v>
      </c>
      <c r="AY447" t="s">
        <v>74</v>
      </c>
      <c r="AZ447" t="s">
        <v>74</v>
      </c>
      <c r="BA447" t="s">
        <v>74</v>
      </c>
      <c r="BB447" t="s">
        <v>74</v>
      </c>
      <c r="BC447" t="s">
        <v>74</v>
      </c>
      <c r="BD447">
        <v>5025115</v>
      </c>
      <c r="BE447" t="s">
        <v>4163</v>
      </c>
      <c r="BF447" t="str">
        <f>HYPERLINK("http://dx.doi.org/10.1109/tim.2022.3218303","http://dx.doi.org/10.1109/tim.2022.3218303")</f>
        <v>http://dx.doi.org/10.1109/tim.2022.3218303</v>
      </c>
      <c r="BG447" t="s">
        <v>74</v>
      </c>
      <c r="BH447" t="s">
        <v>74</v>
      </c>
      <c r="BI447" t="s">
        <v>74</v>
      </c>
      <c r="BJ447" t="s">
        <v>74</v>
      </c>
      <c r="BK447" t="s">
        <v>74</v>
      </c>
      <c r="BL447" t="s">
        <v>74</v>
      </c>
      <c r="BM447" t="s">
        <v>74</v>
      </c>
      <c r="BN447" t="s">
        <v>74</v>
      </c>
      <c r="BO447" t="s">
        <v>74</v>
      </c>
      <c r="BP447" t="s">
        <v>74</v>
      </c>
      <c r="BQ447" t="s">
        <v>74</v>
      </c>
      <c r="BR447" t="s">
        <v>74</v>
      </c>
      <c r="BS447" t="s">
        <v>4164</v>
      </c>
      <c r="BT447" t="str">
        <f>HYPERLINK("https%3A%2F%2Fwww.webofscience.com%2Fwos%2Fwoscc%2Ffull-record%2FWOS:000886627400025","View Full Record in Web of Science")</f>
        <v>View Full Record in Web of Science</v>
      </c>
    </row>
    <row r="448" spans="1:72" x14ac:dyDescent="0.25">
      <c r="A448" t="s">
        <v>72</v>
      </c>
      <c r="B448" t="s">
        <v>4165</v>
      </c>
      <c r="C448" t="s">
        <v>74</v>
      </c>
      <c r="D448" t="s">
        <v>74</v>
      </c>
      <c r="E448" t="s">
        <v>74</v>
      </c>
      <c r="F448" t="s">
        <v>4166</v>
      </c>
      <c r="G448" t="s">
        <v>74</v>
      </c>
      <c r="H448" t="s">
        <v>74</v>
      </c>
      <c r="I448" t="s">
        <v>4167</v>
      </c>
      <c r="J448" t="s">
        <v>4168</v>
      </c>
      <c r="K448" t="s">
        <v>74</v>
      </c>
      <c r="L448" t="s">
        <v>74</v>
      </c>
      <c r="M448" t="s">
        <v>74</v>
      </c>
      <c r="N448" t="s">
        <v>74</v>
      </c>
      <c r="O448" t="s">
        <v>74</v>
      </c>
      <c r="P448" t="s">
        <v>74</v>
      </c>
      <c r="Q448" t="s">
        <v>74</v>
      </c>
      <c r="R448" t="s">
        <v>74</v>
      </c>
      <c r="S448" t="s">
        <v>74</v>
      </c>
      <c r="T448" t="s">
        <v>74</v>
      </c>
      <c r="U448" t="s">
        <v>74</v>
      </c>
      <c r="V448" t="s">
        <v>4169</v>
      </c>
      <c r="W448" t="s">
        <v>74</v>
      </c>
      <c r="X448" t="s">
        <v>74</v>
      </c>
      <c r="Y448" t="s">
        <v>74</v>
      </c>
      <c r="Z448" t="s">
        <v>74</v>
      </c>
      <c r="AA448" t="s">
        <v>4170</v>
      </c>
      <c r="AB448" t="s">
        <v>4171</v>
      </c>
      <c r="AC448" t="s">
        <v>74</v>
      </c>
      <c r="AD448" t="s">
        <v>74</v>
      </c>
      <c r="AE448" t="s">
        <v>74</v>
      </c>
      <c r="AF448" t="s">
        <v>74</v>
      </c>
      <c r="AG448" t="s">
        <v>74</v>
      </c>
      <c r="AH448" t="s">
        <v>74</v>
      </c>
      <c r="AI448" t="s">
        <v>74</v>
      </c>
      <c r="AJ448" t="s">
        <v>74</v>
      </c>
      <c r="AK448" t="s">
        <v>74</v>
      </c>
      <c r="AL448" t="s">
        <v>74</v>
      </c>
      <c r="AM448" t="s">
        <v>74</v>
      </c>
      <c r="AN448" t="s">
        <v>74</v>
      </c>
      <c r="AO448" t="s">
        <v>4172</v>
      </c>
      <c r="AP448" t="s">
        <v>4173</v>
      </c>
      <c r="AQ448" t="s">
        <v>74</v>
      </c>
      <c r="AR448" t="s">
        <v>74</v>
      </c>
      <c r="AS448" t="s">
        <v>74</v>
      </c>
      <c r="AT448" t="s">
        <v>74</v>
      </c>
      <c r="AU448" t="s">
        <v>74</v>
      </c>
      <c r="AV448" t="s">
        <v>74</v>
      </c>
      <c r="AW448" t="s">
        <v>74</v>
      </c>
      <c r="AX448" t="s">
        <v>74</v>
      </c>
      <c r="AY448" t="s">
        <v>74</v>
      </c>
      <c r="AZ448" t="s">
        <v>74</v>
      </c>
      <c r="BA448" t="s">
        <v>74</v>
      </c>
      <c r="BB448" t="s">
        <v>74</v>
      </c>
      <c r="BC448" t="s">
        <v>74</v>
      </c>
      <c r="BD448" t="s">
        <v>74</v>
      </c>
      <c r="BE448" t="s">
        <v>4174</v>
      </c>
      <c r="BF448" t="str">
        <f>HYPERLINK("http://dx.doi.org/10.1080/0144929X.2022.2066570","http://dx.doi.org/10.1080/0144929X.2022.2066570")</f>
        <v>http://dx.doi.org/10.1080/0144929X.2022.2066570</v>
      </c>
      <c r="BG448" t="s">
        <v>74</v>
      </c>
      <c r="BH448" t="s">
        <v>4175</v>
      </c>
      <c r="BI448" t="s">
        <v>74</v>
      </c>
      <c r="BJ448" t="s">
        <v>74</v>
      </c>
      <c r="BK448" t="s">
        <v>74</v>
      </c>
      <c r="BL448" t="s">
        <v>74</v>
      </c>
      <c r="BM448" t="s">
        <v>74</v>
      </c>
      <c r="BN448" t="s">
        <v>74</v>
      </c>
      <c r="BO448" t="s">
        <v>74</v>
      </c>
      <c r="BP448" t="s">
        <v>74</v>
      </c>
      <c r="BQ448" t="s">
        <v>74</v>
      </c>
      <c r="BR448" t="s">
        <v>74</v>
      </c>
      <c r="BS448" t="s">
        <v>4176</v>
      </c>
      <c r="BT448" t="str">
        <f>HYPERLINK("https%3A%2F%2Fwww.webofscience.com%2Fwos%2Fwoscc%2Ffull-record%2FWOS:000784772200001","View Full Record in Web of Science")</f>
        <v>View Full Record in Web of Science</v>
      </c>
    </row>
    <row r="449" spans="1:72" x14ac:dyDescent="0.25">
      <c r="A449" t="s">
        <v>72</v>
      </c>
      <c r="B449" t="s">
        <v>4177</v>
      </c>
      <c r="C449" t="s">
        <v>74</v>
      </c>
      <c r="D449" t="s">
        <v>74</v>
      </c>
      <c r="E449" t="s">
        <v>74</v>
      </c>
      <c r="F449" t="s">
        <v>4178</v>
      </c>
      <c r="G449" t="s">
        <v>74</v>
      </c>
      <c r="H449" t="s">
        <v>74</v>
      </c>
      <c r="I449" t="s">
        <v>4179</v>
      </c>
      <c r="J449" t="s">
        <v>4180</v>
      </c>
      <c r="K449" t="s">
        <v>74</v>
      </c>
      <c r="L449" t="s">
        <v>74</v>
      </c>
      <c r="M449" t="s">
        <v>74</v>
      </c>
      <c r="N449" t="s">
        <v>74</v>
      </c>
      <c r="O449" t="s">
        <v>74</v>
      </c>
      <c r="P449" t="s">
        <v>74</v>
      </c>
      <c r="Q449" t="s">
        <v>74</v>
      </c>
      <c r="R449" t="s">
        <v>74</v>
      </c>
      <c r="S449" t="s">
        <v>74</v>
      </c>
      <c r="T449" t="s">
        <v>74</v>
      </c>
      <c r="U449" t="s">
        <v>74</v>
      </c>
      <c r="V449" t="s">
        <v>4181</v>
      </c>
      <c r="W449" t="s">
        <v>74</v>
      </c>
      <c r="X449" t="s">
        <v>74</v>
      </c>
      <c r="Y449" t="s">
        <v>74</v>
      </c>
      <c r="Z449" t="s">
        <v>74</v>
      </c>
      <c r="AA449" t="s">
        <v>4182</v>
      </c>
      <c r="AB449" t="s">
        <v>4183</v>
      </c>
      <c r="AC449" t="s">
        <v>74</v>
      </c>
      <c r="AD449" t="s">
        <v>74</v>
      </c>
      <c r="AE449" t="s">
        <v>74</v>
      </c>
      <c r="AF449" t="s">
        <v>74</v>
      </c>
      <c r="AG449" t="s">
        <v>74</v>
      </c>
      <c r="AH449" t="s">
        <v>74</v>
      </c>
      <c r="AI449" t="s">
        <v>74</v>
      </c>
      <c r="AJ449" t="s">
        <v>74</v>
      </c>
      <c r="AK449" t="s">
        <v>74</v>
      </c>
      <c r="AL449" t="s">
        <v>74</v>
      </c>
      <c r="AM449" t="s">
        <v>74</v>
      </c>
      <c r="AN449" t="s">
        <v>74</v>
      </c>
      <c r="AO449" t="s">
        <v>74</v>
      </c>
      <c r="AP449" t="s">
        <v>4184</v>
      </c>
      <c r="AQ449" t="s">
        <v>74</v>
      </c>
      <c r="AR449" t="s">
        <v>74</v>
      </c>
      <c r="AS449" t="s">
        <v>74</v>
      </c>
      <c r="AT449" t="s">
        <v>435</v>
      </c>
      <c r="AU449">
        <v>2023</v>
      </c>
      <c r="AV449">
        <v>10</v>
      </c>
      <c r="AW449">
        <v>6</v>
      </c>
      <c r="AX449" t="s">
        <v>74</v>
      </c>
      <c r="AY449" t="s">
        <v>74</v>
      </c>
      <c r="AZ449" t="s">
        <v>74</v>
      </c>
      <c r="BA449" t="s">
        <v>74</v>
      </c>
      <c r="BB449" t="s">
        <v>74</v>
      </c>
      <c r="BC449" t="s">
        <v>74</v>
      </c>
      <c r="BD449" t="s">
        <v>74</v>
      </c>
      <c r="BE449" t="s">
        <v>4185</v>
      </c>
      <c r="BF449" t="str">
        <f>HYPERLINK("http://dx.doi.org/10.1002/advs.202205960","http://dx.doi.org/10.1002/advs.202205960")</f>
        <v>http://dx.doi.org/10.1002/advs.202205960</v>
      </c>
      <c r="BG449" t="s">
        <v>74</v>
      </c>
      <c r="BH449" t="s">
        <v>151</v>
      </c>
      <c r="BI449" t="s">
        <v>74</v>
      </c>
      <c r="BJ449" t="s">
        <v>74</v>
      </c>
      <c r="BK449" t="s">
        <v>74</v>
      </c>
      <c r="BL449" t="s">
        <v>74</v>
      </c>
      <c r="BM449" t="s">
        <v>74</v>
      </c>
      <c r="BN449">
        <v>36683215</v>
      </c>
      <c r="BO449" t="s">
        <v>74</v>
      </c>
      <c r="BP449" t="s">
        <v>74</v>
      </c>
      <c r="BQ449" t="s">
        <v>74</v>
      </c>
      <c r="BR449" t="s">
        <v>74</v>
      </c>
      <c r="BS449" t="s">
        <v>4186</v>
      </c>
      <c r="BT449" t="str">
        <f>HYPERLINK("https%3A%2F%2Fwww.webofscience.com%2Fwos%2Fwoscc%2Ffull-record%2FWOS:000919377700001","View Full Record in Web of Science")</f>
        <v>View Full Record in Web of Science</v>
      </c>
    </row>
    <row r="450" spans="1:72" x14ac:dyDescent="0.25">
      <c r="A450" t="s">
        <v>72</v>
      </c>
      <c r="B450" t="s">
        <v>4187</v>
      </c>
      <c r="C450" t="s">
        <v>74</v>
      </c>
      <c r="D450" t="s">
        <v>74</v>
      </c>
      <c r="E450" t="s">
        <v>74</v>
      </c>
      <c r="F450" t="s">
        <v>4188</v>
      </c>
      <c r="G450" t="s">
        <v>74</v>
      </c>
      <c r="H450" t="s">
        <v>74</v>
      </c>
      <c r="I450" t="s">
        <v>4189</v>
      </c>
      <c r="J450" t="s">
        <v>4190</v>
      </c>
      <c r="K450" t="s">
        <v>74</v>
      </c>
      <c r="L450" t="s">
        <v>74</v>
      </c>
      <c r="M450" t="s">
        <v>74</v>
      </c>
      <c r="N450" t="s">
        <v>74</v>
      </c>
      <c r="O450" t="s">
        <v>74</v>
      </c>
      <c r="P450" t="s">
        <v>74</v>
      </c>
      <c r="Q450" t="s">
        <v>74</v>
      </c>
      <c r="R450" t="s">
        <v>74</v>
      </c>
      <c r="S450" t="s">
        <v>74</v>
      </c>
      <c r="T450" t="s">
        <v>74</v>
      </c>
      <c r="U450" t="s">
        <v>74</v>
      </c>
      <c r="V450" t="s">
        <v>4191</v>
      </c>
      <c r="W450" t="s">
        <v>74</v>
      </c>
      <c r="X450" t="s">
        <v>74</v>
      </c>
      <c r="Y450" t="s">
        <v>74</v>
      </c>
      <c r="Z450" t="s">
        <v>74</v>
      </c>
      <c r="AA450" t="s">
        <v>4192</v>
      </c>
      <c r="AB450" t="s">
        <v>4193</v>
      </c>
      <c r="AC450" t="s">
        <v>74</v>
      </c>
      <c r="AD450" t="s">
        <v>74</v>
      </c>
      <c r="AE450" t="s">
        <v>74</v>
      </c>
      <c r="AF450" t="s">
        <v>74</v>
      </c>
      <c r="AG450" t="s">
        <v>74</v>
      </c>
      <c r="AH450" t="s">
        <v>74</v>
      </c>
      <c r="AI450" t="s">
        <v>74</v>
      </c>
      <c r="AJ450" t="s">
        <v>74</v>
      </c>
      <c r="AK450" t="s">
        <v>74</v>
      </c>
      <c r="AL450" t="s">
        <v>74</v>
      </c>
      <c r="AM450" t="s">
        <v>74</v>
      </c>
      <c r="AN450" t="s">
        <v>74</v>
      </c>
      <c r="AO450" t="s">
        <v>4194</v>
      </c>
      <c r="AP450" t="s">
        <v>74</v>
      </c>
      <c r="AQ450" t="s">
        <v>74</v>
      </c>
      <c r="AR450" t="s">
        <v>74</v>
      </c>
      <c r="AS450" t="s">
        <v>74</v>
      </c>
      <c r="AT450" t="s">
        <v>465</v>
      </c>
      <c r="AU450">
        <v>2022</v>
      </c>
      <c r="AV450">
        <v>19</v>
      </c>
      <c r="AW450">
        <v>4</v>
      </c>
      <c r="AX450" t="s">
        <v>74</v>
      </c>
      <c r="AY450" t="s">
        <v>74</v>
      </c>
      <c r="AZ450" t="s">
        <v>74</v>
      </c>
      <c r="BA450" t="s">
        <v>74</v>
      </c>
      <c r="BB450">
        <v>5366</v>
      </c>
      <c r="BC450">
        <v>5382</v>
      </c>
      <c r="BD450" t="s">
        <v>74</v>
      </c>
      <c r="BE450" t="s">
        <v>4195</v>
      </c>
      <c r="BF450" t="str">
        <f>HYPERLINK("http://dx.doi.org/10.1109/TNSM.2022.3192762","http://dx.doi.org/10.1109/TNSM.2022.3192762")</f>
        <v>http://dx.doi.org/10.1109/TNSM.2022.3192762</v>
      </c>
      <c r="BG450" t="s">
        <v>74</v>
      </c>
      <c r="BH450" t="s">
        <v>74</v>
      </c>
      <c r="BI450" t="s">
        <v>74</v>
      </c>
      <c r="BJ450" t="s">
        <v>74</v>
      </c>
      <c r="BK450" t="s">
        <v>74</v>
      </c>
      <c r="BL450" t="s">
        <v>74</v>
      </c>
      <c r="BM450" t="s">
        <v>74</v>
      </c>
      <c r="BN450" t="s">
        <v>74</v>
      </c>
      <c r="BO450" t="s">
        <v>74</v>
      </c>
      <c r="BP450" t="s">
        <v>74</v>
      </c>
      <c r="BQ450" t="s">
        <v>74</v>
      </c>
      <c r="BR450" t="s">
        <v>74</v>
      </c>
      <c r="BS450" t="s">
        <v>4196</v>
      </c>
      <c r="BT450" t="str">
        <f>HYPERLINK("https%3A%2F%2Fwww.webofscience.com%2Fwos%2Fwoscc%2Ffull-record%2FWOS:000966053300001","View Full Record in Web of Science")</f>
        <v>View Full Record in Web of Science</v>
      </c>
    </row>
    <row r="451" spans="1:72" x14ac:dyDescent="0.25">
      <c r="A451" t="s">
        <v>84</v>
      </c>
      <c r="B451" t="s">
        <v>4197</v>
      </c>
      <c r="C451" t="s">
        <v>74</v>
      </c>
      <c r="D451" t="s">
        <v>74</v>
      </c>
      <c r="E451" t="s">
        <v>233</v>
      </c>
      <c r="F451" t="s">
        <v>4198</v>
      </c>
      <c r="G451" t="s">
        <v>74</v>
      </c>
      <c r="H451" t="s">
        <v>74</v>
      </c>
      <c r="I451" t="s">
        <v>4199</v>
      </c>
      <c r="J451" t="s">
        <v>798</v>
      </c>
      <c r="K451" t="s">
        <v>74</v>
      </c>
      <c r="L451" t="s">
        <v>74</v>
      </c>
      <c r="M451" t="s">
        <v>74</v>
      </c>
      <c r="N451" t="s">
        <v>74</v>
      </c>
      <c r="O451" t="s">
        <v>799</v>
      </c>
      <c r="P451" t="s">
        <v>800</v>
      </c>
      <c r="Q451" t="s">
        <v>108</v>
      </c>
      <c r="R451" t="s">
        <v>801</v>
      </c>
      <c r="S451" t="s">
        <v>74</v>
      </c>
      <c r="T451" t="s">
        <v>74</v>
      </c>
      <c r="U451" t="s">
        <v>74</v>
      </c>
      <c r="V451" t="s">
        <v>4200</v>
      </c>
      <c r="W451" t="s">
        <v>74</v>
      </c>
      <c r="X451" t="s">
        <v>74</v>
      </c>
      <c r="Y451" t="s">
        <v>74</v>
      </c>
      <c r="Z451" t="s">
        <v>74</v>
      </c>
      <c r="AA451" t="s">
        <v>74</v>
      </c>
      <c r="AB451" t="s">
        <v>4201</v>
      </c>
      <c r="AC451" t="s">
        <v>74</v>
      </c>
      <c r="AD451" t="s">
        <v>74</v>
      </c>
      <c r="AE451" t="s">
        <v>74</v>
      </c>
      <c r="AF451" t="s">
        <v>74</v>
      </c>
      <c r="AG451" t="s">
        <v>74</v>
      </c>
      <c r="AH451" t="s">
        <v>74</v>
      </c>
      <c r="AI451" t="s">
        <v>74</v>
      </c>
      <c r="AJ451" t="s">
        <v>74</v>
      </c>
      <c r="AK451" t="s">
        <v>74</v>
      </c>
      <c r="AL451" t="s">
        <v>74</v>
      </c>
      <c r="AM451" t="s">
        <v>74</v>
      </c>
      <c r="AN451" t="s">
        <v>74</v>
      </c>
      <c r="AO451" t="s">
        <v>74</v>
      </c>
      <c r="AP451" t="s">
        <v>74</v>
      </c>
      <c r="AQ451" t="s">
        <v>804</v>
      </c>
      <c r="AR451" t="s">
        <v>74</v>
      </c>
      <c r="AS451" t="s">
        <v>74</v>
      </c>
      <c r="AT451" t="s">
        <v>74</v>
      </c>
      <c r="AU451">
        <v>2022</v>
      </c>
      <c r="AV451" t="s">
        <v>74</v>
      </c>
      <c r="AW451" t="s">
        <v>74</v>
      </c>
      <c r="AX451" t="s">
        <v>74</v>
      </c>
      <c r="AY451" t="s">
        <v>74</v>
      </c>
      <c r="AZ451" t="s">
        <v>74</v>
      </c>
      <c r="BA451" t="s">
        <v>74</v>
      </c>
      <c r="BB451">
        <v>7</v>
      </c>
      <c r="BC451">
        <v>14</v>
      </c>
      <c r="BD451" t="s">
        <v>74</v>
      </c>
      <c r="BE451" t="s">
        <v>4202</v>
      </c>
      <c r="BF451" t="str">
        <f>HYPERLINK("http://dx.doi.org/10.1109/VRW55335.2022.00009","http://dx.doi.org/10.1109/VRW55335.2022.00009")</f>
        <v>http://dx.doi.org/10.1109/VRW55335.2022.00009</v>
      </c>
      <c r="BG451" t="s">
        <v>74</v>
      </c>
      <c r="BH451" t="s">
        <v>74</v>
      </c>
      <c r="BI451" t="s">
        <v>74</v>
      </c>
      <c r="BJ451" t="s">
        <v>74</v>
      </c>
      <c r="BK451" t="s">
        <v>74</v>
      </c>
      <c r="BL451" t="s">
        <v>74</v>
      </c>
      <c r="BM451" t="s">
        <v>74</v>
      </c>
      <c r="BN451" t="s">
        <v>74</v>
      </c>
      <c r="BO451" t="s">
        <v>74</v>
      </c>
      <c r="BP451" t="s">
        <v>74</v>
      </c>
      <c r="BQ451" t="s">
        <v>74</v>
      </c>
      <c r="BR451" t="s">
        <v>74</v>
      </c>
      <c r="BS451" t="s">
        <v>4203</v>
      </c>
      <c r="BT451" t="str">
        <f>HYPERLINK("https%3A%2F%2Fwww.webofscience.com%2Fwos%2Fwoscc%2Ffull-record%2FWOS:000808111800002","View Full Record in Web of Science")</f>
        <v>View Full Record in Web of Science</v>
      </c>
    </row>
    <row r="452" spans="1:72" x14ac:dyDescent="0.25">
      <c r="A452" t="s">
        <v>84</v>
      </c>
      <c r="B452" t="s">
        <v>4204</v>
      </c>
      <c r="C452" t="s">
        <v>74</v>
      </c>
      <c r="D452" t="s">
        <v>848</v>
      </c>
      <c r="E452" t="s">
        <v>74</v>
      </c>
      <c r="F452" t="s">
        <v>4205</v>
      </c>
      <c r="G452" t="s">
        <v>74</v>
      </c>
      <c r="H452" t="s">
        <v>74</v>
      </c>
      <c r="I452" t="s">
        <v>4206</v>
      </c>
      <c r="J452" t="s">
        <v>851</v>
      </c>
      <c r="K452" t="s">
        <v>158</v>
      </c>
      <c r="L452" t="s">
        <v>74</v>
      </c>
      <c r="M452" t="s">
        <v>74</v>
      </c>
      <c r="N452" t="s">
        <v>74</v>
      </c>
      <c r="O452" t="s">
        <v>852</v>
      </c>
      <c r="P452" t="s">
        <v>288</v>
      </c>
      <c r="Q452" t="s">
        <v>108</v>
      </c>
      <c r="R452" t="s">
        <v>74</v>
      </c>
      <c r="S452" t="s">
        <v>74</v>
      </c>
      <c r="T452" t="s">
        <v>74</v>
      </c>
      <c r="U452" t="s">
        <v>74</v>
      </c>
      <c r="V452" t="s">
        <v>4207</v>
      </c>
      <c r="W452" t="s">
        <v>74</v>
      </c>
      <c r="X452" t="s">
        <v>74</v>
      </c>
      <c r="Y452" t="s">
        <v>74</v>
      </c>
      <c r="Z452" t="s">
        <v>74</v>
      </c>
      <c r="AA452" t="s">
        <v>74</v>
      </c>
      <c r="AB452" t="s">
        <v>4208</v>
      </c>
      <c r="AC452" t="s">
        <v>74</v>
      </c>
      <c r="AD452" t="s">
        <v>74</v>
      </c>
      <c r="AE452" t="s">
        <v>74</v>
      </c>
      <c r="AF452" t="s">
        <v>74</v>
      </c>
      <c r="AG452" t="s">
        <v>74</v>
      </c>
      <c r="AH452" t="s">
        <v>74</v>
      </c>
      <c r="AI452" t="s">
        <v>74</v>
      </c>
      <c r="AJ452" t="s">
        <v>74</v>
      </c>
      <c r="AK452" t="s">
        <v>74</v>
      </c>
      <c r="AL452" t="s">
        <v>74</v>
      </c>
      <c r="AM452" t="s">
        <v>74</v>
      </c>
      <c r="AN452" t="s">
        <v>74</v>
      </c>
      <c r="AO452" t="s">
        <v>164</v>
      </c>
      <c r="AP452" t="s">
        <v>165</v>
      </c>
      <c r="AQ452" t="s">
        <v>854</v>
      </c>
      <c r="AR452" t="s">
        <v>74</v>
      </c>
      <c r="AS452" t="s">
        <v>74</v>
      </c>
      <c r="AT452" t="s">
        <v>74</v>
      </c>
      <c r="AU452">
        <v>2022</v>
      </c>
      <c r="AV452">
        <v>13317</v>
      </c>
      <c r="AW452" t="s">
        <v>74</v>
      </c>
      <c r="AX452" t="s">
        <v>74</v>
      </c>
      <c r="AY452" t="s">
        <v>74</v>
      </c>
      <c r="AZ452" t="s">
        <v>74</v>
      </c>
      <c r="BA452" t="s">
        <v>74</v>
      </c>
      <c r="BB452">
        <v>74</v>
      </c>
      <c r="BC452">
        <v>93</v>
      </c>
      <c r="BD452" t="s">
        <v>74</v>
      </c>
      <c r="BE452" t="s">
        <v>4209</v>
      </c>
      <c r="BF452" t="str">
        <f>HYPERLINK("http://dx.doi.org/10.1007/978-3-031-05939-1_6","http://dx.doi.org/10.1007/978-3-031-05939-1_6")</f>
        <v>http://dx.doi.org/10.1007/978-3-031-05939-1_6</v>
      </c>
      <c r="BG452" t="s">
        <v>74</v>
      </c>
      <c r="BH452" t="s">
        <v>74</v>
      </c>
      <c r="BI452" t="s">
        <v>74</v>
      </c>
      <c r="BJ452" t="s">
        <v>74</v>
      </c>
      <c r="BK452" t="s">
        <v>74</v>
      </c>
      <c r="BL452" t="s">
        <v>74</v>
      </c>
      <c r="BM452" t="s">
        <v>74</v>
      </c>
      <c r="BN452" t="s">
        <v>74</v>
      </c>
      <c r="BO452" t="s">
        <v>74</v>
      </c>
      <c r="BP452" t="s">
        <v>74</v>
      </c>
      <c r="BQ452" t="s">
        <v>74</v>
      </c>
      <c r="BR452" t="s">
        <v>74</v>
      </c>
      <c r="BS452" t="s">
        <v>4210</v>
      </c>
      <c r="BT452" t="str">
        <f>HYPERLINK("https%3A%2F%2Fwww.webofscience.com%2Fwos%2Fwoscc%2Ffull-record%2FWOS:000870217300006","View Full Record in Web of Science")</f>
        <v>View Full Record in Web of Science</v>
      </c>
    </row>
    <row r="453" spans="1:72" x14ac:dyDescent="0.25">
      <c r="A453" t="s">
        <v>72</v>
      </c>
      <c r="B453" t="s">
        <v>4211</v>
      </c>
      <c r="C453" t="s">
        <v>74</v>
      </c>
      <c r="D453" t="s">
        <v>74</v>
      </c>
      <c r="E453" t="s">
        <v>74</v>
      </c>
      <c r="F453" t="s">
        <v>4212</v>
      </c>
      <c r="G453" t="s">
        <v>74</v>
      </c>
      <c r="H453" t="s">
        <v>74</v>
      </c>
      <c r="I453" t="s">
        <v>4213</v>
      </c>
      <c r="J453" t="s">
        <v>2590</v>
      </c>
      <c r="K453" t="s">
        <v>74</v>
      </c>
      <c r="L453" t="s">
        <v>74</v>
      </c>
      <c r="M453" t="s">
        <v>74</v>
      </c>
      <c r="N453" t="s">
        <v>74</v>
      </c>
      <c r="O453" t="s">
        <v>74</v>
      </c>
      <c r="P453" t="s">
        <v>74</v>
      </c>
      <c r="Q453" t="s">
        <v>74</v>
      </c>
      <c r="R453" t="s">
        <v>74</v>
      </c>
      <c r="S453" t="s">
        <v>74</v>
      </c>
      <c r="T453" t="s">
        <v>74</v>
      </c>
      <c r="U453" t="s">
        <v>74</v>
      </c>
      <c r="V453" t="s">
        <v>4214</v>
      </c>
      <c r="W453" t="s">
        <v>74</v>
      </c>
      <c r="X453" t="s">
        <v>74</v>
      </c>
      <c r="Y453" t="s">
        <v>74</v>
      </c>
      <c r="Z453" t="s">
        <v>74</v>
      </c>
      <c r="AA453" t="s">
        <v>4215</v>
      </c>
      <c r="AB453" t="s">
        <v>4216</v>
      </c>
      <c r="AC453" t="s">
        <v>74</v>
      </c>
      <c r="AD453" t="s">
        <v>74</v>
      </c>
      <c r="AE453" t="s">
        <v>74</v>
      </c>
      <c r="AF453" t="s">
        <v>74</v>
      </c>
      <c r="AG453" t="s">
        <v>74</v>
      </c>
      <c r="AH453" t="s">
        <v>74</v>
      </c>
      <c r="AI453" t="s">
        <v>74</v>
      </c>
      <c r="AJ453" t="s">
        <v>74</v>
      </c>
      <c r="AK453" t="s">
        <v>74</v>
      </c>
      <c r="AL453" t="s">
        <v>74</v>
      </c>
      <c r="AM453" t="s">
        <v>74</v>
      </c>
      <c r="AN453" t="s">
        <v>74</v>
      </c>
      <c r="AO453" t="s">
        <v>74</v>
      </c>
      <c r="AP453" t="s">
        <v>2594</v>
      </c>
      <c r="AQ453" t="s">
        <v>74</v>
      </c>
      <c r="AR453" t="s">
        <v>74</v>
      </c>
      <c r="AS453" t="s">
        <v>74</v>
      </c>
      <c r="AT453" t="s">
        <v>4217</v>
      </c>
      <c r="AU453">
        <v>2022</v>
      </c>
      <c r="AV453">
        <v>13</v>
      </c>
      <c r="AW453">
        <v>1</v>
      </c>
      <c r="AX453" t="s">
        <v>74</v>
      </c>
      <c r="AY453" t="s">
        <v>74</v>
      </c>
      <c r="AZ453" t="s">
        <v>74</v>
      </c>
      <c r="BA453" t="s">
        <v>74</v>
      </c>
      <c r="BB453" t="s">
        <v>74</v>
      </c>
      <c r="BC453" t="s">
        <v>74</v>
      </c>
      <c r="BD453">
        <v>5975</v>
      </c>
      <c r="BE453" t="s">
        <v>4218</v>
      </c>
      <c r="BF453" t="str">
        <f>HYPERLINK("http://dx.doi.org/10.1038/s41467-022-33716-9","http://dx.doi.org/10.1038/s41467-022-33716-9")</f>
        <v>http://dx.doi.org/10.1038/s41467-022-33716-9</v>
      </c>
      <c r="BG453" t="s">
        <v>74</v>
      </c>
      <c r="BH453" t="s">
        <v>74</v>
      </c>
      <c r="BI453" t="s">
        <v>74</v>
      </c>
      <c r="BJ453" t="s">
        <v>74</v>
      </c>
      <c r="BK453" t="s">
        <v>74</v>
      </c>
      <c r="BL453" t="s">
        <v>74</v>
      </c>
      <c r="BM453" t="s">
        <v>74</v>
      </c>
      <c r="BN453">
        <v>36216925</v>
      </c>
      <c r="BO453" t="s">
        <v>74</v>
      </c>
      <c r="BP453" t="s">
        <v>74</v>
      </c>
      <c r="BQ453" t="s">
        <v>74</v>
      </c>
      <c r="BR453" t="s">
        <v>74</v>
      </c>
      <c r="BS453" t="s">
        <v>4219</v>
      </c>
      <c r="BT453" t="str">
        <f>HYPERLINK("https%3A%2F%2Fwww.webofscience.com%2Fwos%2Fwoscc%2Ffull-record%2FWOS:000867457000037","View Full Record in Web of Science")</f>
        <v>View Full Record in Web of Science</v>
      </c>
    </row>
    <row r="454" spans="1:72" x14ac:dyDescent="0.25">
      <c r="A454" t="s">
        <v>72</v>
      </c>
      <c r="B454" t="s">
        <v>4220</v>
      </c>
      <c r="C454" t="s">
        <v>74</v>
      </c>
      <c r="D454" t="s">
        <v>74</v>
      </c>
      <c r="E454" t="s">
        <v>74</v>
      </c>
      <c r="F454" t="s">
        <v>4221</v>
      </c>
      <c r="G454" t="s">
        <v>74</v>
      </c>
      <c r="H454" t="s">
        <v>74</v>
      </c>
      <c r="I454" t="s">
        <v>4222</v>
      </c>
      <c r="J454" t="s">
        <v>4223</v>
      </c>
      <c r="K454" t="s">
        <v>74</v>
      </c>
      <c r="L454" t="s">
        <v>74</v>
      </c>
      <c r="M454" t="s">
        <v>74</v>
      </c>
      <c r="N454" t="s">
        <v>74</v>
      </c>
      <c r="O454" t="s">
        <v>74</v>
      </c>
      <c r="P454" t="s">
        <v>74</v>
      </c>
      <c r="Q454" t="s">
        <v>74</v>
      </c>
      <c r="R454" t="s">
        <v>74</v>
      </c>
      <c r="S454" t="s">
        <v>74</v>
      </c>
      <c r="T454" t="s">
        <v>74</v>
      </c>
      <c r="U454" t="s">
        <v>74</v>
      </c>
      <c r="V454" t="s">
        <v>4224</v>
      </c>
      <c r="W454" t="s">
        <v>74</v>
      </c>
      <c r="X454" t="s">
        <v>74</v>
      </c>
      <c r="Y454" t="s">
        <v>74</v>
      </c>
      <c r="Z454" t="s">
        <v>74</v>
      </c>
      <c r="AA454" t="s">
        <v>4225</v>
      </c>
      <c r="AB454" t="s">
        <v>4226</v>
      </c>
      <c r="AC454" t="s">
        <v>74</v>
      </c>
      <c r="AD454" t="s">
        <v>74</v>
      </c>
      <c r="AE454" t="s">
        <v>74</v>
      </c>
      <c r="AF454" t="s">
        <v>74</v>
      </c>
      <c r="AG454" t="s">
        <v>74</v>
      </c>
      <c r="AH454" t="s">
        <v>74</v>
      </c>
      <c r="AI454" t="s">
        <v>74</v>
      </c>
      <c r="AJ454" t="s">
        <v>74</v>
      </c>
      <c r="AK454" t="s">
        <v>74</v>
      </c>
      <c r="AL454" t="s">
        <v>74</v>
      </c>
      <c r="AM454" t="s">
        <v>74</v>
      </c>
      <c r="AN454" t="s">
        <v>74</v>
      </c>
      <c r="AO454" t="s">
        <v>4227</v>
      </c>
      <c r="AP454" t="s">
        <v>74</v>
      </c>
      <c r="AQ454" t="s">
        <v>74</v>
      </c>
      <c r="AR454" t="s">
        <v>74</v>
      </c>
      <c r="AS454" t="s">
        <v>74</v>
      </c>
      <c r="AT454" t="s">
        <v>74</v>
      </c>
      <c r="AU454" t="s">
        <v>74</v>
      </c>
      <c r="AV454" t="s">
        <v>74</v>
      </c>
      <c r="AW454" t="s">
        <v>74</v>
      </c>
      <c r="AX454" t="s">
        <v>74</v>
      </c>
      <c r="AY454" t="s">
        <v>74</v>
      </c>
      <c r="AZ454" t="s">
        <v>74</v>
      </c>
      <c r="BA454" t="s">
        <v>74</v>
      </c>
      <c r="BB454" t="s">
        <v>74</v>
      </c>
      <c r="BC454" t="s">
        <v>74</v>
      </c>
      <c r="BD454" t="s">
        <v>74</v>
      </c>
      <c r="BE454" t="s">
        <v>4228</v>
      </c>
      <c r="BF454" t="str">
        <f>HYPERLINK("http://dx.doi.org/10.1002/admt.202201070","http://dx.doi.org/10.1002/admt.202201070")</f>
        <v>http://dx.doi.org/10.1002/admt.202201070</v>
      </c>
      <c r="BG454" t="s">
        <v>74</v>
      </c>
      <c r="BH454" t="s">
        <v>426</v>
      </c>
      <c r="BI454" t="s">
        <v>74</v>
      </c>
      <c r="BJ454" t="s">
        <v>74</v>
      </c>
      <c r="BK454" t="s">
        <v>74</v>
      </c>
      <c r="BL454" t="s">
        <v>74</v>
      </c>
      <c r="BM454" t="s">
        <v>74</v>
      </c>
      <c r="BN454" t="s">
        <v>74</v>
      </c>
      <c r="BO454" t="s">
        <v>74</v>
      </c>
      <c r="BP454" t="s">
        <v>74</v>
      </c>
      <c r="BQ454" t="s">
        <v>74</v>
      </c>
      <c r="BR454" t="s">
        <v>74</v>
      </c>
      <c r="BS454" t="s">
        <v>4229</v>
      </c>
      <c r="BT454" t="str">
        <f>HYPERLINK("https%3A%2F%2Fwww.webofscience.com%2Fwos%2Fwoscc%2Ffull-record%2FWOS:000895939200001","View Full Record in Web of Science")</f>
        <v>View Full Record in Web of Science</v>
      </c>
    </row>
    <row r="455" spans="1:72" x14ac:dyDescent="0.25">
      <c r="A455" t="s">
        <v>72</v>
      </c>
      <c r="B455" t="s">
        <v>4230</v>
      </c>
      <c r="C455" t="s">
        <v>74</v>
      </c>
      <c r="D455" t="s">
        <v>74</v>
      </c>
      <c r="E455" t="s">
        <v>74</v>
      </c>
      <c r="F455" t="s">
        <v>4231</v>
      </c>
      <c r="G455" t="s">
        <v>74</v>
      </c>
      <c r="H455" t="s">
        <v>74</v>
      </c>
      <c r="I455" t="s">
        <v>4232</v>
      </c>
      <c r="J455" t="s">
        <v>4233</v>
      </c>
      <c r="K455" t="s">
        <v>74</v>
      </c>
      <c r="L455" t="s">
        <v>74</v>
      </c>
      <c r="M455" t="s">
        <v>74</v>
      </c>
      <c r="N455" t="s">
        <v>74</v>
      </c>
      <c r="O455" t="s">
        <v>74</v>
      </c>
      <c r="P455" t="s">
        <v>74</v>
      </c>
      <c r="Q455" t="s">
        <v>74</v>
      </c>
      <c r="R455" t="s">
        <v>74</v>
      </c>
      <c r="S455" t="s">
        <v>74</v>
      </c>
      <c r="T455" t="s">
        <v>74</v>
      </c>
      <c r="U455" t="s">
        <v>74</v>
      </c>
      <c r="V455" t="s">
        <v>4234</v>
      </c>
      <c r="W455" t="s">
        <v>74</v>
      </c>
      <c r="X455" t="s">
        <v>74</v>
      </c>
      <c r="Y455" t="s">
        <v>74</v>
      </c>
      <c r="Z455" t="s">
        <v>74</v>
      </c>
      <c r="AA455" t="s">
        <v>4235</v>
      </c>
      <c r="AB455" t="s">
        <v>4236</v>
      </c>
      <c r="AC455" t="s">
        <v>74</v>
      </c>
      <c r="AD455" t="s">
        <v>74</v>
      </c>
      <c r="AE455" t="s">
        <v>74</v>
      </c>
      <c r="AF455" t="s">
        <v>74</v>
      </c>
      <c r="AG455" t="s">
        <v>74</v>
      </c>
      <c r="AH455" t="s">
        <v>74</v>
      </c>
      <c r="AI455" t="s">
        <v>74</v>
      </c>
      <c r="AJ455" t="s">
        <v>74</v>
      </c>
      <c r="AK455" t="s">
        <v>74</v>
      </c>
      <c r="AL455" t="s">
        <v>74</v>
      </c>
      <c r="AM455" t="s">
        <v>74</v>
      </c>
      <c r="AN455" t="s">
        <v>74</v>
      </c>
      <c r="AO455" t="s">
        <v>4237</v>
      </c>
      <c r="AP455" t="s">
        <v>4238</v>
      </c>
      <c r="AQ455" t="s">
        <v>74</v>
      </c>
      <c r="AR455" t="s">
        <v>74</v>
      </c>
      <c r="AS455" t="s">
        <v>74</v>
      </c>
      <c r="AT455" t="s">
        <v>4239</v>
      </c>
      <c r="AU455">
        <v>2022</v>
      </c>
      <c r="AV455">
        <v>14</v>
      </c>
      <c r="AW455">
        <v>41</v>
      </c>
      <c r="AX455" t="s">
        <v>74</v>
      </c>
      <c r="AY455" t="s">
        <v>74</v>
      </c>
      <c r="AZ455" t="s">
        <v>74</v>
      </c>
      <c r="BA455" t="s">
        <v>74</v>
      </c>
      <c r="BB455">
        <v>47300</v>
      </c>
      <c r="BC455">
        <v>47309</v>
      </c>
      <c r="BD455" t="s">
        <v>74</v>
      </c>
      <c r="BE455" t="s">
        <v>4240</v>
      </c>
      <c r="BF455" t="str">
        <f>HYPERLINK("http://dx.doi.org/10.1021/acsami.2c14907","http://dx.doi.org/10.1021/acsami.2c14907")</f>
        <v>http://dx.doi.org/10.1021/acsami.2c14907</v>
      </c>
      <c r="BG455" t="s">
        <v>74</v>
      </c>
      <c r="BH455" t="s">
        <v>1065</v>
      </c>
      <c r="BI455" t="s">
        <v>74</v>
      </c>
      <c r="BJ455" t="s">
        <v>74</v>
      </c>
      <c r="BK455" t="s">
        <v>74</v>
      </c>
      <c r="BL455" t="s">
        <v>74</v>
      </c>
      <c r="BM455" t="s">
        <v>74</v>
      </c>
      <c r="BN455">
        <v>36202397</v>
      </c>
      <c r="BO455" t="s">
        <v>74</v>
      </c>
      <c r="BP455" t="s">
        <v>74</v>
      </c>
      <c r="BQ455" t="s">
        <v>74</v>
      </c>
      <c r="BR455" t="s">
        <v>74</v>
      </c>
      <c r="BS455" t="s">
        <v>4241</v>
      </c>
      <c r="BT455" t="str">
        <f>HYPERLINK("https%3A%2F%2Fwww.webofscience.com%2Fwos%2Fwoscc%2Ffull-record%2FWOS:000875692700001","View Full Record in Web of Science")</f>
        <v>View Full Record in Web of Science</v>
      </c>
    </row>
    <row r="456" spans="1:72" x14ac:dyDescent="0.25">
      <c r="A456" t="s">
        <v>72</v>
      </c>
      <c r="B456" t="s">
        <v>4242</v>
      </c>
      <c r="C456" t="s">
        <v>74</v>
      </c>
      <c r="D456" t="s">
        <v>74</v>
      </c>
      <c r="E456" t="s">
        <v>74</v>
      </c>
      <c r="F456" t="s">
        <v>4243</v>
      </c>
      <c r="G456" t="s">
        <v>74</v>
      </c>
      <c r="H456" t="s">
        <v>74</v>
      </c>
      <c r="I456" t="s">
        <v>4244</v>
      </c>
      <c r="J456" t="s">
        <v>709</v>
      </c>
      <c r="K456" t="s">
        <v>74</v>
      </c>
      <c r="L456" t="s">
        <v>74</v>
      </c>
      <c r="M456" t="s">
        <v>74</v>
      </c>
      <c r="N456" t="s">
        <v>74</v>
      </c>
      <c r="O456" t="s">
        <v>74</v>
      </c>
      <c r="P456" t="s">
        <v>74</v>
      </c>
      <c r="Q456" t="s">
        <v>74</v>
      </c>
      <c r="R456" t="s">
        <v>74</v>
      </c>
      <c r="S456" t="s">
        <v>74</v>
      </c>
      <c r="T456" t="s">
        <v>74</v>
      </c>
      <c r="U456" t="s">
        <v>74</v>
      </c>
      <c r="V456" t="s">
        <v>4245</v>
      </c>
      <c r="W456" t="s">
        <v>74</v>
      </c>
      <c r="X456" t="s">
        <v>74</v>
      </c>
      <c r="Y456" t="s">
        <v>74</v>
      </c>
      <c r="Z456" t="s">
        <v>74</v>
      </c>
      <c r="AA456" t="s">
        <v>1091</v>
      </c>
      <c r="AB456" t="s">
        <v>4246</v>
      </c>
      <c r="AC456" t="s">
        <v>74</v>
      </c>
      <c r="AD456" t="s">
        <v>74</v>
      </c>
      <c r="AE456" t="s">
        <v>74</v>
      </c>
      <c r="AF456" t="s">
        <v>74</v>
      </c>
      <c r="AG456" t="s">
        <v>74</v>
      </c>
      <c r="AH456" t="s">
        <v>74</v>
      </c>
      <c r="AI456" t="s">
        <v>74</v>
      </c>
      <c r="AJ456" t="s">
        <v>74</v>
      </c>
      <c r="AK456" t="s">
        <v>74</v>
      </c>
      <c r="AL456" t="s">
        <v>74</v>
      </c>
      <c r="AM456" t="s">
        <v>74</v>
      </c>
      <c r="AN456" t="s">
        <v>74</v>
      </c>
      <c r="AO456" t="s">
        <v>74</v>
      </c>
      <c r="AP456" t="s">
        <v>711</v>
      </c>
      <c r="AQ456" t="s">
        <v>74</v>
      </c>
      <c r="AR456" t="s">
        <v>74</v>
      </c>
      <c r="AS456" t="s">
        <v>74</v>
      </c>
      <c r="AT456" t="s">
        <v>195</v>
      </c>
      <c r="AU456">
        <v>2022</v>
      </c>
      <c r="AV456">
        <v>12</v>
      </c>
      <c r="AW456">
        <v>22</v>
      </c>
      <c r="AX456" t="s">
        <v>74</v>
      </c>
      <c r="AY456" t="s">
        <v>74</v>
      </c>
      <c r="AZ456" t="s">
        <v>74</v>
      </c>
      <c r="BA456" t="s">
        <v>74</v>
      </c>
      <c r="BB456" t="s">
        <v>74</v>
      </c>
      <c r="BC456" t="s">
        <v>74</v>
      </c>
      <c r="BD456">
        <v>11555</v>
      </c>
      <c r="BE456" t="s">
        <v>4247</v>
      </c>
      <c r="BF456" t="str">
        <f>HYPERLINK("http://dx.doi.org/10.3390/app122211555","http://dx.doi.org/10.3390/app122211555")</f>
        <v>http://dx.doi.org/10.3390/app122211555</v>
      </c>
      <c r="BG456" t="s">
        <v>74</v>
      </c>
      <c r="BH456" t="s">
        <v>74</v>
      </c>
      <c r="BI456" t="s">
        <v>74</v>
      </c>
      <c r="BJ456" t="s">
        <v>74</v>
      </c>
      <c r="BK456" t="s">
        <v>74</v>
      </c>
      <c r="BL456" t="s">
        <v>74</v>
      </c>
      <c r="BM456" t="s">
        <v>74</v>
      </c>
      <c r="BN456" t="s">
        <v>74</v>
      </c>
      <c r="BO456" t="s">
        <v>74</v>
      </c>
      <c r="BP456" t="s">
        <v>74</v>
      </c>
      <c r="BQ456" t="s">
        <v>74</v>
      </c>
      <c r="BR456" t="s">
        <v>74</v>
      </c>
      <c r="BS456" t="s">
        <v>4248</v>
      </c>
      <c r="BT456" t="str">
        <f>HYPERLINK("https%3A%2F%2Fwww.webofscience.com%2Fwos%2Fwoscc%2Ffull-record%2FWOS:000887139100001","View Full Record in Web of Science")</f>
        <v>View Full Record in Web of Science</v>
      </c>
    </row>
    <row r="457" spans="1:72" x14ac:dyDescent="0.25">
      <c r="A457" t="s">
        <v>84</v>
      </c>
      <c r="B457" t="s">
        <v>4249</v>
      </c>
      <c r="C457" t="s">
        <v>74</v>
      </c>
      <c r="D457" t="s">
        <v>4250</v>
      </c>
      <c r="E457" t="s">
        <v>74</v>
      </c>
      <c r="F457" t="s">
        <v>4251</v>
      </c>
      <c r="G457" t="s">
        <v>74</v>
      </c>
      <c r="H457" t="s">
        <v>74</v>
      </c>
      <c r="I457" t="s">
        <v>4252</v>
      </c>
      <c r="J457" t="s">
        <v>4253</v>
      </c>
      <c r="K457" t="s">
        <v>3415</v>
      </c>
      <c r="L457" t="s">
        <v>74</v>
      </c>
      <c r="M457" t="s">
        <v>74</v>
      </c>
      <c r="N457" t="s">
        <v>74</v>
      </c>
      <c r="O457" t="s">
        <v>4254</v>
      </c>
      <c r="P457" t="s">
        <v>4255</v>
      </c>
      <c r="Q457" t="s">
        <v>2259</v>
      </c>
      <c r="R457" t="s">
        <v>3419</v>
      </c>
      <c r="S457" t="s">
        <v>74</v>
      </c>
      <c r="T457" t="s">
        <v>74</v>
      </c>
      <c r="U457" t="s">
        <v>74</v>
      </c>
      <c r="V457" t="s">
        <v>4256</v>
      </c>
      <c r="W457" t="s">
        <v>74</v>
      </c>
      <c r="X457" t="s">
        <v>74</v>
      </c>
      <c r="Y457" t="s">
        <v>74</v>
      </c>
      <c r="Z457" t="s">
        <v>74</v>
      </c>
      <c r="AA457" t="s">
        <v>74</v>
      </c>
      <c r="AB457" t="s">
        <v>74</v>
      </c>
      <c r="AC457" t="s">
        <v>74</v>
      </c>
      <c r="AD457" t="s">
        <v>74</v>
      </c>
      <c r="AE457" t="s">
        <v>74</v>
      </c>
      <c r="AF457" t="s">
        <v>74</v>
      </c>
      <c r="AG457" t="s">
        <v>74</v>
      </c>
      <c r="AH457" t="s">
        <v>74</v>
      </c>
      <c r="AI457" t="s">
        <v>74</v>
      </c>
      <c r="AJ457" t="s">
        <v>74</v>
      </c>
      <c r="AK457" t="s">
        <v>74</v>
      </c>
      <c r="AL457" t="s">
        <v>74</v>
      </c>
      <c r="AM457" t="s">
        <v>74</v>
      </c>
      <c r="AN457" t="s">
        <v>74</v>
      </c>
      <c r="AO457" t="s">
        <v>3421</v>
      </c>
      <c r="AP457" t="s">
        <v>3422</v>
      </c>
      <c r="AQ457" t="s">
        <v>4257</v>
      </c>
      <c r="AR457" t="s">
        <v>74</v>
      </c>
      <c r="AS457" t="s">
        <v>74</v>
      </c>
      <c r="AT457" t="s">
        <v>74</v>
      </c>
      <c r="AU457">
        <v>2022</v>
      </c>
      <c r="AV457">
        <v>12216</v>
      </c>
      <c r="AW457" t="s">
        <v>74</v>
      </c>
      <c r="AX457" t="s">
        <v>74</v>
      </c>
      <c r="AY457" t="s">
        <v>74</v>
      </c>
      <c r="AZ457" t="s">
        <v>74</v>
      </c>
      <c r="BA457" t="s">
        <v>74</v>
      </c>
      <c r="BB457" t="s">
        <v>74</v>
      </c>
      <c r="BC457" t="s">
        <v>74</v>
      </c>
      <c r="BD457" t="s">
        <v>4258</v>
      </c>
      <c r="BE457" t="s">
        <v>4259</v>
      </c>
      <c r="BF457" t="str">
        <f>HYPERLINK("http://dx.doi.org/10.1117/12.2631741","http://dx.doi.org/10.1117/12.2631741")</f>
        <v>http://dx.doi.org/10.1117/12.2631741</v>
      </c>
      <c r="BG457" t="s">
        <v>74</v>
      </c>
      <c r="BH457" t="s">
        <v>74</v>
      </c>
      <c r="BI457" t="s">
        <v>74</v>
      </c>
      <c r="BJ457" t="s">
        <v>74</v>
      </c>
      <c r="BK457" t="s">
        <v>74</v>
      </c>
      <c r="BL457" t="s">
        <v>74</v>
      </c>
      <c r="BM457" t="s">
        <v>74</v>
      </c>
      <c r="BN457" t="s">
        <v>74</v>
      </c>
      <c r="BO457" t="s">
        <v>74</v>
      </c>
      <c r="BP457" t="s">
        <v>74</v>
      </c>
      <c r="BQ457" t="s">
        <v>74</v>
      </c>
      <c r="BR457" t="s">
        <v>74</v>
      </c>
      <c r="BS457" t="s">
        <v>4260</v>
      </c>
      <c r="BT457" t="str">
        <f>HYPERLINK("https%3A%2F%2Fwww.webofscience.com%2Fwos%2Fwoscc%2Ffull-record%2FWOS:000870266700018","View Full Record in Web of Science")</f>
        <v>View Full Record in Web of Science</v>
      </c>
    </row>
    <row r="458" spans="1:72" x14ac:dyDescent="0.25">
      <c r="A458" t="s">
        <v>72</v>
      </c>
      <c r="B458" t="s">
        <v>4261</v>
      </c>
      <c r="C458" t="s">
        <v>74</v>
      </c>
      <c r="D458" t="s">
        <v>74</v>
      </c>
      <c r="E458" t="s">
        <v>74</v>
      </c>
      <c r="F458" t="s">
        <v>4262</v>
      </c>
      <c r="G458" t="s">
        <v>74</v>
      </c>
      <c r="H458" t="s">
        <v>74</v>
      </c>
      <c r="I458" t="s">
        <v>4263</v>
      </c>
      <c r="J458" t="s">
        <v>4180</v>
      </c>
      <c r="K458" t="s">
        <v>74</v>
      </c>
      <c r="L458" t="s">
        <v>74</v>
      </c>
      <c r="M458" t="s">
        <v>74</v>
      </c>
      <c r="N458" t="s">
        <v>74</v>
      </c>
      <c r="O458" t="s">
        <v>74</v>
      </c>
      <c r="P458" t="s">
        <v>74</v>
      </c>
      <c r="Q458" t="s">
        <v>74</v>
      </c>
      <c r="R458" t="s">
        <v>74</v>
      </c>
      <c r="S458" t="s">
        <v>74</v>
      </c>
      <c r="T458" t="s">
        <v>74</v>
      </c>
      <c r="U458" t="s">
        <v>74</v>
      </c>
      <c r="V458" t="s">
        <v>4264</v>
      </c>
      <c r="W458" t="s">
        <v>74</v>
      </c>
      <c r="X458" t="s">
        <v>74</v>
      </c>
      <c r="Y458" t="s">
        <v>74</v>
      </c>
      <c r="Z458" t="s">
        <v>74</v>
      </c>
      <c r="AA458" t="s">
        <v>4265</v>
      </c>
      <c r="AB458" t="s">
        <v>4266</v>
      </c>
      <c r="AC458" t="s">
        <v>74</v>
      </c>
      <c r="AD458" t="s">
        <v>74</v>
      </c>
      <c r="AE458" t="s">
        <v>74</v>
      </c>
      <c r="AF458" t="s">
        <v>74</v>
      </c>
      <c r="AG458" t="s">
        <v>74</v>
      </c>
      <c r="AH458" t="s">
        <v>74</v>
      </c>
      <c r="AI458" t="s">
        <v>74</v>
      </c>
      <c r="AJ458" t="s">
        <v>74</v>
      </c>
      <c r="AK458" t="s">
        <v>74</v>
      </c>
      <c r="AL458" t="s">
        <v>74</v>
      </c>
      <c r="AM458" t="s">
        <v>74</v>
      </c>
      <c r="AN458" t="s">
        <v>74</v>
      </c>
      <c r="AO458" t="s">
        <v>74</v>
      </c>
      <c r="AP458" t="s">
        <v>4184</v>
      </c>
      <c r="AQ458" t="s">
        <v>74</v>
      </c>
      <c r="AR458" t="s">
        <v>74</v>
      </c>
      <c r="AS458" t="s">
        <v>74</v>
      </c>
      <c r="AT458" t="s">
        <v>536</v>
      </c>
      <c r="AU458">
        <v>2022</v>
      </c>
      <c r="AV458">
        <v>9</v>
      </c>
      <c r="AW458">
        <v>21</v>
      </c>
      <c r="AX458" t="s">
        <v>74</v>
      </c>
      <c r="AY458" t="s">
        <v>74</v>
      </c>
      <c r="AZ458" t="s">
        <v>74</v>
      </c>
      <c r="BA458" t="s">
        <v>74</v>
      </c>
      <c r="BB458" t="s">
        <v>74</v>
      </c>
      <c r="BC458" t="s">
        <v>74</v>
      </c>
      <c r="BD458">
        <v>2201056</v>
      </c>
      <c r="BE458" t="s">
        <v>4267</v>
      </c>
      <c r="BF458" t="str">
        <f>HYPERLINK("http://dx.doi.org/10.1002/advs.202201056","http://dx.doi.org/10.1002/advs.202201056")</f>
        <v>http://dx.doi.org/10.1002/advs.202201056</v>
      </c>
      <c r="BG458" t="s">
        <v>74</v>
      </c>
      <c r="BH458" t="s">
        <v>1368</v>
      </c>
      <c r="BI458" t="s">
        <v>74</v>
      </c>
      <c r="BJ458" t="s">
        <v>74</v>
      </c>
      <c r="BK458" t="s">
        <v>74</v>
      </c>
      <c r="BL458" t="s">
        <v>74</v>
      </c>
      <c r="BM458" t="s">
        <v>74</v>
      </c>
      <c r="BN458">
        <v>35585678</v>
      </c>
      <c r="BO458" t="s">
        <v>74</v>
      </c>
      <c r="BP458" t="s">
        <v>74</v>
      </c>
      <c r="BQ458" t="s">
        <v>74</v>
      </c>
      <c r="BR458" t="s">
        <v>74</v>
      </c>
      <c r="BS458" t="s">
        <v>4268</v>
      </c>
      <c r="BT458" t="str">
        <f>HYPERLINK("https%3A%2F%2Fwww.webofscience.com%2Fwos%2Fwoscc%2Ffull-record%2FWOS:000797225200001","View Full Record in Web of Science")</f>
        <v>View Full Record in Web of Science</v>
      </c>
    </row>
    <row r="459" spans="1:72" x14ac:dyDescent="0.25">
      <c r="A459" t="s">
        <v>84</v>
      </c>
      <c r="B459" t="s">
        <v>4269</v>
      </c>
      <c r="C459" t="s">
        <v>74</v>
      </c>
      <c r="D459" t="s">
        <v>74</v>
      </c>
      <c r="E459" t="s">
        <v>326</v>
      </c>
      <c r="F459" t="s">
        <v>4270</v>
      </c>
      <c r="G459" t="s">
        <v>74</v>
      </c>
      <c r="H459" t="s">
        <v>74</v>
      </c>
      <c r="I459" t="s">
        <v>4271</v>
      </c>
      <c r="J459" t="s">
        <v>4272</v>
      </c>
      <c r="K459" t="s">
        <v>74</v>
      </c>
      <c r="L459" t="s">
        <v>74</v>
      </c>
      <c r="M459" t="s">
        <v>74</v>
      </c>
      <c r="N459" t="s">
        <v>74</v>
      </c>
      <c r="O459" t="s">
        <v>4273</v>
      </c>
      <c r="P459" t="s">
        <v>4274</v>
      </c>
      <c r="Q459" t="s">
        <v>4275</v>
      </c>
      <c r="R459" t="s">
        <v>4276</v>
      </c>
      <c r="S459" t="s">
        <v>74</v>
      </c>
      <c r="T459" t="s">
        <v>74</v>
      </c>
      <c r="U459" t="s">
        <v>74</v>
      </c>
      <c r="V459" t="s">
        <v>4277</v>
      </c>
      <c r="W459" t="s">
        <v>74</v>
      </c>
      <c r="X459" t="s">
        <v>74</v>
      </c>
      <c r="Y459" t="s">
        <v>74</v>
      </c>
      <c r="Z459" t="s">
        <v>74</v>
      </c>
      <c r="AA459" t="s">
        <v>74</v>
      </c>
      <c r="AB459" t="s">
        <v>74</v>
      </c>
      <c r="AC459" t="s">
        <v>74</v>
      </c>
      <c r="AD459" t="s">
        <v>74</v>
      </c>
      <c r="AE459" t="s">
        <v>74</v>
      </c>
      <c r="AF459" t="s">
        <v>74</v>
      </c>
      <c r="AG459" t="s">
        <v>74</v>
      </c>
      <c r="AH459" t="s">
        <v>74</v>
      </c>
      <c r="AI459" t="s">
        <v>74</v>
      </c>
      <c r="AJ459" t="s">
        <v>74</v>
      </c>
      <c r="AK459" t="s">
        <v>74</v>
      </c>
      <c r="AL459" t="s">
        <v>74</v>
      </c>
      <c r="AM459" t="s">
        <v>74</v>
      </c>
      <c r="AN459" t="s">
        <v>74</v>
      </c>
      <c r="AO459" t="s">
        <v>74</v>
      </c>
      <c r="AP459" t="s">
        <v>74</v>
      </c>
      <c r="AQ459" t="s">
        <v>4278</v>
      </c>
      <c r="AR459" t="s">
        <v>74</v>
      </c>
      <c r="AS459" t="s">
        <v>74</v>
      </c>
      <c r="AT459" t="s">
        <v>74</v>
      </c>
      <c r="AU459">
        <v>2021</v>
      </c>
      <c r="AV459" t="s">
        <v>74</v>
      </c>
      <c r="AW459" t="s">
        <v>74</v>
      </c>
      <c r="AX459" t="s">
        <v>74</v>
      </c>
      <c r="AY459" t="s">
        <v>74</v>
      </c>
      <c r="AZ459" t="s">
        <v>74</v>
      </c>
      <c r="BA459" t="s">
        <v>74</v>
      </c>
      <c r="BB459">
        <v>30</v>
      </c>
      <c r="BC459">
        <v>36</v>
      </c>
      <c r="BD459" t="s">
        <v>74</v>
      </c>
      <c r="BE459" t="s">
        <v>4279</v>
      </c>
      <c r="BF459" t="str">
        <f>HYPERLINK("http://dx.doi.org/10.1145/3458307.3460966","http://dx.doi.org/10.1145/3458307.3460966")</f>
        <v>http://dx.doi.org/10.1145/3458307.3460966</v>
      </c>
      <c r="BG459" t="s">
        <v>74</v>
      </c>
      <c r="BH459" t="s">
        <v>74</v>
      </c>
      <c r="BI459" t="s">
        <v>74</v>
      </c>
      <c r="BJ459" t="s">
        <v>74</v>
      </c>
      <c r="BK459" t="s">
        <v>74</v>
      </c>
      <c r="BL459" t="s">
        <v>74</v>
      </c>
      <c r="BM459" t="s">
        <v>74</v>
      </c>
      <c r="BN459" t="s">
        <v>74</v>
      </c>
      <c r="BO459" t="s">
        <v>74</v>
      </c>
      <c r="BP459" t="s">
        <v>74</v>
      </c>
      <c r="BQ459" t="s">
        <v>74</v>
      </c>
      <c r="BR459" t="s">
        <v>74</v>
      </c>
      <c r="BS459" t="s">
        <v>4280</v>
      </c>
      <c r="BT459" t="str">
        <f>HYPERLINK("https%3A%2F%2Fwww.webofscience.com%2Fwos%2Fwoscc%2Ffull-record%2FWOS:000769653000006","View Full Record in Web of Science")</f>
        <v>View Full Record in Web of Science</v>
      </c>
    </row>
    <row r="460" spans="1:72" x14ac:dyDescent="0.25">
      <c r="A460" t="s">
        <v>72</v>
      </c>
      <c r="B460" t="s">
        <v>4281</v>
      </c>
      <c r="C460" t="s">
        <v>74</v>
      </c>
      <c r="D460" t="s">
        <v>74</v>
      </c>
      <c r="E460" t="s">
        <v>74</v>
      </c>
      <c r="F460" t="s">
        <v>4282</v>
      </c>
      <c r="G460" t="s">
        <v>74</v>
      </c>
      <c r="H460" t="s">
        <v>74</v>
      </c>
      <c r="I460" t="s">
        <v>4283</v>
      </c>
      <c r="J460" t="s">
        <v>873</v>
      </c>
      <c r="K460" t="s">
        <v>74</v>
      </c>
      <c r="L460" t="s">
        <v>74</v>
      </c>
      <c r="M460" t="s">
        <v>74</v>
      </c>
      <c r="N460" t="s">
        <v>74</v>
      </c>
      <c r="O460" t="s">
        <v>74</v>
      </c>
      <c r="P460" t="s">
        <v>74</v>
      </c>
      <c r="Q460" t="s">
        <v>74</v>
      </c>
      <c r="R460" t="s">
        <v>74</v>
      </c>
      <c r="S460" t="s">
        <v>74</v>
      </c>
      <c r="T460" t="s">
        <v>74</v>
      </c>
      <c r="U460" t="s">
        <v>74</v>
      </c>
      <c r="V460" t="s">
        <v>4284</v>
      </c>
      <c r="W460" t="s">
        <v>74</v>
      </c>
      <c r="X460" t="s">
        <v>74</v>
      </c>
      <c r="Y460" t="s">
        <v>74</v>
      </c>
      <c r="Z460" t="s">
        <v>74</v>
      </c>
      <c r="AA460" t="s">
        <v>1091</v>
      </c>
      <c r="AB460" t="s">
        <v>4285</v>
      </c>
      <c r="AC460" t="s">
        <v>74</v>
      </c>
      <c r="AD460" t="s">
        <v>74</v>
      </c>
      <c r="AE460" t="s">
        <v>74</v>
      </c>
      <c r="AF460" t="s">
        <v>74</v>
      </c>
      <c r="AG460" t="s">
        <v>74</v>
      </c>
      <c r="AH460" t="s">
        <v>74</v>
      </c>
      <c r="AI460" t="s">
        <v>74</v>
      </c>
      <c r="AJ460" t="s">
        <v>74</v>
      </c>
      <c r="AK460" t="s">
        <v>74</v>
      </c>
      <c r="AL460" t="s">
        <v>74</v>
      </c>
      <c r="AM460" t="s">
        <v>74</v>
      </c>
      <c r="AN460" t="s">
        <v>74</v>
      </c>
      <c r="AO460" t="s">
        <v>74</v>
      </c>
      <c r="AP460" t="s">
        <v>877</v>
      </c>
      <c r="AQ460" t="s">
        <v>74</v>
      </c>
      <c r="AR460" t="s">
        <v>74</v>
      </c>
      <c r="AS460" t="s">
        <v>74</v>
      </c>
      <c r="AT460" t="s">
        <v>389</v>
      </c>
      <c r="AU460">
        <v>2021</v>
      </c>
      <c r="AV460">
        <v>21</v>
      </c>
      <c r="AW460">
        <v>17</v>
      </c>
      <c r="AX460" t="s">
        <v>74</v>
      </c>
      <c r="AY460" t="s">
        <v>74</v>
      </c>
      <c r="AZ460" t="s">
        <v>74</v>
      </c>
      <c r="BA460" t="s">
        <v>74</v>
      </c>
      <c r="BB460" t="s">
        <v>74</v>
      </c>
      <c r="BC460" t="s">
        <v>74</v>
      </c>
      <c r="BD460">
        <v>5986</v>
      </c>
      <c r="BE460" t="s">
        <v>4286</v>
      </c>
      <c r="BF460" t="str">
        <f>HYPERLINK("http://dx.doi.org/10.3390/s21175986","http://dx.doi.org/10.3390/s21175986")</f>
        <v>http://dx.doi.org/10.3390/s21175986</v>
      </c>
      <c r="BG460" t="s">
        <v>74</v>
      </c>
      <c r="BH460" t="s">
        <v>74</v>
      </c>
      <c r="BI460" t="s">
        <v>74</v>
      </c>
      <c r="BJ460" t="s">
        <v>74</v>
      </c>
      <c r="BK460" t="s">
        <v>74</v>
      </c>
      <c r="BL460" t="s">
        <v>74</v>
      </c>
      <c r="BM460" t="s">
        <v>74</v>
      </c>
      <c r="BN460">
        <v>34502877</v>
      </c>
      <c r="BO460" t="s">
        <v>74</v>
      </c>
      <c r="BP460" t="s">
        <v>74</v>
      </c>
      <c r="BQ460" t="s">
        <v>74</v>
      </c>
      <c r="BR460" t="s">
        <v>74</v>
      </c>
      <c r="BS460" t="s">
        <v>4287</v>
      </c>
      <c r="BT460" t="str">
        <f>HYPERLINK("https%3A%2F%2Fwww.webofscience.com%2Fwos%2Fwoscc%2Ffull-record%2FWOS:000694464300001","View Full Record in Web of Science")</f>
        <v>View Full Record in Web of Science</v>
      </c>
    </row>
    <row r="461" spans="1:72" x14ac:dyDescent="0.25">
      <c r="A461" t="s">
        <v>72</v>
      </c>
      <c r="B461" t="s">
        <v>4288</v>
      </c>
      <c r="C461" t="s">
        <v>74</v>
      </c>
      <c r="D461" t="s">
        <v>74</v>
      </c>
      <c r="E461" t="s">
        <v>74</v>
      </c>
      <c r="F461" t="s">
        <v>4289</v>
      </c>
      <c r="G461" t="s">
        <v>74</v>
      </c>
      <c r="H461" t="s">
        <v>74</v>
      </c>
      <c r="I461" t="s">
        <v>4290</v>
      </c>
      <c r="J461" t="s">
        <v>201</v>
      </c>
      <c r="K461" t="s">
        <v>74</v>
      </c>
      <c r="L461" t="s">
        <v>74</v>
      </c>
      <c r="M461" t="s">
        <v>74</v>
      </c>
      <c r="N461" t="s">
        <v>74</v>
      </c>
      <c r="O461" t="s">
        <v>74</v>
      </c>
      <c r="P461" t="s">
        <v>74</v>
      </c>
      <c r="Q461" t="s">
        <v>74</v>
      </c>
      <c r="R461" t="s">
        <v>74</v>
      </c>
      <c r="S461" t="s">
        <v>74</v>
      </c>
      <c r="T461" t="s">
        <v>74</v>
      </c>
      <c r="U461" t="s">
        <v>74</v>
      </c>
      <c r="V461" t="s">
        <v>4291</v>
      </c>
      <c r="W461" t="s">
        <v>74</v>
      </c>
      <c r="X461" t="s">
        <v>74</v>
      </c>
      <c r="Y461" t="s">
        <v>74</v>
      </c>
      <c r="Z461" t="s">
        <v>74</v>
      </c>
      <c r="AA461" t="s">
        <v>4292</v>
      </c>
      <c r="AB461" t="s">
        <v>4293</v>
      </c>
      <c r="AC461" t="s">
        <v>74</v>
      </c>
      <c r="AD461" t="s">
        <v>74</v>
      </c>
      <c r="AE461" t="s">
        <v>74</v>
      </c>
      <c r="AF461" t="s">
        <v>74</v>
      </c>
      <c r="AG461" t="s">
        <v>74</v>
      </c>
      <c r="AH461" t="s">
        <v>74</v>
      </c>
      <c r="AI461" t="s">
        <v>74</v>
      </c>
      <c r="AJ461" t="s">
        <v>74</v>
      </c>
      <c r="AK461" t="s">
        <v>74</v>
      </c>
      <c r="AL461" t="s">
        <v>74</v>
      </c>
      <c r="AM461" t="s">
        <v>74</v>
      </c>
      <c r="AN461" t="s">
        <v>74</v>
      </c>
      <c r="AO461" t="s">
        <v>205</v>
      </c>
      <c r="AP461" t="s">
        <v>74</v>
      </c>
      <c r="AQ461" t="s">
        <v>74</v>
      </c>
      <c r="AR461" t="s">
        <v>74</v>
      </c>
      <c r="AS461" t="s">
        <v>74</v>
      </c>
      <c r="AT461" t="s">
        <v>74</v>
      </c>
      <c r="AU461">
        <v>2022</v>
      </c>
      <c r="AV461">
        <v>10</v>
      </c>
      <c r="AW461" t="s">
        <v>74</v>
      </c>
      <c r="AX461" t="s">
        <v>74</v>
      </c>
      <c r="AY461" t="s">
        <v>74</v>
      </c>
      <c r="AZ461" t="s">
        <v>74</v>
      </c>
      <c r="BA461" t="s">
        <v>74</v>
      </c>
      <c r="BB461">
        <v>89924</v>
      </c>
      <c r="BC461">
        <v>89943</v>
      </c>
      <c r="BD461" t="s">
        <v>74</v>
      </c>
      <c r="BE461" t="s">
        <v>4294</v>
      </c>
      <c r="BF461" t="str">
        <f>HYPERLINK("http://dx.doi.org/10.1109/ACCESS.2022.3199371","http://dx.doi.org/10.1109/ACCESS.2022.3199371")</f>
        <v>http://dx.doi.org/10.1109/ACCESS.2022.3199371</v>
      </c>
      <c r="BG461" t="s">
        <v>74</v>
      </c>
      <c r="BH461" t="s">
        <v>74</v>
      </c>
      <c r="BI461" t="s">
        <v>74</v>
      </c>
      <c r="BJ461" t="s">
        <v>74</v>
      </c>
      <c r="BK461" t="s">
        <v>74</v>
      </c>
      <c r="BL461" t="s">
        <v>74</v>
      </c>
      <c r="BM461" t="s">
        <v>74</v>
      </c>
      <c r="BN461" t="s">
        <v>74</v>
      </c>
      <c r="BO461" t="s">
        <v>74</v>
      </c>
      <c r="BP461" t="s">
        <v>74</v>
      </c>
      <c r="BQ461" t="s">
        <v>74</v>
      </c>
      <c r="BR461" t="s">
        <v>74</v>
      </c>
      <c r="BS461" t="s">
        <v>4295</v>
      </c>
      <c r="BT461" t="str">
        <f>HYPERLINK("https%3A%2F%2Fwww.webofscience.com%2Fwos%2Fwoscc%2Ffull-record%2FWOS:000849262100001","View Full Record in Web of Science")</f>
        <v>View Full Record in Web of Science</v>
      </c>
    </row>
    <row r="462" spans="1:72" x14ac:dyDescent="0.25">
      <c r="A462" t="s">
        <v>84</v>
      </c>
      <c r="B462" t="s">
        <v>4296</v>
      </c>
      <c r="C462" t="s">
        <v>74</v>
      </c>
      <c r="D462" t="s">
        <v>74</v>
      </c>
      <c r="E462" t="s">
        <v>86</v>
      </c>
      <c r="F462" t="s">
        <v>4297</v>
      </c>
      <c r="G462" t="s">
        <v>74</v>
      </c>
      <c r="H462" t="s">
        <v>74</v>
      </c>
      <c r="I462" t="s">
        <v>4298</v>
      </c>
      <c r="J462" t="s">
        <v>181</v>
      </c>
      <c r="K462" t="s">
        <v>74</v>
      </c>
      <c r="L462" t="s">
        <v>74</v>
      </c>
      <c r="M462" t="s">
        <v>74</v>
      </c>
      <c r="N462" t="s">
        <v>74</v>
      </c>
      <c r="O462" t="s">
        <v>182</v>
      </c>
      <c r="P462" t="s">
        <v>183</v>
      </c>
      <c r="Q462" t="s">
        <v>184</v>
      </c>
      <c r="R462" t="s">
        <v>185</v>
      </c>
      <c r="S462" t="s">
        <v>74</v>
      </c>
      <c r="T462" t="s">
        <v>74</v>
      </c>
      <c r="U462" t="s">
        <v>74</v>
      </c>
      <c r="V462" t="s">
        <v>4299</v>
      </c>
      <c r="W462" t="s">
        <v>74</v>
      </c>
      <c r="X462" t="s">
        <v>74</v>
      </c>
      <c r="Y462" t="s">
        <v>74</v>
      </c>
      <c r="Z462" t="s">
        <v>74</v>
      </c>
      <c r="AA462" t="s">
        <v>4300</v>
      </c>
      <c r="AB462" t="s">
        <v>4301</v>
      </c>
      <c r="AC462" t="s">
        <v>74</v>
      </c>
      <c r="AD462" t="s">
        <v>74</v>
      </c>
      <c r="AE462" t="s">
        <v>74</v>
      </c>
      <c r="AF462" t="s">
        <v>74</v>
      </c>
      <c r="AG462" t="s">
        <v>74</v>
      </c>
      <c r="AH462" t="s">
        <v>74</v>
      </c>
      <c r="AI462" t="s">
        <v>74</v>
      </c>
      <c r="AJ462" t="s">
        <v>74</v>
      </c>
      <c r="AK462" t="s">
        <v>74</v>
      </c>
      <c r="AL462" t="s">
        <v>74</v>
      </c>
      <c r="AM462" t="s">
        <v>74</v>
      </c>
      <c r="AN462" t="s">
        <v>74</v>
      </c>
      <c r="AO462" t="s">
        <v>74</v>
      </c>
      <c r="AP462" t="s">
        <v>74</v>
      </c>
      <c r="AQ462" t="s">
        <v>187</v>
      </c>
      <c r="AR462" t="s">
        <v>74</v>
      </c>
      <c r="AS462" t="s">
        <v>74</v>
      </c>
      <c r="AT462" t="s">
        <v>74</v>
      </c>
      <c r="AU462">
        <v>2022</v>
      </c>
      <c r="AV462" t="s">
        <v>74</v>
      </c>
      <c r="AW462" t="s">
        <v>74</v>
      </c>
      <c r="AX462" t="s">
        <v>74</v>
      </c>
      <c r="AY462" t="s">
        <v>74</v>
      </c>
      <c r="AZ462" t="s">
        <v>74</v>
      </c>
      <c r="BA462" t="s">
        <v>74</v>
      </c>
      <c r="BB462">
        <v>175</v>
      </c>
      <c r="BC462">
        <v>180</v>
      </c>
      <c r="BD462" t="s">
        <v>74</v>
      </c>
      <c r="BE462" t="s">
        <v>4302</v>
      </c>
      <c r="BF462" t="str">
        <f>HYPERLINK("http://dx.doi.org/10.1109/MetroXRAINE54828.2022.9967631","http://dx.doi.org/10.1109/MetroXRAINE54828.2022.9967631")</f>
        <v>http://dx.doi.org/10.1109/MetroXRAINE54828.2022.9967631</v>
      </c>
      <c r="BG462" t="s">
        <v>74</v>
      </c>
      <c r="BH462" t="s">
        <v>74</v>
      </c>
      <c r="BI462" t="s">
        <v>74</v>
      </c>
      <c r="BJ462" t="s">
        <v>74</v>
      </c>
      <c r="BK462" t="s">
        <v>74</v>
      </c>
      <c r="BL462" t="s">
        <v>74</v>
      </c>
      <c r="BM462" t="s">
        <v>74</v>
      </c>
      <c r="BN462" t="s">
        <v>74</v>
      </c>
      <c r="BO462" t="s">
        <v>74</v>
      </c>
      <c r="BP462" t="s">
        <v>74</v>
      </c>
      <c r="BQ462" t="s">
        <v>74</v>
      </c>
      <c r="BR462" t="s">
        <v>74</v>
      </c>
      <c r="BS462" t="s">
        <v>4303</v>
      </c>
      <c r="BT462" t="str">
        <f>HYPERLINK("https%3A%2F%2Fwww.webofscience.com%2Fwos%2Fwoscc%2Ffull-record%2FWOS:000947347200031","View Full Record in Web of Science")</f>
        <v>View Full Record in Web of Science</v>
      </c>
    </row>
    <row r="463" spans="1:72" x14ac:dyDescent="0.25">
      <c r="A463" t="s">
        <v>72</v>
      </c>
      <c r="B463" t="s">
        <v>4304</v>
      </c>
      <c r="C463" t="s">
        <v>74</v>
      </c>
      <c r="D463" t="s">
        <v>74</v>
      </c>
      <c r="E463" t="s">
        <v>74</v>
      </c>
      <c r="F463" t="s">
        <v>4305</v>
      </c>
      <c r="G463" t="s">
        <v>74</v>
      </c>
      <c r="H463" t="s">
        <v>74</v>
      </c>
      <c r="I463" t="s">
        <v>4306</v>
      </c>
      <c r="J463" t="s">
        <v>3603</v>
      </c>
      <c r="K463" t="s">
        <v>74</v>
      </c>
      <c r="L463" t="s">
        <v>74</v>
      </c>
      <c r="M463" t="s">
        <v>74</v>
      </c>
      <c r="N463" t="s">
        <v>74</v>
      </c>
      <c r="O463" t="s">
        <v>74</v>
      </c>
      <c r="P463" t="s">
        <v>74</v>
      </c>
      <c r="Q463" t="s">
        <v>74</v>
      </c>
      <c r="R463" t="s">
        <v>74</v>
      </c>
      <c r="S463" t="s">
        <v>74</v>
      </c>
      <c r="T463" t="s">
        <v>74</v>
      </c>
      <c r="U463" t="s">
        <v>74</v>
      </c>
      <c r="V463" t="s">
        <v>4307</v>
      </c>
      <c r="W463" t="s">
        <v>74</v>
      </c>
      <c r="X463" t="s">
        <v>74</v>
      </c>
      <c r="Y463" t="s">
        <v>74</v>
      </c>
      <c r="Z463" t="s">
        <v>74</v>
      </c>
      <c r="AA463" t="s">
        <v>74</v>
      </c>
      <c r="AB463" t="s">
        <v>4308</v>
      </c>
      <c r="AC463" t="s">
        <v>74</v>
      </c>
      <c r="AD463" t="s">
        <v>74</v>
      </c>
      <c r="AE463" t="s">
        <v>74</v>
      </c>
      <c r="AF463" t="s">
        <v>74</v>
      </c>
      <c r="AG463" t="s">
        <v>74</v>
      </c>
      <c r="AH463" t="s">
        <v>74</v>
      </c>
      <c r="AI463" t="s">
        <v>74</v>
      </c>
      <c r="AJ463" t="s">
        <v>74</v>
      </c>
      <c r="AK463" t="s">
        <v>74</v>
      </c>
      <c r="AL463" t="s">
        <v>74</v>
      </c>
      <c r="AM463" t="s">
        <v>74</v>
      </c>
      <c r="AN463" t="s">
        <v>74</v>
      </c>
      <c r="AO463" t="s">
        <v>3607</v>
      </c>
      <c r="AP463" t="s">
        <v>3608</v>
      </c>
      <c r="AQ463" t="s">
        <v>74</v>
      </c>
      <c r="AR463" t="s">
        <v>74</v>
      </c>
      <c r="AS463" t="s">
        <v>74</v>
      </c>
      <c r="AT463" t="s">
        <v>74</v>
      </c>
      <c r="AU463" t="s">
        <v>74</v>
      </c>
      <c r="AV463" t="s">
        <v>74</v>
      </c>
      <c r="AW463" t="s">
        <v>74</v>
      </c>
      <c r="AX463" t="s">
        <v>74</v>
      </c>
      <c r="AY463" t="s">
        <v>74</v>
      </c>
      <c r="AZ463" t="s">
        <v>74</v>
      </c>
      <c r="BA463" t="s">
        <v>74</v>
      </c>
      <c r="BB463" t="s">
        <v>74</v>
      </c>
      <c r="BC463" t="s">
        <v>74</v>
      </c>
      <c r="BD463" t="s">
        <v>74</v>
      </c>
      <c r="BE463" t="s">
        <v>4309</v>
      </c>
      <c r="BF463" t="str">
        <f>HYPERLINK("http://dx.doi.org/10.1002/adfm.202208271","http://dx.doi.org/10.1002/adfm.202208271")</f>
        <v>http://dx.doi.org/10.1002/adfm.202208271</v>
      </c>
      <c r="BG463" t="s">
        <v>74</v>
      </c>
      <c r="BH463" t="s">
        <v>768</v>
      </c>
      <c r="BI463" t="s">
        <v>74</v>
      </c>
      <c r="BJ463" t="s">
        <v>74</v>
      </c>
      <c r="BK463" t="s">
        <v>74</v>
      </c>
      <c r="BL463" t="s">
        <v>74</v>
      </c>
      <c r="BM463" t="s">
        <v>74</v>
      </c>
      <c r="BN463" t="s">
        <v>74</v>
      </c>
      <c r="BO463" t="s">
        <v>74</v>
      </c>
      <c r="BP463" t="s">
        <v>74</v>
      </c>
      <c r="BQ463" t="s">
        <v>74</v>
      </c>
      <c r="BR463" t="s">
        <v>74</v>
      </c>
      <c r="BS463" t="s">
        <v>4310</v>
      </c>
      <c r="BT463" t="str">
        <f>HYPERLINK("https%3A%2F%2Fwww.webofscience.com%2Fwos%2Fwoscc%2Ffull-record%2FWOS:000862066700001","View Full Record in Web of Science")</f>
        <v>View Full Record in Web of Science</v>
      </c>
    </row>
    <row r="464" spans="1:72" x14ac:dyDescent="0.25">
      <c r="A464" t="s">
        <v>72</v>
      </c>
      <c r="B464" t="s">
        <v>4311</v>
      </c>
      <c r="C464" t="s">
        <v>74</v>
      </c>
      <c r="D464" t="s">
        <v>74</v>
      </c>
      <c r="E464" t="s">
        <v>74</v>
      </c>
      <c r="F464" t="s">
        <v>4312</v>
      </c>
      <c r="G464" t="s">
        <v>74</v>
      </c>
      <c r="H464" t="s">
        <v>74</v>
      </c>
      <c r="I464" t="s">
        <v>4313</v>
      </c>
      <c r="J464" t="s">
        <v>4314</v>
      </c>
      <c r="K464" t="s">
        <v>74</v>
      </c>
      <c r="L464" t="s">
        <v>74</v>
      </c>
      <c r="M464" t="s">
        <v>74</v>
      </c>
      <c r="N464" t="s">
        <v>74</v>
      </c>
      <c r="O464" t="s">
        <v>74</v>
      </c>
      <c r="P464" t="s">
        <v>74</v>
      </c>
      <c r="Q464" t="s">
        <v>74</v>
      </c>
      <c r="R464" t="s">
        <v>74</v>
      </c>
      <c r="S464" t="s">
        <v>74</v>
      </c>
      <c r="T464" t="s">
        <v>74</v>
      </c>
      <c r="U464" t="s">
        <v>74</v>
      </c>
      <c r="V464" t="s">
        <v>4315</v>
      </c>
      <c r="W464" t="s">
        <v>74</v>
      </c>
      <c r="X464" t="s">
        <v>74</v>
      </c>
      <c r="Y464" t="s">
        <v>74</v>
      </c>
      <c r="Z464" t="s">
        <v>74</v>
      </c>
      <c r="AA464" t="s">
        <v>4316</v>
      </c>
      <c r="AB464" t="s">
        <v>4317</v>
      </c>
      <c r="AC464" t="s">
        <v>74</v>
      </c>
      <c r="AD464" t="s">
        <v>74</v>
      </c>
      <c r="AE464" t="s">
        <v>74</v>
      </c>
      <c r="AF464" t="s">
        <v>74</v>
      </c>
      <c r="AG464" t="s">
        <v>74</v>
      </c>
      <c r="AH464" t="s">
        <v>74</v>
      </c>
      <c r="AI464" t="s">
        <v>74</v>
      </c>
      <c r="AJ464" t="s">
        <v>74</v>
      </c>
      <c r="AK464" t="s">
        <v>74</v>
      </c>
      <c r="AL464" t="s">
        <v>74</v>
      </c>
      <c r="AM464" t="s">
        <v>74</v>
      </c>
      <c r="AN464" t="s">
        <v>74</v>
      </c>
      <c r="AO464" t="s">
        <v>4318</v>
      </c>
      <c r="AP464" t="s">
        <v>4319</v>
      </c>
      <c r="AQ464" t="s">
        <v>74</v>
      </c>
      <c r="AR464" t="s">
        <v>74</v>
      </c>
      <c r="AS464" t="s">
        <v>74</v>
      </c>
      <c r="AT464" t="s">
        <v>195</v>
      </c>
      <c r="AU464">
        <v>2022</v>
      </c>
      <c r="AV464">
        <v>223</v>
      </c>
      <c r="AW464" t="s">
        <v>74</v>
      </c>
      <c r="AX464" t="s">
        <v>74</v>
      </c>
      <c r="AY464" t="s">
        <v>74</v>
      </c>
      <c r="AZ464" t="s">
        <v>74</v>
      </c>
      <c r="BA464" t="s">
        <v>74</v>
      </c>
      <c r="BB464" t="s">
        <v>74</v>
      </c>
      <c r="BC464" t="s">
        <v>74</v>
      </c>
      <c r="BD464">
        <v>111149</v>
      </c>
      <c r="BE464" t="s">
        <v>4320</v>
      </c>
      <c r="BF464" t="str">
        <f>HYPERLINK("http://dx.doi.org/10.1016/j.matdes.2022.111149","http://dx.doi.org/10.1016/j.matdes.2022.111149")</f>
        <v>http://dx.doi.org/10.1016/j.matdes.2022.111149</v>
      </c>
      <c r="BG464" t="s">
        <v>74</v>
      </c>
      <c r="BH464" t="s">
        <v>74</v>
      </c>
      <c r="BI464" t="s">
        <v>74</v>
      </c>
      <c r="BJ464" t="s">
        <v>74</v>
      </c>
      <c r="BK464" t="s">
        <v>74</v>
      </c>
      <c r="BL464" t="s">
        <v>74</v>
      </c>
      <c r="BM464" t="s">
        <v>74</v>
      </c>
      <c r="BN464" t="s">
        <v>74</v>
      </c>
      <c r="BO464" t="s">
        <v>74</v>
      </c>
      <c r="BP464" t="s">
        <v>74</v>
      </c>
      <c r="BQ464" t="s">
        <v>74</v>
      </c>
      <c r="BR464" t="s">
        <v>74</v>
      </c>
      <c r="BS464" t="s">
        <v>4321</v>
      </c>
      <c r="BT464" t="str">
        <f>HYPERLINK("https%3A%2F%2Fwww.webofscience.com%2Fwos%2Fwoscc%2Ffull-record%2FWOS:000863422200007","View Full Record in Web of Science")</f>
        <v>View Full Record in Web of Science</v>
      </c>
    </row>
    <row r="465" spans="1:72" x14ac:dyDescent="0.25">
      <c r="A465" t="s">
        <v>72</v>
      </c>
      <c r="B465" t="s">
        <v>4322</v>
      </c>
      <c r="C465" t="s">
        <v>74</v>
      </c>
      <c r="D465" t="s">
        <v>74</v>
      </c>
      <c r="E465" t="s">
        <v>74</v>
      </c>
      <c r="F465" t="s">
        <v>4323</v>
      </c>
      <c r="G465" t="s">
        <v>74</v>
      </c>
      <c r="H465" t="s">
        <v>74</v>
      </c>
      <c r="I465" t="s">
        <v>4324</v>
      </c>
      <c r="J465" t="s">
        <v>4325</v>
      </c>
      <c r="K465" t="s">
        <v>74</v>
      </c>
      <c r="L465" t="s">
        <v>74</v>
      </c>
      <c r="M465" t="s">
        <v>74</v>
      </c>
      <c r="N465" t="s">
        <v>74</v>
      </c>
      <c r="O465" t="s">
        <v>74</v>
      </c>
      <c r="P465" t="s">
        <v>74</v>
      </c>
      <c r="Q465" t="s">
        <v>74</v>
      </c>
      <c r="R465" t="s">
        <v>74</v>
      </c>
      <c r="S465" t="s">
        <v>74</v>
      </c>
      <c r="T465" t="s">
        <v>74</v>
      </c>
      <c r="U465" t="s">
        <v>74</v>
      </c>
      <c r="V465" t="s">
        <v>4326</v>
      </c>
      <c r="W465" t="s">
        <v>74</v>
      </c>
      <c r="X465" t="s">
        <v>74</v>
      </c>
      <c r="Y465" t="s">
        <v>74</v>
      </c>
      <c r="Z465" t="s">
        <v>74</v>
      </c>
      <c r="AA465" t="s">
        <v>74</v>
      </c>
      <c r="AB465" t="s">
        <v>74</v>
      </c>
      <c r="AC465" t="s">
        <v>74</v>
      </c>
      <c r="AD465" t="s">
        <v>74</v>
      </c>
      <c r="AE465" t="s">
        <v>74</v>
      </c>
      <c r="AF465" t="s">
        <v>74</v>
      </c>
      <c r="AG465" t="s">
        <v>74</v>
      </c>
      <c r="AH465" t="s">
        <v>74</v>
      </c>
      <c r="AI465" t="s">
        <v>74</v>
      </c>
      <c r="AJ465" t="s">
        <v>74</v>
      </c>
      <c r="AK465" t="s">
        <v>74</v>
      </c>
      <c r="AL465" t="s">
        <v>74</v>
      </c>
      <c r="AM465" t="s">
        <v>74</v>
      </c>
      <c r="AN465" t="s">
        <v>74</v>
      </c>
      <c r="AO465" t="s">
        <v>4327</v>
      </c>
      <c r="AP465" t="s">
        <v>4328</v>
      </c>
      <c r="AQ465" t="s">
        <v>74</v>
      </c>
      <c r="AR465" t="s">
        <v>74</v>
      </c>
      <c r="AS465" t="s">
        <v>74</v>
      </c>
      <c r="AT465" t="s">
        <v>536</v>
      </c>
      <c r="AU465">
        <v>2022</v>
      </c>
      <c r="AV465">
        <v>114</v>
      </c>
      <c r="AW465" t="s">
        <v>74</v>
      </c>
      <c r="AX465" t="s">
        <v>74</v>
      </c>
      <c r="AY465" t="s">
        <v>74</v>
      </c>
      <c r="AZ465" t="s">
        <v>74</v>
      </c>
      <c r="BA465" t="s">
        <v>74</v>
      </c>
      <c r="BB465" t="s">
        <v>74</v>
      </c>
      <c r="BC465" t="s">
        <v>74</v>
      </c>
      <c r="BD465">
        <v>108164</v>
      </c>
      <c r="BE465" t="s">
        <v>4329</v>
      </c>
      <c r="BF465" t="str">
        <f>HYPERLINK("http://dx.doi.org/10.1016/j.jmgm.2022.108164","http://dx.doi.org/10.1016/j.jmgm.2022.108164")</f>
        <v>http://dx.doi.org/10.1016/j.jmgm.2022.108164</v>
      </c>
      <c r="BG465" t="s">
        <v>74</v>
      </c>
      <c r="BH465" t="s">
        <v>2702</v>
      </c>
      <c r="BI465" t="s">
        <v>74</v>
      </c>
      <c r="BJ465" t="s">
        <v>74</v>
      </c>
      <c r="BK465" t="s">
        <v>74</v>
      </c>
      <c r="BL465" t="s">
        <v>74</v>
      </c>
      <c r="BM465" t="s">
        <v>74</v>
      </c>
      <c r="BN465">
        <v>35325844</v>
      </c>
      <c r="BO465" t="s">
        <v>74</v>
      </c>
      <c r="BP465" t="s">
        <v>74</v>
      </c>
      <c r="BQ465" t="s">
        <v>74</v>
      </c>
      <c r="BR465" t="s">
        <v>74</v>
      </c>
      <c r="BS465" t="s">
        <v>4330</v>
      </c>
      <c r="BT465" t="str">
        <f>HYPERLINK("https%3A%2F%2Fwww.webofscience.com%2Fwos%2Fwoscc%2Ffull-record%2FWOS:000788146200002","View Full Record in Web of Science")</f>
        <v>View Full Record in Web of Science</v>
      </c>
    </row>
    <row r="466" spans="1:72" x14ac:dyDescent="0.25">
      <c r="A466" t="s">
        <v>72</v>
      </c>
      <c r="B466" t="s">
        <v>4331</v>
      </c>
      <c r="C466" t="s">
        <v>74</v>
      </c>
      <c r="D466" t="s">
        <v>74</v>
      </c>
      <c r="E466" t="s">
        <v>74</v>
      </c>
      <c r="F466" t="s">
        <v>4332</v>
      </c>
      <c r="G466" t="s">
        <v>74</v>
      </c>
      <c r="H466" t="s">
        <v>74</v>
      </c>
      <c r="I466" t="s">
        <v>4333</v>
      </c>
      <c r="J466" t="s">
        <v>4334</v>
      </c>
      <c r="K466" t="s">
        <v>74</v>
      </c>
      <c r="L466" t="s">
        <v>74</v>
      </c>
      <c r="M466" t="s">
        <v>74</v>
      </c>
      <c r="N466" t="s">
        <v>74</v>
      </c>
      <c r="O466" t="s">
        <v>74</v>
      </c>
      <c r="P466" t="s">
        <v>74</v>
      </c>
      <c r="Q466" t="s">
        <v>74</v>
      </c>
      <c r="R466" t="s">
        <v>74</v>
      </c>
      <c r="S466" t="s">
        <v>74</v>
      </c>
      <c r="T466" t="s">
        <v>74</v>
      </c>
      <c r="U466" t="s">
        <v>74</v>
      </c>
      <c r="V466" t="s">
        <v>4335</v>
      </c>
      <c r="W466" t="s">
        <v>74</v>
      </c>
      <c r="X466" t="s">
        <v>74</v>
      </c>
      <c r="Y466" t="s">
        <v>74</v>
      </c>
      <c r="Z466" t="s">
        <v>74</v>
      </c>
      <c r="AA466" t="s">
        <v>74</v>
      </c>
      <c r="AB466" t="s">
        <v>4336</v>
      </c>
      <c r="AC466" t="s">
        <v>74</v>
      </c>
      <c r="AD466" t="s">
        <v>74</v>
      </c>
      <c r="AE466" t="s">
        <v>74</v>
      </c>
      <c r="AF466" t="s">
        <v>74</v>
      </c>
      <c r="AG466" t="s">
        <v>74</v>
      </c>
      <c r="AH466" t="s">
        <v>74</v>
      </c>
      <c r="AI466" t="s">
        <v>74</v>
      </c>
      <c r="AJ466" t="s">
        <v>74</v>
      </c>
      <c r="AK466" t="s">
        <v>74</v>
      </c>
      <c r="AL466" t="s">
        <v>74</v>
      </c>
      <c r="AM466" t="s">
        <v>74</v>
      </c>
      <c r="AN466" t="s">
        <v>74</v>
      </c>
      <c r="AO466" t="s">
        <v>4337</v>
      </c>
      <c r="AP466" t="s">
        <v>4338</v>
      </c>
      <c r="AQ466" t="s">
        <v>74</v>
      </c>
      <c r="AR466" t="s">
        <v>74</v>
      </c>
      <c r="AS466" t="s">
        <v>74</v>
      </c>
      <c r="AT466" t="s">
        <v>389</v>
      </c>
      <c r="AU466">
        <v>2023</v>
      </c>
      <c r="AV466">
        <v>55</v>
      </c>
      <c r="AW466">
        <v>9</v>
      </c>
      <c r="AX466" t="s">
        <v>74</v>
      </c>
      <c r="AY466" t="s">
        <v>74</v>
      </c>
      <c r="AZ466" t="s">
        <v>74</v>
      </c>
      <c r="BA466" t="s">
        <v>74</v>
      </c>
      <c r="BB466" t="s">
        <v>74</v>
      </c>
      <c r="BC466" t="s">
        <v>74</v>
      </c>
      <c r="BD466">
        <v>189</v>
      </c>
      <c r="BE466" t="s">
        <v>4339</v>
      </c>
      <c r="BF466" t="str">
        <f>HYPERLINK("http://dx.doi.org/10.1145/3557999","http://dx.doi.org/10.1145/3557999")</f>
        <v>http://dx.doi.org/10.1145/3557999</v>
      </c>
      <c r="BG466" t="s">
        <v>74</v>
      </c>
      <c r="BH466" t="s">
        <v>74</v>
      </c>
      <c r="BI466" t="s">
        <v>74</v>
      </c>
      <c r="BJ466" t="s">
        <v>74</v>
      </c>
      <c r="BK466" t="s">
        <v>74</v>
      </c>
      <c r="BL466" t="s">
        <v>74</v>
      </c>
      <c r="BM466" t="s">
        <v>74</v>
      </c>
      <c r="BN466" t="s">
        <v>74</v>
      </c>
      <c r="BO466" t="s">
        <v>74</v>
      </c>
      <c r="BP466" t="s">
        <v>74</v>
      </c>
      <c r="BQ466" t="s">
        <v>74</v>
      </c>
      <c r="BR466" t="s">
        <v>74</v>
      </c>
      <c r="BS466" t="s">
        <v>4340</v>
      </c>
      <c r="BT466" t="str">
        <f>HYPERLINK("https%3A%2F%2Fwww.webofscience.com%2Fwos%2Fwoscc%2Ffull-record%2FWOS:000924882300015","View Full Record in Web of Science")</f>
        <v>View Full Record in Web of Science</v>
      </c>
    </row>
    <row r="467" spans="1:72" x14ac:dyDescent="0.25">
      <c r="A467" t="s">
        <v>72</v>
      </c>
      <c r="B467" t="s">
        <v>4341</v>
      </c>
      <c r="C467" t="s">
        <v>74</v>
      </c>
      <c r="D467" t="s">
        <v>74</v>
      </c>
      <c r="E467" t="s">
        <v>74</v>
      </c>
      <c r="F467" t="s">
        <v>4342</v>
      </c>
      <c r="G467" t="s">
        <v>74</v>
      </c>
      <c r="H467" t="s">
        <v>74</v>
      </c>
      <c r="I467" t="s">
        <v>4343</v>
      </c>
      <c r="J467" t="s">
        <v>460</v>
      </c>
      <c r="K467" t="s">
        <v>74</v>
      </c>
      <c r="L467" t="s">
        <v>74</v>
      </c>
      <c r="M467" t="s">
        <v>74</v>
      </c>
      <c r="N467" t="s">
        <v>74</v>
      </c>
      <c r="O467" t="s">
        <v>74</v>
      </c>
      <c r="P467" t="s">
        <v>74</v>
      </c>
      <c r="Q467" t="s">
        <v>74</v>
      </c>
      <c r="R467" t="s">
        <v>74</v>
      </c>
      <c r="S467" t="s">
        <v>74</v>
      </c>
      <c r="T467" t="s">
        <v>74</v>
      </c>
      <c r="U467" t="s">
        <v>74</v>
      </c>
      <c r="V467" t="s">
        <v>4344</v>
      </c>
      <c r="W467" t="s">
        <v>74</v>
      </c>
      <c r="X467" t="s">
        <v>74</v>
      </c>
      <c r="Y467" t="s">
        <v>74</v>
      </c>
      <c r="Z467" t="s">
        <v>74</v>
      </c>
      <c r="AA467" t="s">
        <v>74</v>
      </c>
      <c r="AB467" t="s">
        <v>74</v>
      </c>
      <c r="AC467" t="s">
        <v>74</v>
      </c>
      <c r="AD467" t="s">
        <v>74</v>
      </c>
      <c r="AE467" t="s">
        <v>74</v>
      </c>
      <c r="AF467" t="s">
        <v>74</v>
      </c>
      <c r="AG467" t="s">
        <v>74</v>
      </c>
      <c r="AH467" t="s">
        <v>74</v>
      </c>
      <c r="AI467" t="s">
        <v>74</v>
      </c>
      <c r="AJ467" t="s">
        <v>74</v>
      </c>
      <c r="AK467" t="s">
        <v>74</v>
      </c>
      <c r="AL467" t="s">
        <v>74</v>
      </c>
      <c r="AM467" t="s">
        <v>74</v>
      </c>
      <c r="AN467" t="s">
        <v>74</v>
      </c>
      <c r="AO467" t="s">
        <v>74</v>
      </c>
      <c r="AP467" t="s">
        <v>464</v>
      </c>
      <c r="AQ467" t="s">
        <v>74</v>
      </c>
      <c r="AR467" t="s">
        <v>74</v>
      </c>
      <c r="AS467" t="s">
        <v>74</v>
      </c>
      <c r="AT467" t="s">
        <v>1409</v>
      </c>
      <c r="AU467">
        <v>2022</v>
      </c>
      <c r="AV467">
        <v>14</v>
      </c>
      <c r="AW467">
        <v>11</v>
      </c>
      <c r="AX467" t="s">
        <v>74</v>
      </c>
      <c r="AY467" t="s">
        <v>74</v>
      </c>
      <c r="AZ467" t="s">
        <v>74</v>
      </c>
      <c r="BA467" t="s">
        <v>74</v>
      </c>
      <c r="BB467" t="s">
        <v>74</v>
      </c>
      <c r="BC467" t="s">
        <v>74</v>
      </c>
      <c r="BD467">
        <v>6932</v>
      </c>
      <c r="BE467" t="s">
        <v>4345</v>
      </c>
      <c r="BF467" t="str">
        <f>HYPERLINK("http://dx.doi.org/10.3390/su14116932","http://dx.doi.org/10.3390/su14116932")</f>
        <v>http://dx.doi.org/10.3390/su14116932</v>
      </c>
      <c r="BG467" t="s">
        <v>74</v>
      </c>
      <c r="BH467" t="s">
        <v>74</v>
      </c>
      <c r="BI467" t="s">
        <v>74</v>
      </c>
      <c r="BJ467" t="s">
        <v>74</v>
      </c>
      <c r="BK467" t="s">
        <v>74</v>
      </c>
      <c r="BL467" t="s">
        <v>74</v>
      </c>
      <c r="BM467" t="s">
        <v>74</v>
      </c>
      <c r="BN467" t="s">
        <v>74</v>
      </c>
      <c r="BO467" t="s">
        <v>74</v>
      </c>
      <c r="BP467" t="s">
        <v>74</v>
      </c>
      <c r="BQ467" t="s">
        <v>74</v>
      </c>
      <c r="BR467" t="s">
        <v>74</v>
      </c>
      <c r="BS467" t="s">
        <v>4346</v>
      </c>
      <c r="BT467" t="str">
        <f>HYPERLINK("https%3A%2F%2Fwww.webofscience.com%2Fwos%2Fwoscc%2Ffull-record%2FWOS:000809128300001","View Full Record in Web of Science")</f>
        <v>View Full Record in Web of Science</v>
      </c>
    </row>
    <row r="468" spans="1:72" x14ac:dyDescent="0.25">
      <c r="A468" t="s">
        <v>72</v>
      </c>
      <c r="B468" t="s">
        <v>4347</v>
      </c>
      <c r="C468" t="s">
        <v>74</v>
      </c>
      <c r="D468" t="s">
        <v>74</v>
      </c>
      <c r="E468" t="s">
        <v>74</v>
      </c>
      <c r="F468" t="s">
        <v>4348</v>
      </c>
      <c r="G468" t="s">
        <v>74</v>
      </c>
      <c r="H468" t="s">
        <v>74</v>
      </c>
      <c r="I468" t="s">
        <v>4349</v>
      </c>
      <c r="J468" t="s">
        <v>3603</v>
      </c>
      <c r="K468" t="s">
        <v>74</v>
      </c>
      <c r="L468" t="s">
        <v>74</v>
      </c>
      <c r="M468" t="s">
        <v>74</v>
      </c>
      <c r="N468" t="s">
        <v>74</v>
      </c>
      <c r="O468" t="s">
        <v>74</v>
      </c>
      <c r="P468" t="s">
        <v>74</v>
      </c>
      <c r="Q468" t="s">
        <v>74</v>
      </c>
      <c r="R468" t="s">
        <v>74</v>
      </c>
      <c r="S468" t="s">
        <v>74</v>
      </c>
      <c r="T468" t="s">
        <v>74</v>
      </c>
      <c r="U468" t="s">
        <v>74</v>
      </c>
      <c r="V468" t="s">
        <v>4350</v>
      </c>
      <c r="W468" t="s">
        <v>74</v>
      </c>
      <c r="X468" t="s">
        <v>74</v>
      </c>
      <c r="Y468" t="s">
        <v>74</v>
      </c>
      <c r="Z468" t="s">
        <v>74</v>
      </c>
      <c r="AA468" t="s">
        <v>4351</v>
      </c>
      <c r="AB468" t="s">
        <v>4352</v>
      </c>
      <c r="AC468" t="s">
        <v>74</v>
      </c>
      <c r="AD468" t="s">
        <v>74</v>
      </c>
      <c r="AE468" t="s">
        <v>74</v>
      </c>
      <c r="AF468" t="s">
        <v>74</v>
      </c>
      <c r="AG468" t="s">
        <v>74</v>
      </c>
      <c r="AH468" t="s">
        <v>74</v>
      </c>
      <c r="AI468" t="s">
        <v>74</v>
      </c>
      <c r="AJ468" t="s">
        <v>74</v>
      </c>
      <c r="AK468" t="s">
        <v>74</v>
      </c>
      <c r="AL468" t="s">
        <v>74</v>
      </c>
      <c r="AM468" t="s">
        <v>74</v>
      </c>
      <c r="AN468" t="s">
        <v>74</v>
      </c>
      <c r="AO468" t="s">
        <v>3607</v>
      </c>
      <c r="AP468" t="s">
        <v>3608</v>
      </c>
      <c r="AQ468" t="s">
        <v>74</v>
      </c>
      <c r="AR468" t="s">
        <v>74</v>
      </c>
      <c r="AS468" t="s">
        <v>74</v>
      </c>
      <c r="AT468" t="s">
        <v>74</v>
      </c>
      <c r="AU468" t="s">
        <v>74</v>
      </c>
      <c r="AV468" t="s">
        <v>74</v>
      </c>
      <c r="AW468" t="s">
        <v>74</v>
      </c>
      <c r="AX468" t="s">
        <v>74</v>
      </c>
      <c r="AY468" t="s">
        <v>74</v>
      </c>
      <c r="AZ468" t="s">
        <v>74</v>
      </c>
      <c r="BA468" t="s">
        <v>74</v>
      </c>
      <c r="BB468" t="s">
        <v>74</v>
      </c>
      <c r="BC468" t="s">
        <v>74</v>
      </c>
      <c r="BD468" t="s">
        <v>74</v>
      </c>
      <c r="BE468" t="s">
        <v>4353</v>
      </c>
      <c r="BF468" t="str">
        <f>HYPERLINK("http://dx.doi.org/10.1002/adfm.202212252","http://dx.doi.org/10.1002/adfm.202212252")</f>
        <v>http://dx.doi.org/10.1002/adfm.202212252</v>
      </c>
      <c r="BG468" t="s">
        <v>74</v>
      </c>
      <c r="BH468" t="s">
        <v>426</v>
      </c>
      <c r="BI468" t="s">
        <v>74</v>
      </c>
      <c r="BJ468" t="s">
        <v>74</v>
      </c>
      <c r="BK468" t="s">
        <v>74</v>
      </c>
      <c r="BL468" t="s">
        <v>74</v>
      </c>
      <c r="BM468" t="s">
        <v>74</v>
      </c>
      <c r="BN468" t="s">
        <v>74</v>
      </c>
      <c r="BO468" t="s">
        <v>74</v>
      </c>
      <c r="BP468" t="s">
        <v>74</v>
      </c>
      <c r="BQ468" t="s">
        <v>74</v>
      </c>
      <c r="BR468" t="s">
        <v>74</v>
      </c>
      <c r="BS468" t="s">
        <v>4354</v>
      </c>
      <c r="BT468" t="str">
        <f>HYPERLINK("https%3A%2F%2Fwww.webofscience.com%2Fwos%2Fwoscc%2Ffull-record%2FWOS:000901926000001","View Full Record in Web of Science")</f>
        <v>View Full Record in Web of Science</v>
      </c>
    </row>
    <row r="469" spans="1:72" x14ac:dyDescent="0.25">
      <c r="A469" t="s">
        <v>72</v>
      </c>
      <c r="B469" t="s">
        <v>4355</v>
      </c>
      <c r="C469" t="s">
        <v>74</v>
      </c>
      <c r="D469" t="s">
        <v>74</v>
      </c>
      <c r="E469" t="s">
        <v>74</v>
      </c>
      <c r="F469" t="s">
        <v>4356</v>
      </c>
      <c r="G469" t="s">
        <v>74</v>
      </c>
      <c r="H469" t="s">
        <v>74</v>
      </c>
      <c r="I469" t="s">
        <v>4357</v>
      </c>
      <c r="J469" t="s">
        <v>3956</v>
      </c>
      <c r="K469" t="s">
        <v>74</v>
      </c>
      <c r="L469" t="s">
        <v>74</v>
      </c>
      <c r="M469" t="s">
        <v>74</v>
      </c>
      <c r="N469" t="s">
        <v>74</v>
      </c>
      <c r="O469" t="s">
        <v>74</v>
      </c>
      <c r="P469" t="s">
        <v>74</v>
      </c>
      <c r="Q469" t="s">
        <v>74</v>
      </c>
      <c r="R469" t="s">
        <v>74</v>
      </c>
      <c r="S469" t="s">
        <v>74</v>
      </c>
      <c r="T469" t="s">
        <v>74</v>
      </c>
      <c r="U469" t="s">
        <v>74</v>
      </c>
      <c r="V469" t="s">
        <v>4358</v>
      </c>
      <c r="W469" t="s">
        <v>74</v>
      </c>
      <c r="X469" t="s">
        <v>74</v>
      </c>
      <c r="Y469" t="s">
        <v>74</v>
      </c>
      <c r="Z469" t="s">
        <v>74</v>
      </c>
      <c r="AA469" t="s">
        <v>74</v>
      </c>
      <c r="AB469" t="s">
        <v>74</v>
      </c>
      <c r="AC469" t="s">
        <v>74</v>
      </c>
      <c r="AD469" t="s">
        <v>74</v>
      </c>
      <c r="AE469" t="s">
        <v>74</v>
      </c>
      <c r="AF469" t="s">
        <v>74</v>
      </c>
      <c r="AG469" t="s">
        <v>74</v>
      </c>
      <c r="AH469" t="s">
        <v>74</v>
      </c>
      <c r="AI469" t="s">
        <v>74</v>
      </c>
      <c r="AJ469" t="s">
        <v>74</v>
      </c>
      <c r="AK469" t="s">
        <v>74</v>
      </c>
      <c r="AL469" t="s">
        <v>74</v>
      </c>
      <c r="AM469" t="s">
        <v>74</v>
      </c>
      <c r="AN469" t="s">
        <v>74</v>
      </c>
      <c r="AO469" t="s">
        <v>3960</v>
      </c>
      <c r="AP469" t="s">
        <v>3961</v>
      </c>
      <c r="AQ469" t="s">
        <v>74</v>
      </c>
      <c r="AR469" t="s">
        <v>74</v>
      </c>
      <c r="AS469" t="s">
        <v>74</v>
      </c>
      <c r="AT469" t="s">
        <v>465</v>
      </c>
      <c r="AU469">
        <v>2023</v>
      </c>
      <c r="AV469">
        <v>15</v>
      </c>
      <c r="AW469">
        <v>1</v>
      </c>
      <c r="AX469" t="s">
        <v>74</v>
      </c>
      <c r="AY469" t="s">
        <v>74</v>
      </c>
      <c r="AZ469" t="s">
        <v>74</v>
      </c>
      <c r="BA469" t="s">
        <v>74</v>
      </c>
      <c r="BB469" t="s">
        <v>74</v>
      </c>
      <c r="BC469" t="s">
        <v>74</v>
      </c>
      <c r="BD469">
        <v>102</v>
      </c>
      <c r="BE469" t="s">
        <v>4359</v>
      </c>
      <c r="BF469" t="str">
        <f>HYPERLINK("http://dx.doi.org/10.1007/s40820-023-01084-8","http://dx.doi.org/10.1007/s40820-023-01084-8")</f>
        <v>http://dx.doi.org/10.1007/s40820-023-01084-8</v>
      </c>
      <c r="BG469" t="s">
        <v>74</v>
      </c>
      <c r="BH469" t="s">
        <v>74</v>
      </c>
      <c r="BI469" t="s">
        <v>74</v>
      </c>
      <c r="BJ469" t="s">
        <v>74</v>
      </c>
      <c r="BK469" t="s">
        <v>74</v>
      </c>
      <c r="BL469" t="s">
        <v>74</v>
      </c>
      <c r="BM469" t="s">
        <v>74</v>
      </c>
      <c r="BN469">
        <v>37052831</v>
      </c>
      <c r="BO469" t="s">
        <v>74</v>
      </c>
      <c r="BP469" t="s">
        <v>74</v>
      </c>
      <c r="BQ469" t="s">
        <v>74</v>
      </c>
      <c r="BR469" t="s">
        <v>74</v>
      </c>
      <c r="BS469" t="s">
        <v>4360</v>
      </c>
      <c r="BT469" t="str">
        <f>HYPERLINK("https%3A%2F%2Fwww.webofscience.com%2Fwos%2Fwoscc%2Ffull-record%2FWOS:000971282800001","View Full Record in Web of Science")</f>
        <v>View Full Record in Web of Science</v>
      </c>
    </row>
    <row r="470" spans="1:72" x14ac:dyDescent="0.25">
      <c r="A470" t="s">
        <v>84</v>
      </c>
      <c r="B470" t="s">
        <v>4361</v>
      </c>
      <c r="C470" t="s">
        <v>74</v>
      </c>
      <c r="D470" t="s">
        <v>4362</v>
      </c>
      <c r="E470" t="s">
        <v>74</v>
      </c>
      <c r="F470" t="s">
        <v>4363</v>
      </c>
      <c r="G470" t="s">
        <v>74</v>
      </c>
      <c r="H470" t="s">
        <v>74</v>
      </c>
      <c r="I470" t="s">
        <v>4364</v>
      </c>
      <c r="J470" t="s">
        <v>4365</v>
      </c>
      <c r="K470" t="s">
        <v>158</v>
      </c>
      <c r="L470" t="s">
        <v>74</v>
      </c>
      <c r="M470" t="s">
        <v>74</v>
      </c>
      <c r="N470" t="s">
        <v>74</v>
      </c>
      <c r="O470" t="s">
        <v>4366</v>
      </c>
      <c r="P470" t="s">
        <v>4367</v>
      </c>
      <c r="Q470" t="s">
        <v>4368</v>
      </c>
      <c r="R470" t="s">
        <v>74</v>
      </c>
      <c r="S470" t="s">
        <v>74</v>
      </c>
      <c r="T470" t="s">
        <v>74</v>
      </c>
      <c r="U470" t="s">
        <v>74</v>
      </c>
      <c r="V470" t="s">
        <v>4369</v>
      </c>
      <c r="W470" t="s">
        <v>74</v>
      </c>
      <c r="X470" t="s">
        <v>74</v>
      </c>
      <c r="Y470" t="s">
        <v>74</v>
      </c>
      <c r="Z470" t="s">
        <v>74</v>
      </c>
      <c r="AA470" t="s">
        <v>74</v>
      </c>
      <c r="AB470" t="s">
        <v>74</v>
      </c>
      <c r="AC470" t="s">
        <v>74</v>
      </c>
      <c r="AD470" t="s">
        <v>74</v>
      </c>
      <c r="AE470" t="s">
        <v>74</v>
      </c>
      <c r="AF470" t="s">
        <v>74</v>
      </c>
      <c r="AG470" t="s">
        <v>74</v>
      </c>
      <c r="AH470" t="s">
        <v>74</v>
      </c>
      <c r="AI470" t="s">
        <v>74</v>
      </c>
      <c r="AJ470" t="s">
        <v>74</v>
      </c>
      <c r="AK470" t="s">
        <v>74</v>
      </c>
      <c r="AL470" t="s">
        <v>74</v>
      </c>
      <c r="AM470" t="s">
        <v>74</v>
      </c>
      <c r="AN470" t="s">
        <v>74</v>
      </c>
      <c r="AO470" t="s">
        <v>164</v>
      </c>
      <c r="AP470" t="s">
        <v>165</v>
      </c>
      <c r="AQ470" t="s">
        <v>4370</v>
      </c>
      <c r="AR470" t="s">
        <v>74</v>
      </c>
      <c r="AS470" t="s">
        <v>74</v>
      </c>
      <c r="AT470" t="s">
        <v>74</v>
      </c>
      <c r="AU470">
        <v>2022</v>
      </c>
      <c r="AV470">
        <v>13301</v>
      </c>
      <c r="AW470" t="s">
        <v>74</v>
      </c>
      <c r="AX470" t="s">
        <v>74</v>
      </c>
      <c r="AY470" t="s">
        <v>74</v>
      </c>
      <c r="AZ470" t="s">
        <v>74</v>
      </c>
      <c r="BA470" t="s">
        <v>74</v>
      </c>
      <c r="BB470">
        <v>170</v>
      </c>
      <c r="BC470">
        <v>179</v>
      </c>
      <c r="BD470" t="s">
        <v>74</v>
      </c>
      <c r="BE470" t="s">
        <v>4371</v>
      </c>
      <c r="BF470" t="str">
        <f>HYPERLINK("http://dx.doi.org/10.1007/978-3-031-07689-3_13","http://dx.doi.org/10.1007/978-3-031-07689-3_13")</f>
        <v>http://dx.doi.org/10.1007/978-3-031-07689-3_13</v>
      </c>
      <c r="BG470" t="s">
        <v>74</v>
      </c>
      <c r="BH470" t="s">
        <v>74</v>
      </c>
      <c r="BI470" t="s">
        <v>74</v>
      </c>
      <c r="BJ470" t="s">
        <v>74</v>
      </c>
      <c r="BK470" t="s">
        <v>74</v>
      </c>
      <c r="BL470" t="s">
        <v>74</v>
      </c>
      <c r="BM470" t="s">
        <v>74</v>
      </c>
      <c r="BN470" t="s">
        <v>74</v>
      </c>
      <c r="BO470" t="s">
        <v>74</v>
      </c>
      <c r="BP470" t="s">
        <v>74</v>
      </c>
      <c r="BQ470" t="s">
        <v>74</v>
      </c>
      <c r="BR470" t="s">
        <v>74</v>
      </c>
      <c r="BS470" t="s">
        <v>4372</v>
      </c>
      <c r="BT470" t="str">
        <f>HYPERLINK("https%3A%2F%2Fwww.webofscience.com%2Fwos%2Fwoscc%2Ffull-record%2FWOS:000876373600013","View Full Record in Web of Science")</f>
        <v>View Full Record in Web of Science</v>
      </c>
    </row>
    <row r="471" spans="1:72" x14ac:dyDescent="0.25">
      <c r="A471" t="s">
        <v>84</v>
      </c>
      <c r="B471" t="s">
        <v>4373</v>
      </c>
      <c r="C471" t="s">
        <v>74</v>
      </c>
      <c r="D471" t="s">
        <v>848</v>
      </c>
      <c r="E471" t="s">
        <v>74</v>
      </c>
      <c r="F471" t="s">
        <v>4374</v>
      </c>
      <c r="G471" t="s">
        <v>74</v>
      </c>
      <c r="H471" t="s">
        <v>74</v>
      </c>
      <c r="I471" t="s">
        <v>4375</v>
      </c>
      <c r="J471" t="s">
        <v>851</v>
      </c>
      <c r="K471" t="s">
        <v>158</v>
      </c>
      <c r="L471" t="s">
        <v>74</v>
      </c>
      <c r="M471" t="s">
        <v>74</v>
      </c>
      <c r="N471" t="s">
        <v>74</v>
      </c>
      <c r="O471" t="s">
        <v>852</v>
      </c>
      <c r="P471" t="s">
        <v>288</v>
      </c>
      <c r="Q471" t="s">
        <v>108</v>
      </c>
      <c r="R471" t="s">
        <v>74</v>
      </c>
      <c r="S471" t="s">
        <v>74</v>
      </c>
      <c r="T471" t="s">
        <v>74</v>
      </c>
      <c r="U471" t="s">
        <v>74</v>
      </c>
      <c r="V471" t="s">
        <v>4376</v>
      </c>
      <c r="W471" t="s">
        <v>74</v>
      </c>
      <c r="X471" t="s">
        <v>74</v>
      </c>
      <c r="Y471" t="s">
        <v>74</v>
      </c>
      <c r="Z471" t="s">
        <v>74</v>
      </c>
      <c r="AA471" t="s">
        <v>4377</v>
      </c>
      <c r="AB471" t="s">
        <v>4378</v>
      </c>
      <c r="AC471" t="s">
        <v>74</v>
      </c>
      <c r="AD471" t="s">
        <v>74</v>
      </c>
      <c r="AE471" t="s">
        <v>74</v>
      </c>
      <c r="AF471" t="s">
        <v>74</v>
      </c>
      <c r="AG471" t="s">
        <v>74</v>
      </c>
      <c r="AH471" t="s">
        <v>74</v>
      </c>
      <c r="AI471" t="s">
        <v>74</v>
      </c>
      <c r="AJ471" t="s">
        <v>74</v>
      </c>
      <c r="AK471" t="s">
        <v>74</v>
      </c>
      <c r="AL471" t="s">
        <v>74</v>
      </c>
      <c r="AM471" t="s">
        <v>74</v>
      </c>
      <c r="AN471" t="s">
        <v>74</v>
      </c>
      <c r="AO471" t="s">
        <v>164</v>
      </c>
      <c r="AP471" t="s">
        <v>165</v>
      </c>
      <c r="AQ471" t="s">
        <v>854</v>
      </c>
      <c r="AR471" t="s">
        <v>74</v>
      </c>
      <c r="AS471" t="s">
        <v>74</v>
      </c>
      <c r="AT471" t="s">
        <v>74</v>
      </c>
      <c r="AU471">
        <v>2022</v>
      </c>
      <c r="AV471">
        <v>13317</v>
      </c>
      <c r="AW471" t="s">
        <v>74</v>
      </c>
      <c r="AX471" t="s">
        <v>74</v>
      </c>
      <c r="AY471" t="s">
        <v>74</v>
      </c>
      <c r="AZ471" t="s">
        <v>74</v>
      </c>
      <c r="BA471" t="s">
        <v>74</v>
      </c>
      <c r="BB471">
        <v>495</v>
      </c>
      <c r="BC471">
        <v>504</v>
      </c>
      <c r="BD471" t="s">
        <v>74</v>
      </c>
      <c r="BE471" t="s">
        <v>4379</v>
      </c>
      <c r="BF471" t="str">
        <f>HYPERLINK("http://dx.doi.org/10.1007/978-3-031-05939-1_34","http://dx.doi.org/10.1007/978-3-031-05939-1_34")</f>
        <v>http://dx.doi.org/10.1007/978-3-031-05939-1_34</v>
      </c>
      <c r="BG471" t="s">
        <v>74</v>
      </c>
      <c r="BH471" t="s">
        <v>74</v>
      </c>
      <c r="BI471" t="s">
        <v>74</v>
      </c>
      <c r="BJ471" t="s">
        <v>74</v>
      </c>
      <c r="BK471" t="s">
        <v>74</v>
      </c>
      <c r="BL471" t="s">
        <v>74</v>
      </c>
      <c r="BM471" t="s">
        <v>74</v>
      </c>
      <c r="BN471" t="s">
        <v>74</v>
      </c>
      <c r="BO471" t="s">
        <v>74</v>
      </c>
      <c r="BP471" t="s">
        <v>74</v>
      </c>
      <c r="BQ471" t="s">
        <v>74</v>
      </c>
      <c r="BR471" t="s">
        <v>74</v>
      </c>
      <c r="BS471" t="s">
        <v>4380</v>
      </c>
      <c r="BT471" t="str">
        <f>HYPERLINK("https%3A%2F%2Fwww.webofscience.com%2Fwos%2Fwoscc%2Ffull-record%2FWOS:000870217300032","View Full Record in Web of Science")</f>
        <v>View Full Record in Web of Science</v>
      </c>
    </row>
    <row r="472" spans="1:72" x14ac:dyDescent="0.25">
      <c r="A472" t="s">
        <v>72</v>
      </c>
      <c r="B472" t="s">
        <v>4381</v>
      </c>
      <c r="C472" t="s">
        <v>74</v>
      </c>
      <c r="D472" t="s">
        <v>74</v>
      </c>
      <c r="E472" t="s">
        <v>74</v>
      </c>
      <c r="F472" t="s">
        <v>4382</v>
      </c>
      <c r="G472" t="s">
        <v>74</v>
      </c>
      <c r="H472" t="s">
        <v>74</v>
      </c>
      <c r="I472" t="s">
        <v>4383</v>
      </c>
      <c r="J472" t="s">
        <v>460</v>
      </c>
      <c r="K472" t="s">
        <v>74</v>
      </c>
      <c r="L472" t="s">
        <v>74</v>
      </c>
      <c r="M472" t="s">
        <v>74</v>
      </c>
      <c r="N472" t="s">
        <v>74</v>
      </c>
      <c r="O472" t="s">
        <v>74</v>
      </c>
      <c r="P472" t="s">
        <v>74</v>
      </c>
      <c r="Q472" t="s">
        <v>74</v>
      </c>
      <c r="R472" t="s">
        <v>74</v>
      </c>
      <c r="S472" t="s">
        <v>74</v>
      </c>
      <c r="T472" t="s">
        <v>74</v>
      </c>
      <c r="U472" t="s">
        <v>74</v>
      </c>
      <c r="V472" t="s">
        <v>4384</v>
      </c>
      <c r="W472" t="s">
        <v>74</v>
      </c>
      <c r="X472" t="s">
        <v>74</v>
      </c>
      <c r="Y472" t="s">
        <v>74</v>
      </c>
      <c r="Z472" t="s">
        <v>74</v>
      </c>
      <c r="AA472" t="s">
        <v>4385</v>
      </c>
      <c r="AB472" t="s">
        <v>4386</v>
      </c>
      <c r="AC472" t="s">
        <v>74</v>
      </c>
      <c r="AD472" t="s">
        <v>74</v>
      </c>
      <c r="AE472" t="s">
        <v>74</v>
      </c>
      <c r="AF472" t="s">
        <v>74</v>
      </c>
      <c r="AG472" t="s">
        <v>74</v>
      </c>
      <c r="AH472" t="s">
        <v>74</v>
      </c>
      <c r="AI472" t="s">
        <v>74</v>
      </c>
      <c r="AJ472" t="s">
        <v>74</v>
      </c>
      <c r="AK472" t="s">
        <v>74</v>
      </c>
      <c r="AL472" t="s">
        <v>74</v>
      </c>
      <c r="AM472" t="s">
        <v>74</v>
      </c>
      <c r="AN472" t="s">
        <v>74</v>
      </c>
      <c r="AO472" t="s">
        <v>74</v>
      </c>
      <c r="AP472" t="s">
        <v>464</v>
      </c>
      <c r="AQ472" t="s">
        <v>74</v>
      </c>
      <c r="AR472" t="s">
        <v>74</v>
      </c>
      <c r="AS472" t="s">
        <v>74</v>
      </c>
      <c r="AT472" t="s">
        <v>465</v>
      </c>
      <c r="AU472">
        <v>2022</v>
      </c>
      <c r="AV472">
        <v>14</v>
      </c>
      <c r="AW472">
        <v>23</v>
      </c>
      <c r="AX472" t="s">
        <v>74</v>
      </c>
      <c r="AY472" t="s">
        <v>74</v>
      </c>
      <c r="AZ472" t="s">
        <v>74</v>
      </c>
      <c r="BA472" t="s">
        <v>74</v>
      </c>
      <c r="BB472" t="s">
        <v>74</v>
      </c>
      <c r="BC472" t="s">
        <v>74</v>
      </c>
      <c r="BD472">
        <v>15681</v>
      </c>
      <c r="BE472" t="s">
        <v>4387</v>
      </c>
      <c r="BF472" t="str">
        <f>HYPERLINK("http://dx.doi.org/10.3390/su142315681","http://dx.doi.org/10.3390/su142315681")</f>
        <v>http://dx.doi.org/10.3390/su142315681</v>
      </c>
      <c r="BG472" t="s">
        <v>74</v>
      </c>
      <c r="BH472" t="s">
        <v>74</v>
      </c>
      <c r="BI472" t="s">
        <v>74</v>
      </c>
      <c r="BJ472" t="s">
        <v>74</v>
      </c>
      <c r="BK472" t="s">
        <v>74</v>
      </c>
      <c r="BL472" t="s">
        <v>74</v>
      </c>
      <c r="BM472" t="s">
        <v>74</v>
      </c>
      <c r="BN472" t="s">
        <v>74</v>
      </c>
      <c r="BO472" t="s">
        <v>74</v>
      </c>
      <c r="BP472" t="s">
        <v>74</v>
      </c>
      <c r="BQ472" t="s">
        <v>74</v>
      </c>
      <c r="BR472" t="s">
        <v>74</v>
      </c>
      <c r="BS472" t="s">
        <v>4388</v>
      </c>
      <c r="BT472" t="str">
        <f>HYPERLINK("https%3A%2F%2Fwww.webofscience.com%2Fwos%2Fwoscc%2Ffull-record%2FWOS:000897284400001","View Full Record in Web of Science")</f>
        <v>View Full Record in Web of Science</v>
      </c>
    </row>
    <row r="473" spans="1:72" x14ac:dyDescent="0.25">
      <c r="A473" t="s">
        <v>72</v>
      </c>
      <c r="B473" t="s">
        <v>4389</v>
      </c>
      <c r="C473" t="s">
        <v>74</v>
      </c>
      <c r="D473" t="s">
        <v>74</v>
      </c>
      <c r="E473" t="s">
        <v>74</v>
      </c>
      <c r="F473" t="s">
        <v>4390</v>
      </c>
      <c r="G473" t="s">
        <v>74</v>
      </c>
      <c r="H473" t="s">
        <v>74</v>
      </c>
      <c r="I473" t="s">
        <v>4391</v>
      </c>
      <c r="J473" t="s">
        <v>4392</v>
      </c>
      <c r="K473" t="s">
        <v>74</v>
      </c>
      <c r="L473" t="s">
        <v>74</v>
      </c>
      <c r="M473" t="s">
        <v>74</v>
      </c>
      <c r="N473" t="s">
        <v>74</v>
      </c>
      <c r="O473" t="s">
        <v>74</v>
      </c>
      <c r="P473" t="s">
        <v>74</v>
      </c>
      <c r="Q473" t="s">
        <v>74</v>
      </c>
      <c r="R473" t="s">
        <v>74</v>
      </c>
      <c r="S473" t="s">
        <v>74</v>
      </c>
      <c r="T473" t="s">
        <v>74</v>
      </c>
      <c r="U473" t="s">
        <v>74</v>
      </c>
      <c r="V473" t="s">
        <v>4393</v>
      </c>
      <c r="W473" t="s">
        <v>74</v>
      </c>
      <c r="X473" t="s">
        <v>74</v>
      </c>
      <c r="Y473" t="s">
        <v>74</v>
      </c>
      <c r="Z473" t="s">
        <v>74</v>
      </c>
      <c r="AA473" t="s">
        <v>74</v>
      </c>
      <c r="AB473" t="s">
        <v>4394</v>
      </c>
      <c r="AC473" t="s">
        <v>74</v>
      </c>
      <c r="AD473" t="s">
        <v>74</v>
      </c>
      <c r="AE473" t="s">
        <v>74</v>
      </c>
      <c r="AF473" t="s">
        <v>74</v>
      </c>
      <c r="AG473" t="s">
        <v>74</v>
      </c>
      <c r="AH473" t="s">
        <v>74</v>
      </c>
      <c r="AI473" t="s">
        <v>74</v>
      </c>
      <c r="AJ473" t="s">
        <v>74</v>
      </c>
      <c r="AK473" t="s">
        <v>74</v>
      </c>
      <c r="AL473" t="s">
        <v>74</v>
      </c>
      <c r="AM473" t="s">
        <v>74</v>
      </c>
      <c r="AN473" t="s">
        <v>74</v>
      </c>
      <c r="AO473" t="s">
        <v>4395</v>
      </c>
      <c r="AP473" t="s">
        <v>4396</v>
      </c>
      <c r="AQ473" t="s">
        <v>74</v>
      </c>
      <c r="AR473" t="s">
        <v>74</v>
      </c>
      <c r="AS473" t="s">
        <v>74</v>
      </c>
      <c r="AT473" t="s">
        <v>74</v>
      </c>
      <c r="AU473" t="s">
        <v>74</v>
      </c>
      <c r="AV473" t="s">
        <v>74</v>
      </c>
      <c r="AW473" t="s">
        <v>74</v>
      </c>
      <c r="AX473" t="s">
        <v>74</v>
      </c>
      <c r="AY473" t="s">
        <v>74</v>
      </c>
      <c r="AZ473" t="s">
        <v>74</v>
      </c>
      <c r="BA473" t="s">
        <v>74</v>
      </c>
      <c r="BB473" t="s">
        <v>74</v>
      </c>
      <c r="BC473" t="s">
        <v>74</v>
      </c>
      <c r="BD473" t="s">
        <v>74</v>
      </c>
      <c r="BE473" t="s">
        <v>4397</v>
      </c>
      <c r="BF473" t="str">
        <f>HYPERLINK("http://dx.doi.org/10.1049/cit2.12162","http://dx.doi.org/10.1049/cit2.12162")</f>
        <v>http://dx.doi.org/10.1049/cit2.12162</v>
      </c>
      <c r="BG473" t="s">
        <v>74</v>
      </c>
      <c r="BH473" t="s">
        <v>151</v>
      </c>
      <c r="BI473" t="s">
        <v>74</v>
      </c>
      <c r="BJ473" t="s">
        <v>74</v>
      </c>
      <c r="BK473" t="s">
        <v>74</v>
      </c>
      <c r="BL473" t="s">
        <v>74</v>
      </c>
      <c r="BM473" t="s">
        <v>74</v>
      </c>
      <c r="BN473" t="s">
        <v>74</v>
      </c>
      <c r="BO473" t="s">
        <v>74</v>
      </c>
      <c r="BP473" t="s">
        <v>74</v>
      </c>
      <c r="BQ473" t="s">
        <v>74</v>
      </c>
      <c r="BR473" t="s">
        <v>74</v>
      </c>
      <c r="BS473" t="s">
        <v>4398</v>
      </c>
      <c r="BT473" t="str">
        <f>HYPERLINK("https%3A%2F%2Fwww.webofscience.com%2Fwos%2Fwoscc%2Ffull-record%2FWOS:000917754200001","View Full Record in Web of Science")</f>
        <v>View Full Record in Web of Science</v>
      </c>
    </row>
    <row r="474" spans="1:72" x14ac:dyDescent="0.25">
      <c r="A474" t="s">
        <v>72</v>
      </c>
      <c r="B474" t="s">
        <v>4399</v>
      </c>
      <c r="C474" t="s">
        <v>74</v>
      </c>
      <c r="D474" t="s">
        <v>74</v>
      </c>
      <c r="E474" t="s">
        <v>74</v>
      </c>
      <c r="F474" t="s">
        <v>4400</v>
      </c>
      <c r="G474" t="s">
        <v>74</v>
      </c>
      <c r="H474" t="s">
        <v>74</v>
      </c>
      <c r="I474" t="s">
        <v>4401</v>
      </c>
      <c r="J474" t="s">
        <v>873</v>
      </c>
      <c r="K474" t="s">
        <v>74</v>
      </c>
      <c r="L474" t="s">
        <v>74</v>
      </c>
      <c r="M474" t="s">
        <v>74</v>
      </c>
      <c r="N474" t="s">
        <v>74</v>
      </c>
      <c r="O474" t="s">
        <v>74</v>
      </c>
      <c r="P474" t="s">
        <v>74</v>
      </c>
      <c r="Q474" t="s">
        <v>74</v>
      </c>
      <c r="R474" t="s">
        <v>74</v>
      </c>
      <c r="S474" t="s">
        <v>74</v>
      </c>
      <c r="T474" t="s">
        <v>74</v>
      </c>
      <c r="U474" t="s">
        <v>74</v>
      </c>
      <c r="V474" t="s">
        <v>4402</v>
      </c>
      <c r="W474" t="s">
        <v>74</v>
      </c>
      <c r="X474" t="s">
        <v>74</v>
      </c>
      <c r="Y474" t="s">
        <v>74</v>
      </c>
      <c r="Z474" t="s">
        <v>74</v>
      </c>
      <c r="AA474" t="s">
        <v>4403</v>
      </c>
      <c r="AB474" t="s">
        <v>74</v>
      </c>
      <c r="AC474" t="s">
        <v>74</v>
      </c>
      <c r="AD474" t="s">
        <v>74</v>
      </c>
      <c r="AE474" t="s">
        <v>74</v>
      </c>
      <c r="AF474" t="s">
        <v>74</v>
      </c>
      <c r="AG474" t="s">
        <v>74</v>
      </c>
      <c r="AH474" t="s">
        <v>74</v>
      </c>
      <c r="AI474" t="s">
        <v>74</v>
      </c>
      <c r="AJ474" t="s">
        <v>74</v>
      </c>
      <c r="AK474" t="s">
        <v>74</v>
      </c>
      <c r="AL474" t="s">
        <v>74</v>
      </c>
      <c r="AM474" t="s">
        <v>74</v>
      </c>
      <c r="AN474" t="s">
        <v>74</v>
      </c>
      <c r="AO474" t="s">
        <v>74</v>
      </c>
      <c r="AP474" t="s">
        <v>877</v>
      </c>
      <c r="AQ474" t="s">
        <v>74</v>
      </c>
      <c r="AR474" t="s">
        <v>74</v>
      </c>
      <c r="AS474" t="s">
        <v>74</v>
      </c>
      <c r="AT474" t="s">
        <v>1409</v>
      </c>
      <c r="AU474">
        <v>2022</v>
      </c>
      <c r="AV474">
        <v>22</v>
      </c>
      <c r="AW474">
        <v>11</v>
      </c>
      <c r="AX474" t="s">
        <v>74</v>
      </c>
      <c r="AY474" t="s">
        <v>74</v>
      </c>
      <c r="AZ474" t="s">
        <v>74</v>
      </c>
      <c r="BA474" t="s">
        <v>74</v>
      </c>
      <c r="BB474" t="s">
        <v>74</v>
      </c>
      <c r="BC474" t="s">
        <v>74</v>
      </c>
      <c r="BD474">
        <v>4020</v>
      </c>
      <c r="BE474" t="s">
        <v>4404</v>
      </c>
      <c r="BF474" t="str">
        <f>HYPERLINK("http://dx.doi.org/10.3390/s22114020","http://dx.doi.org/10.3390/s22114020")</f>
        <v>http://dx.doi.org/10.3390/s22114020</v>
      </c>
      <c r="BG474" t="s">
        <v>74</v>
      </c>
      <c r="BH474" t="s">
        <v>74</v>
      </c>
      <c r="BI474" t="s">
        <v>74</v>
      </c>
      <c r="BJ474" t="s">
        <v>74</v>
      </c>
      <c r="BK474" t="s">
        <v>74</v>
      </c>
      <c r="BL474" t="s">
        <v>74</v>
      </c>
      <c r="BM474" t="s">
        <v>74</v>
      </c>
      <c r="BN474">
        <v>35684641</v>
      </c>
      <c r="BO474" t="s">
        <v>74</v>
      </c>
      <c r="BP474" t="s">
        <v>74</v>
      </c>
      <c r="BQ474" t="s">
        <v>74</v>
      </c>
      <c r="BR474" t="s">
        <v>74</v>
      </c>
      <c r="BS474" t="s">
        <v>4405</v>
      </c>
      <c r="BT474" t="str">
        <f>HYPERLINK("https%3A%2F%2Fwww.webofscience.com%2Fwos%2Fwoscc%2Ffull-record%2FWOS:000809890700001","View Full Record in Web of Science")</f>
        <v>View Full Record in Web of Science</v>
      </c>
    </row>
    <row r="475" spans="1:72" x14ac:dyDescent="0.25">
      <c r="A475" t="s">
        <v>72</v>
      </c>
      <c r="B475" t="s">
        <v>4406</v>
      </c>
      <c r="C475" t="s">
        <v>74</v>
      </c>
      <c r="D475" t="s">
        <v>74</v>
      </c>
      <c r="E475" t="s">
        <v>74</v>
      </c>
      <c r="F475" t="s">
        <v>4407</v>
      </c>
      <c r="G475" t="s">
        <v>74</v>
      </c>
      <c r="H475" t="s">
        <v>74</v>
      </c>
      <c r="I475" t="s">
        <v>4408</v>
      </c>
      <c r="J475" t="s">
        <v>4409</v>
      </c>
      <c r="K475" t="s">
        <v>74</v>
      </c>
      <c r="L475" t="s">
        <v>74</v>
      </c>
      <c r="M475" t="s">
        <v>74</v>
      </c>
      <c r="N475" t="s">
        <v>74</v>
      </c>
      <c r="O475" t="s">
        <v>74</v>
      </c>
      <c r="P475" t="s">
        <v>74</v>
      </c>
      <c r="Q475" t="s">
        <v>74</v>
      </c>
      <c r="R475" t="s">
        <v>74</v>
      </c>
      <c r="S475" t="s">
        <v>74</v>
      </c>
      <c r="T475" t="s">
        <v>74</v>
      </c>
      <c r="U475" t="s">
        <v>74</v>
      </c>
      <c r="V475" t="s">
        <v>4410</v>
      </c>
      <c r="W475" t="s">
        <v>74</v>
      </c>
      <c r="X475" t="s">
        <v>74</v>
      </c>
      <c r="Y475" t="s">
        <v>74</v>
      </c>
      <c r="Z475" t="s">
        <v>74</v>
      </c>
      <c r="AA475" t="s">
        <v>4411</v>
      </c>
      <c r="AB475" t="s">
        <v>4412</v>
      </c>
      <c r="AC475" t="s">
        <v>74</v>
      </c>
      <c r="AD475" t="s">
        <v>74</v>
      </c>
      <c r="AE475" t="s">
        <v>74</v>
      </c>
      <c r="AF475" t="s">
        <v>74</v>
      </c>
      <c r="AG475" t="s">
        <v>74</v>
      </c>
      <c r="AH475" t="s">
        <v>74</v>
      </c>
      <c r="AI475" t="s">
        <v>74</v>
      </c>
      <c r="AJ475" t="s">
        <v>74</v>
      </c>
      <c r="AK475" t="s">
        <v>74</v>
      </c>
      <c r="AL475" t="s">
        <v>74</v>
      </c>
      <c r="AM475" t="s">
        <v>74</v>
      </c>
      <c r="AN475" t="s">
        <v>74</v>
      </c>
      <c r="AO475" t="s">
        <v>4413</v>
      </c>
      <c r="AP475" t="s">
        <v>4414</v>
      </c>
      <c r="AQ475" t="s">
        <v>74</v>
      </c>
      <c r="AR475" t="s">
        <v>74</v>
      </c>
      <c r="AS475" t="s">
        <v>74</v>
      </c>
      <c r="AT475" t="s">
        <v>366</v>
      </c>
      <c r="AU475">
        <v>2022</v>
      </c>
      <c r="AV475">
        <v>119</v>
      </c>
      <c r="AW475" t="s">
        <v>4415</v>
      </c>
      <c r="AX475" t="s">
        <v>74</v>
      </c>
      <c r="AY475" t="s">
        <v>74</v>
      </c>
      <c r="AZ475" t="s">
        <v>74</v>
      </c>
      <c r="BA475" t="s">
        <v>74</v>
      </c>
      <c r="BB475">
        <v>1769</v>
      </c>
      <c r="BC475">
        <v>1784</v>
      </c>
      <c r="BD475" t="s">
        <v>74</v>
      </c>
      <c r="BE475" t="s">
        <v>4416</v>
      </c>
      <c r="BF475" t="str">
        <f>HYPERLINK("http://dx.doi.org/10.1007/s00170-021-08449-6","http://dx.doi.org/10.1007/s00170-021-08449-6")</f>
        <v>http://dx.doi.org/10.1007/s00170-021-08449-6</v>
      </c>
      <c r="BG475" t="s">
        <v>74</v>
      </c>
      <c r="BH475" t="s">
        <v>4417</v>
      </c>
      <c r="BI475" t="s">
        <v>74</v>
      </c>
      <c r="BJ475" t="s">
        <v>74</v>
      </c>
      <c r="BK475" t="s">
        <v>74</v>
      </c>
      <c r="BL475" t="s">
        <v>74</v>
      </c>
      <c r="BM475" t="s">
        <v>74</v>
      </c>
      <c r="BN475">
        <v>34866738</v>
      </c>
      <c r="BO475" t="s">
        <v>74</v>
      </c>
      <c r="BP475" t="s">
        <v>74</v>
      </c>
      <c r="BQ475" t="s">
        <v>74</v>
      </c>
      <c r="BR475" t="s">
        <v>74</v>
      </c>
      <c r="BS475" t="s">
        <v>4418</v>
      </c>
      <c r="BT475" t="str">
        <f>HYPERLINK("https%3A%2F%2Fwww.webofscience.com%2Fwos%2Fwoscc%2Ffull-record%2FWOS:000723527000001","View Full Record in Web of Science")</f>
        <v>View Full Record in Web of Science</v>
      </c>
    </row>
    <row r="476" spans="1:72" x14ac:dyDescent="0.25">
      <c r="A476" t="s">
        <v>84</v>
      </c>
      <c r="B476" t="s">
        <v>4419</v>
      </c>
      <c r="C476" t="s">
        <v>74</v>
      </c>
      <c r="D476" t="s">
        <v>74</v>
      </c>
      <c r="E476" t="s">
        <v>86</v>
      </c>
      <c r="F476" t="s">
        <v>4420</v>
      </c>
      <c r="G476" t="s">
        <v>74</v>
      </c>
      <c r="H476" t="s">
        <v>74</v>
      </c>
      <c r="I476" t="s">
        <v>4421</v>
      </c>
      <c r="J476" t="s">
        <v>4422</v>
      </c>
      <c r="K476" t="s">
        <v>4423</v>
      </c>
      <c r="L476" t="s">
        <v>74</v>
      </c>
      <c r="M476" t="s">
        <v>74</v>
      </c>
      <c r="N476" t="s">
        <v>74</v>
      </c>
      <c r="O476" t="s">
        <v>4424</v>
      </c>
      <c r="P476" t="s">
        <v>4425</v>
      </c>
      <c r="Q476" t="s">
        <v>4426</v>
      </c>
      <c r="R476" t="s">
        <v>86</v>
      </c>
      <c r="S476" t="s">
        <v>74</v>
      </c>
      <c r="T476" t="s">
        <v>74</v>
      </c>
      <c r="U476" t="s">
        <v>74</v>
      </c>
      <c r="V476" t="s">
        <v>4427</v>
      </c>
      <c r="W476" t="s">
        <v>74</v>
      </c>
      <c r="X476" t="s">
        <v>74</v>
      </c>
      <c r="Y476" t="s">
        <v>74</v>
      </c>
      <c r="Z476" t="s">
        <v>74</v>
      </c>
      <c r="AA476" t="s">
        <v>74</v>
      </c>
      <c r="AB476" t="s">
        <v>4428</v>
      </c>
      <c r="AC476" t="s">
        <v>74</v>
      </c>
      <c r="AD476" t="s">
        <v>74</v>
      </c>
      <c r="AE476" t="s">
        <v>74</v>
      </c>
      <c r="AF476" t="s">
        <v>74</v>
      </c>
      <c r="AG476" t="s">
        <v>74</v>
      </c>
      <c r="AH476" t="s">
        <v>74</v>
      </c>
      <c r="AI476" t="s">
        <v>74</v>
      </c>
      <c r="AJ476" t="s">
        <v>74</v>
      </c>
      <c r="AK476" t="s">
        <v>74</v>
      </c>
      <c r="AL476" t="s">
        <v>74</v>
      </c>
      <c r="AM476" t="s">
        <v>74</v>
      </c>
      <c r="AN476" t="s">
        <v>74</v>
      </c>
      <c r="AO476" t="s">
        <v>4429</v>
      </c>
      <c r="AP476" t="s">
        <v>4430</v>
      </c>
      <c r="AQ476" t="s">
        <v>4431</v>
      </c>
      <c r="AR476" t="s">
        <v>74</v>
      </c>
      <c r="AS476" t="s">
        <v>74</v>
      </c>
      <c r="AT476" t="s">
        <v>74</v>
      </c>
      <c r="AU476">
        <v>2022</v>
      </c>
      <c r="AV476" t="s">
        <v>74</v>
      </c>
      <c r="AW476" t="s">
        <v>74</v>
      </c>
      <c r="AX476" t="s">
        <v>74</v>
      </c>
      <c r="AY476" t="s">
        <v>74</v>
      </c>
      <c r="AZ476" t="s">
        <v>74</v>
      </c>
      <c r="BA476" t="s">
        <v>74</v>
      </c>
      <c r="BB476" t="s">
        <v>74</v>
      </c>
      <c r="BC476" t="s">
        <v>74</v>
      </c>
      <c r="BD476" t="s">
        <v>74</v>
      </c>
      <c r="BE476" t="s">
        <v>4432</v>
      </c>
      <c r="BF476" t="str">
        <f>HYPERLINK("http://dx.doi.org/10.1109/ETFA52439.2022.9921499","http://dx.doi.org/10.1109/ETFA52439.2022.9921499")</f>
        <v>http://dx.doi.org/10.1109/ETFA52439.2022.9921499</v>
      </c>
      <c r="BG476" t="s">
        <v>74</v>
      </c>
      <c r="BH476" t="s">
        <v>74</v>
      </c>
      <c r="BI476" t="s">
        <v>74</v>
      </c>
      <c r="BJ476" t="s">
        <v>74</v>
      </c>
      <c r="BK476" t="s">
        <v>74</v>
      </c>
      <c r="BL476" t="s">
        <v>74</v>
      </c>
      <c r="BM476" t="s">
        <v>74</v>
      </c>
      <c r="BN476" t="s">
        <v>74</v>
      </c>
      <c r="BO476" t="s">
        <v>74</v>
      </c>
      <c r="BP476" t="s">
        <v>74</v>
      </c>
      <c r="BQ476" t="s">
        <v>74</v>
      </c>
      <c r="BR476" t="s">
        <v>74</v>
      </c>
      <c r="BS476" t="s">
        <v>4433</v>
      </c>
      <c r="BT476" t="str">
        <f>HYPERLINK("https%3A%2F%2Fwww.webofscience.com%2Fwos%2Fwoscc%2Ffull-record%2FWOS:000934103900067","View Full Record in Web of Science")</f>
        <v>View Full Record in Web of Science</v>
      </c>
    </row>
    <row r="477" spans="1:72" x14ac:dyDescent="0.25">
      <c r="A477" t="s">
        <v>72</v>
      </c>
      <c r="B477" t="s">
        <v>4434</v>
      </c>
      <c r="C477" t="s">
        <v>74</v>
      </c>
      <c r="D477" t="s">
        <v>74</v>
      </c>
      <c r="E477" t="s">
        <v>74</v>
      </c>
      <c r="F477" t="s">
        <v>4435</v>
      </c>
      <c r="G477" t="s">
        <v>74</v>
      </c>
      <c r="H477" t="s">
        <v>74</v>
      </c>
      <c r="I477" t="s">
        <v>4436</v>
      </c>
      <c r="J477" t="s">
        <v>2401</v>
      </c>
      <c r="K477" t="s">
        <v>74</v>
      </c>
      <c r="L477" t="s">
        <v>74</v>
      </c>
      <c r="M477" t="s">
        <v>74</v>
      </c>
      <c r="N477" t="s">
        <v>74</v>
      </c>
      <c r="O477" t="s">
        <v>74</v>
      </c>
      <c r="P477" t="s">
        <v>74</v>
      </c>
      <c r="Q477" t="s">
        <v>74</v>
      </c>
      <c r="R477" t="s">
        <v>74</v>
      </c>
      <c r="S477" t="s">
        <v>74</v>
      </c>
      <c r="T477" t="s">
        <v>74</v>
      </c>
      <c r="U477" t="s">
        <v>74</v>
      </c>
      <c r="V477" t="s">
        <v>4437</v>
      </c>
      <c r="W477" t="s">
        <v>74</v>
      </c>
      <c r="X477" t="s">
        <v>74</v>
      </c>
      <c r="Y477" t="s">
        <v>74</v>
      </c>
      <c r="Z477" t="s">
        <v>74</v>
      </c>
      <c r="AA477" t="s">
        <v>4438</v>
      </c>
      <c r="AB477" t="s">
        <v>4439</v>
      </c>
      <c r="AC477" t="s">
        <v>74</v>
      </c>
      <c r="AD477" t="s">
        <v>74</v>
      </c>
      <c r="AE477" t="s">
        <v>74</v>
      </c>
      <c r="AF477" t="s">
        <v>74</v>
      </c>
      <c r="AG477" t="s">
        <v>74</v>
      </c>
      <c r="AH477" t="s">
        <v>74</v>
      </c>
      <c r="AI477" t="s">
        <v>74</v>
      </c>
      <c r="AJ477" t="s">
        <v>74</v>
      </c>
      <c r="AK477" t="s">
        <v>74</v>
      </c>
      <c r="AL477" t="s">
        <v>74</v>
      </c>
      <c r="AM477" t="s">
        <v>74</v>
      </c>
      <c r="AN477" t="s">
        <v>74</v>
      </c>
      <c r="AO477" t="s">
        <v>2404</v>
      </c>
      <c r="AP477" t="s">
        <v>2405</v>
      </c>
      <c r="AQ477" t="s">
        <v>74</v>
      </c>
      <c r="AR477" t="s">
        <v>74</v>
      </c>
      <c r="AS477" t="s">
        <v>74</v>
      </c>
      <c r="AT477" t="s">
        <v>2523</v>
      </c>
      <c r="AU477">
        <v>2022</v>
      </c>
      <c r="AV477">
        <v>37</v>
      </c>
      <c r="AW477">
        <v>5</v>
      </c>
      <c r="AX477" t="s">
        <v>74</v>
      </c>
      <c r="AY477" t="s">
        <v>74</v>
      </c>
      <c r="AZ477" t="s">
        <v>74</v>
      </c>
      <c r="BA477" t="s">
        <v>74</v>
      </c>
      <c r="BB477">
        <v>86</v>
      </c>
      <c r="BC477">
        <v>94</v>
      </c>
      <c r="BD477" t="s">
        <v>74</v>
      </c>
      <c r="BE477" t="s">
        <v>4440</v>
      </c>
      <c r="BF477" t="str">
        <f>HYPERLINK("http://dx.doi.org/10.1109/MIS.2022.3208485","http://dx.doi.org/10.1109/MIS.2022.3208485")</f>
        <v>http://dx.doi.org/10.1109/MIS.2022.3208485</v>
      </c>
      <c r="BG477" t="s">
        <v>74</v>
      </c>
      <c r="BH477" t="s">
        <v>74</v>
      </c>
      <c r="BI477" t="s">
        <v>74</v>
      </c>
      <c r="BJ477" t="s">
        <v>74</v>
      </c>
      <c r="BK477" t="s">
        <v>74</v>
      </c>
      <c r="BL477" t="s">
        <v>74</v>
      </c>
      <c r="BM477" t="s">
        <v>74</v>
      </c>
      <c r="BN477" t="s">
        <v>74</v>
      </c>
      <c r="BO477" t="s">
        <v>74</v>
      </c>
      <c r="BP477" t="s">
        <v>74</v>
      </c>
      <c r="BQ477" t="s">
        <v>74</v>
      </c>
      <c r="BR477" t="s">
        <v>74</v>
      </c>
      <c r="BS477" t="s">
        <v>4441</v>
      </c>
      <c r="BT477" t="str">
        <f>HYPERLINK("https%3A%2F%2Fwww.webofscience.com%2Fwos%2Fwoscc%2Ffull-record%2FWOS:000871033800011","View Full Record in Web of Science")</f>
        <v>View Full Record in Web of Science</v>
      </c>
    </row>
    <row r="478" spans="1:72" x14ac:dyDescent="0.25">
      <c r="A478" t="s">
        <v>72</v>
      </c>
      <c r="B478" t="s">
        <v>4442</v>
      </c>
      <c r="C478" t="s">
        <v>74</v>
      </c>
      <c r="D478" t="s">
        <v>74</v>
      </c>
      <c r="E478" t="s">
        <v>74</v>
      </c>
      <c r="F478" t="s">
        <v>4443</v>
      </c>
      <c r="G478" t="s">
        <v>74</v>
      </c>
      <c r="H478" t="s">
        <v>74</v>
      </c>
      <c r="I478" t="s">
        <v>4444</v>
      </c>
      <c r="J478" t="s">
        <v>4233</v>
      </c>
      <c r="K478" t="s">
        <v>74</v>
      </c>
      <c r="L478" t="s">
        <v>74</v>
      </c>
      <c r="M478" t="s">
        <v>74</v>
      </c>
      <c r="N478" t="s">
        <v>74</v>
      </c>
      <c r="O478" t="s">
        <v>74</v>
      </c>
      <c r="P478" t="s">
        <v>74</v>
      </c>
      <c r="Q478" t="s">
        <v>74</v>
      </c>
      <c r="R478" t="s">
        <v>74</v>
      </c>
      <c r="S478" t="s">
        <v>74</v>
      </c>
      <c r="T478" t="s">
        <v>74</v>
      </c>
      <c r="U478" t="s">
        <v>74</v>
      </c>
      <c r="V478" t="s">
        <v>4445</v>
      </c>
      <c r="W478" t="s">
        <v>74</v>
      </c>
      <c r="X478" t="s">
        <v>74</v>
      </c>
      <c r="Y478" t="s">
        <v>74</v>
      </c>
      <c r="Z478" t="s">
        <v>74</v>
      </c>
      <c r="AA478" t="s">
        <v>4446</v>
      </c>
      <c r="AB478" t="s">
        <v>4447</v>
      </c>
      <c r="AC478" t="s">
        <v>74</v>
      </c>
      <c r="AD478" t="s">
        <v>74</v>
      </c>
      <c r="AE478" t="s">
        <v>74</v>
      </c>
      <c r="AF478" t="s">
        <v>74</v>
      </c>
      <c r="AG478" t="s">
        <v>74</v>
      </c>
      <c r="AH478" t="s">
        <v>74</v>
      </c>
      <c r="AI478" t="s">
        <v>74</v>
      </c>
      <c r="AJ478" t="s">
        <v>74</v>
      </c>
      <c r="AK478" t="s">
        <v>74</v>
      </c>
      <c r="AL478" t="s">
        <v>74</v>
      </c>
      <c r="AM478" t="s">
        <v>74</v>
      </c>
      <c r="AN478" t="s">
        <v>74</v>
      </c>
      <c r="AO478" t="s">
        <v>4237</v>
      </c>
      <c r="AP478" t="s">
        <v>4238</v>
      </c>
      <c r="AQ478" t="s">
        <v>74</v>
      </c>
      <c r="AR478" t="s">
        <v>74</v>
      </c>
      <c r="AS478" t="s">
        <v>74</v>
      </c>
      <c r="AT478" t="s">
        <v>4448</v>
      </c>
      <c r="AU478">
        <v>2022</v>
      </c>
      <c r="AV478">
        <v>14</v>
      </c>
      <c r="AW478">
        <v>7</v>
      </c>
      <c r="AX478" t="s">
        <v>74</v>
      </c>
      <c r="AY478" t="s">
        <v>74</v>
      </c>
      <c r="AZ478" t="s">
        <v>74</v>
      </c>
      <c r="BA478" t="s">
        <v>74</v>
      </c>
      <c r="BB478">
        <v>9480</v>
      </c>
      <c r="BC478">
        <v>9491</v>
      </c>
      <c r="BD478" t="s">
        <v>74</v>
      </c>
      <c r="BE478" t="s">
        <v>4449</v>
      </c>
      <c r="BF478" t="str">
        <f>HYPERLINK("http://dx.doi.org/10.1021/acsami.1c23559","http://dx.doi.org/10.1021/acsami.1c23559")</f>
        <v>http://dx.doi.org/10.1021/acsami.1c23559</v>
      </c>
      <c r="BG478" t="s">
        <v>74</v>
      </c>
      <c r="BH478" t="s">
        <v>2614</v>
      </c>
      <c r="BI478" t="s">
        <v>74</v>
      </c>
      <c r="BJ478" t="s">
        <v>74</v>
      </c>
      <c r="BK478" t="s">
        <v>74</v>
      </c>
      <c r="BL478" t="s">
        <v>74</v>
      </c>
      <c r="BM478" t="s">
        <v>74</v>
      </c>
      <c r="BN478">
        <v>35138082</v>
      </c>
      <c r="BO478" t="s">
        <v>74</v>
      </c>
      <c r="BP478" t="s">
        <v>74</v>
      </c>
      <c r="BQ478" t="s">
        <v>74</v>
      </c>
      <c r="BR478" t="s">
        <v>74</v>
      </c>
      <c r="BS478" t="s">
        <v>4450</v>
      </c>
      <c r="BT478" t="str">
        <f>HYPERLINK("https%3A%2F%2Fwww.webofscience.com%2Fwos%2Fwoscc%2Ffull-record%2FWOS:000757884100001","View Full Record in Web of Science")</f>
        <v>View Full Record in Web of Science</v>
      </c>
    </row>
    <row r="479" spans="1:72" x14ac:dyDescent="0.25">
      <c r="A479" t="s">
        <v>72</v>
      </c>
      <c r="B479" t="s">
        <v>4451</v>
      </c>
      <c r="C479" t="s">
        <v>74</v>
      </c>
      <c r="D479" t="s">
        <v>74</v>
      </c>
      <c r="E479" t="s">
        <v>74</v>
      </c>
      <c r="F479" t="s">
        <v>4452</v>
      </c>
      <c r="G479" t="s">
        <v>74</v>
      </c>
      <c r="H479" t="s">
        <v>74</v>
      </c>
      <c r="I479" t="s">
        <v>4453</v>
      </c>
      <c r="J479" t="s">
        <v>4454</v>
      </c>
      <c r="K479" t="s">
        <v>74</v>
      </c>
      <c r="L479" t="s">
        <v>74</v>
      </c>
      <c r="M479" t="s">
        <v>74</v>
      </c>
      <c r="N479" t="s">
        <v>74</v>
      </c>
      <c r="O479" t="s">
        <v>74</v>
      </c>
      <c r="P479" t="s">
        <v>74</v>
      </c>
      <c r="Q479" t="s">
        <v>74</v>
      </c>
      <c r="R479" t="s">
        <v>74</v>
      </c>
      <c r="S479" t="s">
        <v>74</v>
      </c>
      <c r="T479" t="s">
        <v>74</v>
      </c>
      <c r="U479" t="s">
        <v>74</v>
      </c>
      <c r="V479" t="s">
        <v>4455</v>
      </c>
      <c r="W479" t="s">
        <v>74</v>
      </c>
      <c r="X479" t="s">
        <v>74</v>
      </c>
      <c r="Y479" t="s">
        <v>74</v>
      </c>
      <c r="Z479" t="s">
        <v>74</v>
      </c>
      <c r="AA479" t="s">
        <v>4456</v>
      </c>
      <c r="AB479" t="s">
        <v>4457</v>
      </c>
      <c r="AC479" t="s">
        <v>74</v>
      </c>
      <c r="AD479" t="s">
        <v>74</v>
      </c>
      <c r="AE479" t="s">
        <v>74</v>
      </c>
      <c r="AF479" t="s">
        <v>74</v>
      </c>
      <c r="AG479" t="s">
        <v>74</v>
      </c>
      <c r="AH479" t="s">
        <v>74</v>
      </c>
      <c r="AI479" t="s">
        <v>74</v>
      </c>
      <c r="AJ479" t="s">
        <v>74</v>
      </c>
      <c r="AK479" t="s">
        <v>74</v>
      </c>
      <c r="AL479" t="s">
        <v>74</v>
      </c>
      <c r="AM479" t="s">
        <v>74</v>
      </c>
      <c r="AN479" t="s">
        <v>74</v>
      </c>
      <c r="AO479" t="s">
        <v>74</v>
      </c>
      <c r="AP479" t="s">
        <v>4458</v>
      </c>
      <c r="AQ479" t="s">
        <v>74</v>
      </c>
      <c r="AR479" t="s">
        <v>74</v>
      </c>
      <c r="AS479" t="s">
        <v>74</v>
      </c>
      <c r="AT479" t="s">
        <v>712</v>
      </c>
      <c r="AU479">
        <v>2022</v>
      </c>
      <c r="AV479">
        <v>12</v>
      </c>
      <c r="AW479">
        <v>8</v>
      </c>
      <c r="AX479" t="s">
        <v>74</v>
      </c>
      <c r="AY479" t="s">
        <v>74</v>
      </c>
      <c r="AZ479" t="s">
        <v>74</v>
      </c>
      <c r="BA479" t="s">
        <v>74</v>
      </c>
      <c r="BB479" t="s">
        <v>74</v>
      </c>
      <c r="BC479" t="s">
        <v>74</v>
      </c>
      <c r="BD479">
        <v>580</v>
      </c>
      <c r="BE479" t="s">
        <v>4459</v>
      </c>
      <c r="BF479" t="str">
        <f>HYPERLINK("http://dx.doi.org/10.3390/bios12080580","http://dx.doi.org/10.3390/bios12080580")</f>
        <v>http://dx.doi.org/10.3390/bios12080580</v>
      </c>
      <c r="BG479" t="s">
        <v>74</v>
      </c>
      <c r="BH479" t="s">
        <v>74</v>
      </c>
      <c r="BI479" t="s">
        <v>74</v>
      </c>
      <c r="BJ479" t="s">
        <v>74</v>
      </c>
      <c r="BK479" t="s">
        <v>74</v>
      </c>
      <c r="BL479" t="s">
        <v>74</v>
      </c>
      <c r="BM479" t="s">
        <v>74</v>
      </c>
      <c r="BN479">
        <v>36004976</v>
      </c>
      <c r="BO479" t="s">
        <v>74</v>
      </c>
      <c r="BP479" t="s">
        <v>74</v>
      </c>
      <c r="BQ479" t="s">
        <v>74</v>
      </c>
      <c r="BR479" t="s">
        <v>74</v>
      </c>
      <c r="BS479" t="s">
        <v>4460</v>
      </c>
      <c r="BT479" t="str">
        <f>HYPERLINK("https%3A%2F%2Fwww.webofscience.com%2Fwos%2Fwoscc%2Ffull-record%2FWOS:000846088200001","View Full Record in Web of Science")</f>
        <v>View Full Record in Web of Science</v>
      </c>
    </row>
    <row r="480" spans="1:72" x14ac:dyDescent="0.25">
      <c r="A480" t="s">
        <v>84</v>
      </c>
      <c r="B480" t="s">
        <v>4461</v>
      </c>
      <c r="C480" t="s">
        <v>74</v>
      </c>
      <c r="D480" t="s">
        <v>3672</v>
      </c>
      <c r="E480" t="s">
        <v>74</v>
      </c>
      <c r="F480" t="s">
        <v>4462</v>
      </c>
      <c r="G480" t="s">
        <v>74</v>
      </c>
      <c r="H480" t="s">
        <v>74</v>
      </c>
      <c r="I480" t="s">
        <v>4463</v>
      </c>
      <c r="J480" t="s">
        <v>4464</v>
      </c>
      <c r="K480" t="s">
        <v>158</v>
      </c>
      <c r="L480" t="s">
        <v>74</v>
      </c>
      <c r="M480" t="s">
        <v>74</v>
      </c>
      <c r="N480" t="s">
        <v>74</v>
      </c>
      <c r="O480" t="s">
        <v>3676</v>
      </c>
      <c r="P480" t="s">
        <v>3177</v>
      </c>
      <c r="Q480" t="s">
        <v>3677</v>
      </c>
      <c r="R480" t="s">
        <v>74</v>
      </c>
      <c r="S480" t="s">
        <v>74</v>
      </c>
      <c r="T480" t="s">
        <v>74</v>
      </c>
      <c r="U480" t="s">
        <v>74</v>
      </c>
      <c r="V480" t="s">
        <v>4465</v>
      </c>
      <c r="W480" t="s">
        <v>74</v>
      </c>
      <c r="X480" t="s">
        <v>74</v>
      </c>
      <c r="Y480" t="s">
        <v>74</v>
      </c>
      <c r="Z480" t="s">
        <v>74</v>
      </c>
      <c r="AA480" t="s">
        <v>74</v>
      </c>
      <c r="AB480" t="s">
        <v>4466</v>
      </c>
      <c r="AC480" t="s">
        <v>74</v>
      </c>
      <c r="AD480" t="s">
        <v>74</v>
      </c>
      <c r="AE480" t="s">
        <v>74</v>
      </c>
      <c r="AF480" t="s">
        <v>74</v>
      </c>
      <c r="AG480" t="s">
        <v>74</v>
      </c>
      <c r="AH480" t="s">
        <v>74</v>
      </c>
      <c r="AI480" t="s">
        <v>74</v>
      </c>
      <c r="AJ480" t="s">
        <v>74</v>
      </c>
      <c r="AK480" t="s">
        <v>74</v>
      </c>
      <c r="AL480" t="s">
        <v>74</v>
      </c>
      <c r="AM480" t="s">
        <v>74</v>
      </c>
      <c r="AN480" t="s">
        <v>74</v>
      </c>
      <c r="AO480" t="s">
        <v>164</v>
      </c>
      <c r="AP480" t="s">
        <v>165</v>
      </c>
      <c r="AQ480" t="s">
        <v>4467</v>
      </c>
      <c r="AR480" t="s">
        <v>74</v>
      </c>
      <c r="AS480" t="s">
        <v>74</v>
      </c>
      <c r="AT480" t="s">
        <v>74</v>
      </c>
      <c r="AU480">
        <v>2022</v>
      </c>
      <c r="AV480">
        <v>13665</v>
      </c>
      <c r="AW480" t="s">
        <v>74</v>
      </c>
      <c r="AX480" t="s">
        <v>74</v>
      </c>
      <c r="AY480" t="s">
        <v>74</v>
      </c>
      <c r="AZ480" t="s">
        <v>74</v>
      </c>
      <c r="BA480" t="s">
        <v>74</v>
      </c>
      <c r="BB480">
        <v>443</v>
      </c>
      <c r="BC480">
        <v>460</v>
      </c>
      <c r="BD480" t="s">
        <v>74</v>
      </c>
      <c r="BE480" t="s">
        <v>4468</v>
      </c>
      <c r="BF480" t="str">
        <f>HYPERLINK("http://dx.doi.org/10.1007/978-3-031-20065-6_26","http://dx.doi.org/10.1007/978-3-031-20065-6_26")</f>
        <v>http://dx.doi.org/10.1007/978-3-031-20065-6_26</v>
      </c>
      <c r="BG480" t="s">
        <v>74</v>
      </c>
      <c r="BH480" t="s">
        <v>74</v>
      </c>
      <c r="BI480" t="s">
        <v>74</v>
      </c>
      <c r="BJ480" t="s">
        <v>74</v>
      </c>
      <c r="BK480" t="s">
        <v>74</v>
      </c>
      <c r="BL480" t="s">
        <v>74</v>
      </c>
      <c r="BM480" t="s">
        <v>74</v>
      </c>
      <c r="BN480" t="s">
        <v>74</v>
      </c>
      <c r="BO480" t="s">
        <v>74</v>
      </c>
      <c r="BP480" t="s">
        <v>74</v>
      </c>
      <c r="BQ480" t="s">
        <v>74</v>
      </c>
      <c r="BR480" t="s">
        <v>74</v>
      </c>
      <c r="BS480" t="s">
        <v>4469</v>
      </c>
      <c r="BT480" t="str">
        <f>HYPERLINK("https%3A%2F%2Fwww.webofscience.com%2Fwos%2Fwoscc%2Ffull-record%2FWOS:000898287300026","View Full Record in Web of Science")</f>
        <v>View Full Record in Web of Science</v>
      </c>
    </row>
    <row r="481" spans="1:72" x14ac:dyDescent="0.25">
      <c r="A481" t="s">
        <v>72</v>
      </c>
      <c r="B481" t="s">
        <v>4470</v>
      </c>
      <c r="C481" t="s">
        <v>74</v>
      </c>
      <c r="D481" t="s">
        <v>74</v>
      </c>
      <c r="E481" t="s">
        <v>74</v>
      </c>
      <c r="F481" t="s">
        <v>4471</v>
      </c>
      <c r="G481" t="s">
        <v>74</v>
      </c>
      <c r="H481" t="s">
        <v>74</v>
      </c>
      <c r="I481" t="s">
        <v>4472</v>
      </c>
      <c r="J481" t="s">
        <v>460</v>
      </c>
      <c r="K481" t="s">
        <v>74</v>
      </c>
      <c r="L481" t="s">
        <v>74</v>
      </c>
      <c r="M481" t="s">
        <v>74</v>
      </c>
      <c r="N481" t="s">
        <v>74</v>
      </c>
      <c r="O481" t="s">
        <v>74</v>
      </c>
      <c r="P481" t="s">
        <v>74</v>
      </c>
      <c r="Q481" t="s">
        <v>74</v>
      </c>
      <c r="R481" t="s">
        <v>74</v>
      </c>
      <c r="S481" t="s">
        <v>74</v>
      </c>
      <c r="T481" t="s">
        <v>74</v>
      </c>
      <c r="U481" t="s">
        <v>74</v>
      </c>
      <c r="V481" t="s">
        <v>4473</v>
      </c>
      <c r="W481" t="s">
        <v>74</v>
      </c>
      <c r="X481" t="s">
        <v>74</v>
      </c>
      <c r="Y481" t="s">
        <v>74</v>
      </c>
      <c r="Z481" t="s">
        <v>74</v>
      </c>
      <c r="AA481" t="s">
        <v>74</v>
      </c>
      <c r="AB481" t="s">
        <v>74</v>
      </c>
      <c r="AC481" t="s">
        <v>74</v>
      </c>
      <c r="AD481" t="s">
        <v>74</v>
      </c>
      <c r="AE481" t="s">
        <v>74</v>
      </c>
      <c r="AF481" t="s">
        <v>74</v>
      </c>
      <c r="AG481" t="s">
        <v>74</v>
      </c>
      <c r="AH481" t="s">
        <v>74</v>
      </c>
      <c r="AI481" t="s">
        <v>74</v>
      </c>
      <c r="AJ481" t="s">
        <v>74</v>
      </c>
      <c r="AK481" t="s">
        <v>74</v>
      </c>
      <c r="AL481" t="s">
        <v>74</v>
      </c>
      <c r="AM481" t="s">
        <v>74</v>
      </c>
      <c r="AN481" t="s">
        <v>74</v>
      </c>
      <c r="AO481" t="s">
        <v>74</v>
      </c>
      <c r="AP481" t="s">
        <v>464</v>
      </c>
      <c r="AQ481" t="s">
        <v>74</v>
      </c>
      <c r="AR481" t="s">
        <v>74</v>
      </c>
      <c r="AS481" t="s">
        <v>74</v>
      </c>
      <c r="AT481" t="s">
        <v>435</v>
      </c>
      <c r="AU481">
        <v>2023</v>
      </c>
      <c r="AV481">
        <v>15</v>
      </c>
      <c r="AW481">
        <v>3</v>
      </c>
      <c r="AX481" t="s">
        <v>74</v>
      </c>
      <c r="AY481" t="s">
        <v>74</v>
      </c>
      <c r="AZ481" t="s">
        <v>74</v>
      </c>
      <c r="BA481" t="s">
        <v>74</v>
      </c>
      <c r="BB481" t="s">
        <v>74</v>
      </c>
      <c r="BC481" t="s">
        <v>74</v>
      </c>
      <c r="BD481">
        <v>1797</v>
      </c>
      <c r="BE481" t="s">
        <v>4474</v>
      </c>
      <c r="BF481" t="str">
        <f>HYPERLINK("http://dx.doi.org/10.3390/su15031797","http://dx.doi.org/10.3390/su15031797")</f>
        <v>http://dx.doi.org/10.3390/su15031797</v>
      </c>
      <c r="BG481" t="s">
        <v>74</v>
      </c>
      <c r="BH481" t="s">
        <v>74</v>
      </c>
      <c r="BI481" t="s">
        <v>74</v>
      </c>
      <c r="BJ481" t="s">
        <v>74</v>
      </c>
      <c r="BK481" t="s">
        <v>74</v>
      </c>
      <c r="BL481" t="s">
        <v>74</v>
      </c>
      <c r="BM481" t="s">
        <v>74</v>
      </c>
      <c r="BN481" t="s">
        <v>74</v>
      </c>
      <c r="BO481" t="s">
        <v>74</v>
      </c>
      <c r="BP481" t="s">
        <v>74</v>
      </c>
      <c r="BQ481" t="s">
        <v>74</v>
      </c>
      <c r="BR481" t="s">
        <v>74</v>
      </c>
      <c r="BS481" t="s">
        <v>4475</v>
      </c>
      <c r="BT481" t="str">
        <f>HYPERLINK("https%3A%2F%2Fwww.webofscience.com%2Fwos%2Fwoscc%2Ffull-record%2FWOS:000931354600001","View Full Record in Web of Science")</f>
        <v>View Full Record in Web of Science</v>
      </c>
    </row>
    <row r="482" spans="1:72" x14ac:dyDescent="0.25">
      <c r="A482" t="s">
        <v>72</v>
      </c>
      <c r="B482" t="s">
        <v>4476</v>
      </c>
      <c r="C482" t="s">
        <v>74</v>
      </c>
      <c r="D482" t="s">
        <v>74</v>
      </c>
      <c r="E482" t="s">
        <v>74</v>
      </c>
      <c r="F482" t="s">
        <v>4477</v>
      </c>
      <c r="G482" t="s">
        <v>74</v>
      </c>
      <c r="H482" t="s">
        <v>74</v>
      </c>
      <c r="I482" t="s">
        <v>4478</v>
      </c>
      <c r="J482" t="s">
        <v>4479</v>
      </c>
      <c r="K482" t="s">
        <v>74</v>
      </c>
      <c r="L482" t="s">
        <v>74</v>
      </c>
      <c r="M482" t="s">
        <v>74</v>
      </c>
      <c r="N482" t="s">
        <v>74</v>
      </c>
      <c r="O482" t="s">
        <v>74</v>
      </c>
      <c r="P482" t="s">
        <v>74</v>
      </c>
      <c r="Q482" t="s">
        <v>74</v>
      </c>
      <c r="R482" t="s">
        <v>74</v>
      </c>
      <c r="S482" t="s">
        <v>74</v>
      </c>
      <c r="T482" t="s">
        <v>74</v>
      </c>
      <c r="U482" t="s">
        <v>74</v>
      </c>
      <c r="V482" t="s">
        <v>4480</v>
      </c>
      <c r="W482" t="s">
        <v>74</v>
      </c>
      <c r="X482" t="s">
        <v>74</v>
      </c>
      <c r="Y482" t="s">
        <v>74</v>
      </c>
      <c r="Z482" t="s">
        <v>74</v>
      </c>
      <c r="AA482" t="s">
        <v>74</v>
      </c>
      <c r="AB482" t="s">
        <v>4481</v>
      </c>
      <c r="AC482" t="s">
        <v>74</v>
      </c>
      <c r="AD482" t="s">
        <v>74</v>
      </c>
      <c r="AE482" t="s">
        <v>74</v>
      </c>
      <c r="AF482" t="s">
        <v>74</v>
      </c>
      <c r="AG482" t="s">
        <v>74</v>
      </c>
      <c r="AH482" t="s">
        <v>74</v>
      </c>
      <c r="AI482" t="s">
        <v>74</v>
      </c>
      <c r="AJ482" t="s">
        <v>74</v>
      </c>
      <c r="AK482" t="s">
        <v>74</v>
      </c>
      <c r="AL482" t="s">
        <v>74</v>
      </c>
      <c r="AM482" t="s">
        <v>74</v>
      </c>
      <c r="AN482" t="s">
        <v>74</v>
      </c>
      <c r="AO482" t="s">
        <v>4482</v>
      </c>
      <c r="AP482" t="s">
        <v>4483</v>
      </c>
      <c r="AQ482" t="s">
        <v>74</v>
      </c>
      <c r="AR482" t="s">
        <v>74</v>
      </c>
      <c r="AS482" t="s">
        <v>74</v>
      </c>
      <c r="AT482" t="s">
        <v>536</v>
      </c>
      <c r="AU482">
        <v>2022</v>
      </c>
      <c r="AV482">
        <v>41</v>
      </c>
      <c r="AW482">
        <v>4</v>
      </c>
      <c r="AX482" t="s">
        <v>74</v>
      </c>
      <c r="AY482" t="s">
        <v>74</v>
      </c>
      <c r="AZ482" t="s">
        <v>74</v>
      </c>
      <c r="BA482" t="s">
        <v>74</v>
      </c>
      <c r="BB482" t="s">
        <v>74</v>
      </c>
      <c r="BC482" t="s">
        <v>74</v>
      </c>
      <c r="BD482">
        <v>120</v>
      </c>
      <c r="BE482" t="s">
        <v>4484</v>
      </c>
      <c r="BF482" t="str">
        <f>HYPERLINK("http://dx.doi.org/10.1145/3528223.3530079","http://dx.doi.org/10.1145/3528223.3530079")</f>
        <v>http://dx.doi.org/10.1145/3528223.3530079</v>
      </c>
      <c r="BG482" t="s">
        <v>74</v>
      </c>
      <c r="BH482" t="s">
        <v>74</v>
      </c>
      <c r="BI482" t="s">
        <v>74</v>
      </c>
      <c r="BJ482" t="s">
        <v>74</v>
      </c>
      <c r="BK482" t="s">
        <v>74</v>
      </c>
      <c r="BL482" t="s">
        <v>74</v>
      </c>
      <c r="BM482" t="s">
        <v>74</v>
      </c>
      <c r="BN482" t="s">
        <v>74</v>
      </c>
      <c r="BO482" t="s">
        <v>74</v>
      </c>
      <c r="BP482" t="s">
        <v>74</v>
      </c>
      <c r="BQ482" t="s">
        <v>74</v>
      </c>
      <c r="BR482" t="s">
        <v>74</v>
      </c>
      <c r="BS482" t="s">
        <v>4485</v>
      </c>
      <c r="BT482" t="str">
        <f>HYPERLINK("https%3A%2F%2Fwww.webofscience.com%2Fwos%2Fwoscc%2Ffull-record%2FWOS:000830989200026","View Full Record in Web of Science")</f>
        <v>View Full Record in Web of Science</v>
      </c>
    </row>
    <row r="483" spans="1:72" x14ac:dyDescent="0.25">
      <c r="A483" t="s">
        <v>72</v>
      </c>
      <c r="B483" t="s">
        <v>4486</v>
      </c>
      <c r="C483" t="s">
        <v>74</v>
      </c>
      <c r="D483" t="s">
        <v>74</v>
      </c>
      <c r="E483" t="s">
        <v>74</v>
      </c>
      <c r="F483" t="s">
        <v>4487</v>
      </c>
      <c r="G483" t="s">
        <v>74</v>
      </c>
      <c r="H483" t="s">
        <v>74</v>
      </c>
      <c r="I483" t="s">
        <v>4488</v>
      </c>
      <c r="J483" t="s">
        <v>4489</v>
      </c>
      <c r="K483" t="s">
        <v>74</v>
      </c>
      <c r="L483" t="s">
        <v>74</v>
      </c>
      <c r="M483" t="s">
        <v>74</v>
      </c>
      <c r="N483" t="s">
        <v>74</v>
      </c>
      <c r="O483" t="s">
        <v>74</v>
      </c>
      <c r="P483" t="s">
        <v>74</v>
      </c>
      <c r="Q483" t="s">
        <v>74</v>
      </c>
      <c r="R483" t="s">
        <v>74</v>
      </c>
      <c r="S483" t="s">
        <v>74</v>
      </c>
      <c r="T483" t="s">
        <v>74</v>
      </c>
      <c r="U483" t="s">
        <v>74</v>
      </c>
      <c r="V483" t="s">
        <v>4490</v>
      </c>
      <c r="W483" t="s">
        <v>74</v>
      </c>
      <c r="X483" t="s">
        <v>74</v>
      </c>
      <c r="Y483" t="s">
        <v>74</v>
      </c>
      <c r="Z483" t="s">
        <v>74</v>
      </c>
      <c r="AA483" t="s">
        <v>4491</v>
      </c>
      <c r="AB483" t="s">
        <v>4492</v>
      </c>
      <c r="AC483" t="s">
        <v>74</v>
      </c>
      <c r="AD483" t="s">
        <v>74</v>
      </c>
      <c r="AE483" t="s">
        <v>74</v>
      </c>
      <c r="AF483" t="s">
        <v>74</v>
      </c>
      <c r="AG483" t="s">
        <v>74</v>
      </c>
      <c r="AH483" t="s">
        <v>74</v>
      </c>
      <c r="AI483" t="s">
        <v>74</v>
      </c>
      <c r="AJ483" t="s">
        <v>74</v>
      </c>
      <c r="AK483" t="s">
        <v>74</v>
      </c>
      <c r="AL483" t="s">
        <v>74</v>
      </c>
      <c r="AM483" t="s">
        <v>74</v>
      </c>
      <c r="AN483" t="s">
        <v>74</v>
      </c>
      <c r="AO483" t="s">
        <v>74</v>
      </c>
      <c r="AP483" t="s">
        <v>4493</v>
      </c>
      <c r="AQ483" t="s">
        <v>74</v>
      </c>
      <c r="AR483" t="s">
        <v>74</v>
      </c>
      <c r="AS483" t="s">
        <v>74</v>
      </c>
      <c r="AT483" t="s">
        <v>4494</v>
      </c>
      <c r="AU483">
        <v>2022</v>
      </c>
      <c r="AV483">
        <v>5</v>
      </c>
      <c r="AW483">
        <v>5</v>
      </c>
      <c r="AX483" t="s">
        <v>74</v>
      </c>
      <c r="AY483" t="s">
        <v>74</v>
      </c>
      <c r="AZ483" t="s">
        <v>74</v>
      </c>
      <c r="BA483" t="s">
        <v>74</v>
      </c>
      <c r="BB483">
        <v>7150</v>
      </c>
      <c r="BC483">
        <v>7160</v>
      </c>
      <c r="BD483" t="s">
        <v>74</v>
      </c>
      <c r="BE483" t="s">
        <v>4495</v>
      </c>
      <c r="BF483" t="str">
        <f>HYPERLINK("http://dx.doi.org/10.1021/acsanm.2c00963","http://dx.doi.org/10.1021/acsanm.2c00963")</f>
        <v>http://dx.doi.org/10.1021/acsanm.2c00963</v>
      </c>
      <c r="BG483" t="s">
        <v>74</v>
      </c>
      <c r="BH483" t="s">
        <v>4175</v>
      </c>
      <c r="BI483" t="s">
        <v>74</v>
      </c>
      <c r="BJ483" t="s">
        <v>74</v>
      </c>
      <c r="BK483" t="s">
        <v>74</v>
      </c>
      <c r="BL483" t="s">
        <v>74</v>
      </c>
      <c r="BM483" t="s">
        <v>74</v>
      </c>
      <c r="BN483" t="s">
        <v>74</v>
      </c>
      <c r="BO483" t="s">
        <v>74</v>
      </c>
      <c r="BP483" t="s">
        <v>74</v>
      </c>
      <c r="BQ483" t="s">
        <v>74</v>
      </c>
      <c r="BR483" t="s">
        <v>74</v>
      </c>
      <c r="BS483" t="s">
        <v>4496</v>
      </c>
      <c r="BT483" t="str">
        <f>HYPERLINK("https%3A%2F%2Fwww.webofscience.com%2Fwos%2Fwoscc%2Ffull-record%2FWOS:000823424000001","View Full Record in Web of Science")</f>
        <v>View Full Record in Web of Science</v>
      </c>
    </row>
    <row r="484" spans="1:72" x14ac:dyDescent="0.25">
      <c r="A484" t="s">
        <v>72</v>
      </c>
      <c r="B484" t="s">
        <v>4497</v>
      </c>
      <c r="C484" t="s">
        <v>74</v>
      </c>
      <c r="D484" t="s">
        <v>74</v>
      </c>
      <c r="E484" t="s">
        <v>74</v>
      </c>
      <c r="F484" t="s">
        <v>4498</v>
      </c>
      <c r="G484" t="s">
        <v>74</v>
      </c>
      <c r="H484" t="s">
        <v>74</v>
      </c>
      <c r="I484" t="s">
        <v>4499</v>
      </c>
      <c r="J484" t="s">
        <v>119</v>
      </c>
      <c r="K484" t="s">
        <v>74</v>
      </c>
      <c r="L484" t="s">
        <v>74</v>
      </c>
      <c r="M484" t="s">
        <v>74</v>
      </c>
      <c r="N484" t="s">
        <v>74</v>
      </c>
      <c r="O484" t="s">
        <v>74</v>
      </c>
      <c r="P484" t="s">
        <v>74</v>
      </c>
      <c r="Q484" t="s">
        <v>74</v>
      </c>
      <c r="R484" t="s">
        <v>74</v>
      </c>
      <c r="S484" t="s">
        <v>74</v>
      </c>
      <c r="T484" t="s">
        <v>74</v>
      </c>
      <c r="U484" t="s">
        <v>74</v>
      </c>
      <c r="V484" t="s">
        <v>4500</v>
      </c>
      <c r="W484" t="s">
        <v>74</v>
      </c>
      <c r="X484" t="s">
        <v>74</v>
      </c>
      <c r="Y484" t="s">
        <v>74</v>
      </c>
      <c r="Z484" t="s">
        <v>74</v>
      </c>
      <c r="AA484" t="s">
        <v>74</v>
      </c>
      <c r="AB484" t="s">
        <v>74</v>
      </c>
      <c r="AC484" t="s">
        <v>74</v>
      </c>
      <c r="AD484" t="s">
        <v>74</v>
      </c>
      <c r="AE484" t="s">
        <v>74</v>
      </c>
      <c r="AF484" t="s">
        <v>74</v>
      </c>
      <c r="AG484" t="s">
        <v>74</v>
      </c>
      <c r="AH484" t="s">
        <v>74</v>
      </c>
      <c r="AI484" t="s">
        <v>74</v>
      </c>
      <c r="AJ484" t="s">
        <v>74</v>
      </c>
      <c r="AK484" t="s">
        <v>74</v>
      </c>
      <c r="AL484" t="s">
        <v>74</v>
      </c>
      <c r="AM484" t="s">
        <v>74</v>
      </c>
      <c r="AN484" t="s">
        <v>74</v>
      </c>
      <c r="AO484" t="s">
        <v>74</v>
      </c>
      <c r="AP484" t="s">
        <v>123</v>
      </c>
      <c r="AQ484" t="s">
        <v>74</v>
      </c>
      <c r="AR484" t="s">
        <v>74</v>
      </c>
      <c r="AS484" t="s">
        <v>74</v>
      </c>
      <c r="AT484" t="s">
        <v>435</v>
      </c>
      <c r="AU484">
        <v>2023</v>
      </c>
      <c r="AV484">
        <v>12</v>
      </c>
      <c r="AW484">
        <v>3</v>
      </c>
      <c r="AX484" t="s">
        <v>74</v>
      </c>
      <c r="AY484" t="s">
        <v>74</v>
      </c>
      <c r="AZ484" t="s">
        <v>74</v>
      </c>
      <c r="BA484" t="s">
        <v>74</v>
      </c>
      <c r="BB484" t="s">
        <v>74</v>
      </c>
      <c r="BC484" t="s">
        <v>74</v>
      </c>
      <c r="BD484">
        <v>583</v>
      </c>
      <c r="BE484" t="s">
        <v>4501</v>
      </c>
      <c r="BF484" t="str">
        <f>HYPERLINK("http://dx.doi.org/10.3390/electronics12030583","http://dx.doi.org/10.3390/electronics12030583")</f>
        <v>http://dx.doi.org/10.3390/electronics12030583</v>
      </c>
      <c r="BG484" t="s">
        <v>74</v>
      </c>
      <c r="BH484" t="s">
        <v>74</v>
      </c>
      <c r="BI484" t="s">
        <v>74</v>
      </c>
      <c r="BJ484" t="s">
        <v>74</v>
      </c>
      <c r="BK484" t="s">
        <v>74</v>
      </c>
      <c r="BL484" t="s">
        <v>74</v>
      </c>
      <c r="BM484" t="s">
        <v>74</v>
      </c>
      <c r="BN484" t="s">
        <v>74</v>
      </c>
      <c r="BO484" t="s">
        <v>74</v>
      </c>
      <c r="BP484" t="s">
        <v>74</v>
      </c>
      <c r="BQ484" t="s">
        <v>74</v>
      </c>
      <c r="BR484" t="s">
        <v>74</v>
      </c>
      <c r="BS484" t="s">
        <v>4502</v>
      </c>
      <c r="BT484" t="str">
        <f>HYPERLINK("https%3A%2F%2Fwww.webofscience.com%2Fwos%2Fwoscc%2Ffull-record%2FWOS:000929319500001","View Full Record in Web of Science")</f>
        <v>View Full Record in Web of Science</v>
      </c>
    </row>
    <row r="485" spans="1:72" x14ac:dyDescent="0.25">
      <c r="A485" t="s">
        <v>72</v>
      </c>
      <c r="B485" t="s">
        <v>4503</v>
      </c>
      <c r="C485" t="s">
        <v>74</v>
      </c>
      <c r="D485" t="s">
        <v>74</v>
      </c>
      <c r="E485" t="s">
        <v>74</v>
      </c>
      <c r="F485" t="s">
        <v>4504</v>
      </c>
      <c r="G485" t="s">
        <v>74</v>
      </c>
      <c r="H485" t="s">
        <v>74</v>
      </c>
      <c r="I485" t="s">
        <v>4505</v>
      </c>
      <c r="J485" t="s">
        <v>532</v>
      </c>
      <c r="K485" t="s">
        <v>74</v>
      </c>
      <c r="L485" t="s">
        <v>74</v>
      </c>
      <c r="M485" t="s">
        <v>74</v>
      </c>
      <c r="N485" t="s">
        <v>74</v>
      </c>
      <c r="O485" t="s">
        <v>74</v>
      </c>
      <c r="P485" t="s">
        <v>74</v>
      </c>
      <c r="Q485" t="s">
        <v>74</v>
      </c>
      <c r="R485" t="s">
        <v>74</v>
      </c>
      <c r="S485" t="s">
        <v>74</v>
      </c>
      <c r="T485" t="s">
        <v>74</v>
      </c>
      <c r="U485" t="s">
        <v>74</v>
      </c>
      <c r="V485" t="s">
        <v>4506</v>
      </c>
      <c r="W485" t="s">
        <v>74</v>
      </c>
      <c r="X485" t="s">
        <v>74</v>
      </c>
      <c r="Y485" t="s">
        <v>74</v>
      </c>
      <c r="Z485" t="s">
        <v>74</v>
      </c>
      <c r="AA485" t="s">
        <v>74</v>
      </c>
      <c r="AB485" t="s">
        <v>4507</v>
      </c>
      <c r="AC485" t="s">
        <v>74</v>
      </c>
      <c r="AD485" t="s">
        <v>74</v>
      </c>
      <c r="AE485" t="s">
        <v>74</v>
      </c>
      <c r="AF485" t="s">
        <v>74</v>
      </c>
      <c r="AG485" t="s">
        <v>74</v>
      </c>
      <c r="AH485" t="s">
        <v>74</v>
      </c>
      <c r="AI485" t="s">
        <v>74</v>
      </c>
      <c r="AJ485" t="s">
        <v>74</v>
      </c>
      <c r="AK485" t="s">
        <v>74</v>
      </c>
      <c r="AL485" t="s">
        <v>74</v>
      </c>
      <c r="AM485" t="s">
        <v>74</v>
      </c>
      <c r="AN485" t="s">
        <v>74</v>
      </c>
      <c r="AO485" t="s">
        <v>534</v>
      </c>
      <c r="AP485" t="s">
        <v>535</v>
      </c>
      <c r="AQ485" t="s">
        <v>74</v>
      </c>
      <c r="AR485" t="s">
        <v>74</v>
      </c>
      <c r="AS485" t="s">
        <v>74</v>
      </c>
      <c r="AT485" t="s">
        <v>465</v>
      </c>
      <c r="AU485">
        <v>2022</v>
      </c>
      <c r="AV485">
        <v>75</v>
      </c>
      <c r="AW485" t="s">
        <v>74</v>
      </c>
      <c r="AX485" t="s">
        <v>74</v>
      </c>
      <c r="AY485" t="s">
        <v>74</v>
      </c>
      <c r="AZ485" t="s">
        <v>74</v>
      </c>
      <c r="BA485" t="s">
        <v>74</v>
      </c>
      <c r="BB485" t="s">
        <v>74</v>
      </c>
      <c r="BC485" t="s">
        <v>74</v>
      </c>
      <c r="BD485">
        <v>102281</v>
      </c>
      <c r="BE485" t="s">
        <v>4508</v>
      </c>
      <c r="BF485" t="str">
        <f>HYPERLINK("http://dx.doi.org/10.1016/j.displa.2022.102281","http://dx.doi.org/10.1016/j.displa.2022.102281")</f>
        <v>http://dx.doi.org/10.1016/j.displa.2022.102281</v>
      </c>
      <c r="BG485" t="s">
        <v>74</v>
      </c>
      <c r="BH485" t="s">
        <v>1065</v>
      </c>
      <c r="BI485" t="s">
        <v>74</v>
      </c>
      <c r="BJ485" t="s">
        <v>74</v>
      </c>
      <c r="BK485" t="s">
        <v>74</v>
      </c>
      <c r="BL485" t="s">
        <v>74</v>
      </c>
      <c r="BM485" t="s">
        <v>74</v>
      </c>
      <c r="BN485" t="s">
        <v>74</v>
      </c>
      <c r="BO485" t="s">
        <v>74</v>
      </c>
      <c r="BP485" t="s">
        <v>74</v>
      </c>
      <c r="BQ485" t="s">
        <v>74</v>
      </c>
      <c r="BR485" t="s">
        <v>74</v>
      </c>
      <c r="BS485" t="s">
        <v>4509</v>
      </c>
      <c r="BT485" t="str">
        <f>HYPERLINK("https%3A%2F%2Fwww.webofscience.com%2Fwos%2Fwoscc%2Ffull-record%2FWOS:000883828200004","View Full Record in Web of Science")</f>
        <v>View Full Record in Web of Science</v>
      </c>
    </row>
    <row r="486" spans="1:72" x14ac:dyDescent="0.25">
      <c r="A486" t="s">
        <v>72</v>
      </c>
      <c r="B486" t="s">
        <v>4510</v>
      </c>
      <c r="C486" t="s">
        <v>74</v>
      </c>
      <c r="D486" t="s">
        <v>74</v>
      </c>
      <c r="E486" t="s">
        <v>74</v>
      </c>
      <c r="F486" t="s">
        <v>4511</v>
      </c>
      <c r="G486" t="s">
        <v>74</v>
      </c>
      <c r="H486" t="s">
        <v>74</v>
      </c>
      <c r="I486" t="s">
        <v>4512</v>
      </c>
      <c r="J486" t="s">
        <v>980</v>
      </c>
      <c r="K486" t="s">
        <v>74</v>
      </c>
      <c r="L486" t="s">
        <v>74</v>
      </c>
      <c r="M486" t="s">
        <v>74</v>
      </c>
      <c r="N486" t="s">
        <v>74</v>
      </c>
      <c r="O486" t="s">
        <v>74</v>
      </c>
      <c r="P486" t="s">
        <v>74</v>
      </c>
      <c r="Q486" t="s">
        <v>74</v>
      </c>
      <c r="R486" t="s">
        <v>74</v>
      </c>
      <c r="S486" t="s">
        <v>74</v>
      </c>
      <c r="T486" t="s">
        <v>74</v>
      </c>
      <c r="U486" t="s">
        <v>74</v>
      </c>
      <c r="V486" t="s">
        <v>4513</v>
      </c>
      <c r="W486" t="s">
        <v>74</v>
      </c>
      <c r="X486" t="s">
        <v>74</v>
      </c>
      <c r="Y486" t="s">
        <v>74</v>
      </c>
      <c r="Z486" t="s">
        <v>74</v>
      </c>
      <c r="AA486" t="s">
        <v>74</v>
      </c>
      <c r="AB486" t="s">
        <v>74</v>
      </c>
      <c r="AC486" t="s">
        <v>74</v>
      </c>
      <c r="AD486" t="s">
        <v>74</v>
      </c>
      <c r="AE486" t="s">
        <v>74</v>
      </c>
      <c r="AF486" t="s">
        <v>74</v>
      </c>
      <c r="AG486" t="s">
        <v>74</v>
      </c>
      <c r="AH486" t="s">
        <v>74</v>
      </c>
      <c r="AI486" t="s">
        <v>74</v>
      </c>
      <c r="AJ486" t="s">
        <v>74</v>
      </c>
      <c r="AK486" t="s">
        <v>74</v>
      </c>
      <c r="AL486" t="s">
        <v>74</v>
      </c>
      <c r="AM486" t="s">
        <v>74</v>
      </c>
      <c r="AN486" t="s">
        <v>74</v>
      </c>
      <c r="AO486" t="s">
        <v>982</v>
      </c>
      <c r="AP486" t="s">
        <v>983</v>
      </c>
      <c r="AQ486" t="s">
        <v>74</v>
      </c>
      <c r="AR486" t="s">
        <v>74</v>
      </c>
      <c r="AS486" t="s">
        <v>74</v>
      </c>
      <c r="AT486" t="s">
        <v>598</v>
      </c>
      <c r="AU486">
        <v>2022</v>
      </c>
      <c r="AV486">
        <v>36</v>
      </c>
      <c r="AW486">
        <v>4</v>
      </c>
      <c r="AX486" t="s">
        <v>74</v>
      </c>
      <c r="AY486" t="s">
        <v>74</v>
      </c>
      <c r="AZ486" t="s">
        <v>74</v>
      </c>
      <c r="BA486" t="s">
        <v>74</v>
      </c>
      <c r="BB486">
        <v>126</v>
      </c>
      <c r="BC486">
        <v>133</v>
      </c>
      <c r="BD486" t="s">
        <v>74</v>
      </c>
      <c r="BE486" t="s">
        <v>4514</v>
      </c>
      <c r="BF486" t="str">
        <f>HYPERLINK("http://dx.doi.org/10.1109/MNET.005.2100711","http://dx.doi.org/10.1109/MNET.005.2100711")</f>
        <v>http://dx.doi.org/10.1109/MNET.005.2100711</v>
      </c>
      <c r="BG486" t="s">
        <v>74</v>
      </c>
      <c r="BH486" t="s">
        <v>74</v>
      </c>
      <c r="BI486" t="s">
        <v>74</v>
      </c>
      <c r="BJ486" t="s">
        <v>74</v>
      </c>
      <c r="BK486" t="s">
        <v>74</v>
      </c>
      <c r="BL486" t="s">
        <v>74</v>
      </c>
      <c r="BM486" t="s">
        <v>74</v>
      </c>
      <c r="BN486" t="s">
        <v>74</v>
      </c>
      <c r="BO486" t="s">
        <v>74</v>
      </c>
      <c r="BP486" t="s">
        <v>74</v>
      </c>
      <c r="BQ486" t="s">
        <v>74</v>
      </c>
      <c r="BR486" t="s">
        <v>74</v>
      </c>
      <c r="BS486" t="s">
        <v>4515</v>
      </c>
      <c r="BT486" t="str">
        <f>HYPERLINK("https%3A%2F%2Fwww.webofscience.com%2Fwos%2Fwoscc%2Ffull-record%2FWOS:000870302200029","View Full Record in Web of Science")</f>
        <v>View Full Record in Web of Science</v>
      </c>
    </row>
    <row r="487" spans="1:72" x14ac:dyDescent="0.25">
      <c r="A487" t="s">
        <v>84</v>
      </c>
      <c r="B487" t="s">
        <v>4516</v>
      </c>
      <c r="C487" t="s">
        <v>74</v>
      </c>
      <c r="D487" t="s">
        <v>2967</v>
      </c>
      <c r="E487" t="s">
        <v>74</v>
      </c>
      <c r="F487" t="s">
        <v>4517</v>
      </c>
      <c r="G487" t="s">
        <v>74</v>
      </c>
      <c r="H487" t="s">
        <v>74</v>
      </c>
      <c r="I487" t="s">
        <v>4518</v>
      </c>
      <c r="J487" t="s">
        <v>2970</v>
      </c>
      <c r="K487" t="s">
        <v>2971</v>
      </c>
      <c r="L487" t="s">
        <v>74</v>
      </c>
      <c r="M487" t="s">
        <v>74</v>
      </c>
      <c r="N487" t="s">
        <v>74</v>
      </c>
      <c r="O487" t="s">
        <v>2972</v>
      </c>
      <c r="P487" t="s">
        <v>2973</v>
      </c>
      <c r="Q487" t="s">
        <v>2422</v>
      </c>
      <c r="R487" t="s">
        <v>2974</v>
      </c>
      <c r="S487" t="s">
        <v>74</v>
      </c>
      <c r="T487" t="s">
        <v>74</v>
      </c>
      <c r="U487" t="s">
        <v>74</v>
      </c>
      <c r="V487" t="s">
        <v>4519</v>
      </c>
      <c r="W487" t="s">
        <v>74</v>
      </c>
      <c r="X487" t="s">
        <v>74</v>
      </c>
      <c r="Y487" t="s">
        <v>74</v>
      </c>
      <c r="Z487" t="s">
        <v>74</v>
      </c>
      <c r="AA487" t="s">
        <v>74</v>
      </c>
      <c r="AB487" t="s">
        <v>74</v>
      </c>
      <c r="AC487" t="s">
        <v>74</v>
      </c>
      <c r="AD487" t="s">
        <v>74</v>
      </c>
      <c r="AE487" t="s">
        <v>74</v>
      </c>
      <c r="AF487" t="s">
        <v>74</v>
      </c>
      <c r="AG487" t="s">
        <v>74</v>
      </c>
      <c r="AH487" t="s">
        <v>74</v>
      </c>
      <c r="AI487" t="s">
        <v>74</v>
      </c>
      <c r="AJ487" t="s">
        <v>74</v>
      </c>
      <c r="AK487" t="s">
        <v>74</v>
      </c>
      <c r="AL487" t="s">
        <v>74</v>
      </c>
      <c r="AM487" t="s">
        <v>74</v>
      </c>
      <c r="AN487" t="s">
        <v>74</v>
      </c>
      <c r="AO487" t="s">
        <v>164</v>
      </c>
      <c r="AP487" t="s">
        <v>165</v>
      </c>
      <c r="AQ487" t="s">
        <v>2977</v>
      </c>
      <c r="AR487" t="s">
        <v>74</v>
      </c>
      <c r="AS487" t="s">
        <v>74</v>
      </c>
      <c r="AT487" t="s">
        <v>74</v>
      </c>
      <c r="AU487">
        <v>2022</v>
      </c>
      <c r="AV487">
        <v>13395</v>
      </c>
      <c r="AW487" t="s">
        <v>74</v>
      </c>
      <c r="AX487" t="s">
        <v>74</v>
      </c>
      <c r="AY487" t="s">
        <v>74</v>
      </c>
      <c r="AZ487" t="s">
        <v>74</v>
      </c>
      <c r="BA487" t="s">
        <v>74</v>
      </c>
      <c r="BB487">
        <v>162</v>
      </c>
      <c r="BC487">
        <v>169</v>
      </c>
      <c r="BD487" t="s">
        <v>74</v>
      </c>
      <c r="BE487" t="s">
        <v>4520</v>
      </c>
      <c r="BF487" t="str">
        <f>HYPERLINK("http://dx.doi.org/10.1007/978-3-031-13832-4_14","http://dx.doi.org/10.1007/978-3-031-13832-4_14")</f>
        <v>http://dx.doi.org/10.1007/978-3-031-13832-4_14</v>
      </c>
      <c r="BG487" t="s">
        <v>74</v>
      </c>
      <c r="BH487" t="s">
        <v>74</v>
      </c>
      <c r="BI487" t="s">
        <v>74</v>
      </c>
      <c r="BJ487" t="s">
        <v>74</v>
      </c>
      <c r="BK487" t="s">
        <v>74</v>
      </c>
      <c r="BL487" t="s">
        <v>74</v>
      </c>
      <c r="BM487" t="s">
        <v>74</v>
      </c>
      <c r="BN487" t="s">
        <v>74</v>
      </c>
      <c r="BO487" t="s">
        <v>74</v>
      </c>
      <c r="BP487" t="s">
        <v>74</v>
      </c>
      <c r="BQ487" t="s">
        <v>74</v>
      </c>
      <c r="BR487" t="s">
        <v>74</v>
      </c>
      <c r="BS487" t="s">
        <v>4521</v>
      </c>
      <c r="BT487" t="str">
        <f>HYPERLINK("https%3A%2F%2Fwww.webofscience.com%2Fwos%2Fwoscc%2Ffull-record%2FWOS:000870337200014","View Full Record in Web of Science")</f>
        <v>View Full Record in Web of Science</v>
      </c>
    </row>
    <row r="488" spans="1:72" x14ac:dyDescent="0.25">
      <c r="A488" t="s">
        <v>72</v>
      </c>
      <c r="B488" t="s">
        <v>4522</v>
      </c>
      <c r="C488" t="s">
        <v>74</v>
      </c>
      <c r="D488" t="s">
        <v>74</v>
      </c>
      <c r="E488" t="s">
        <v>74</v>
      </c>
      <c r="F488" t="s">
        <v>4523</v>
      </c>
      <c r="G488" t="s">
        <v>74</v>
      </c>
      <c r="H488" t="s">
        <v>74</v>
      </c>
      <c r="I488" t="s">
        <v>4524</v>
      </c>
      <c r="J488" t="s">
        <v>1089</v>
      </c>
      <c r="K488" t="s">
        <v>74</v>
      </c>
      <c r="L488" t="s">
        <v>74</v>
      </c>
      <c r="M488" t="s">
        <v>74</v>
      </c>
      <c r="N488" t="s">
        <v>74</v>
      </c>
      <c r="O488" t="s">
        <v>74</v>
      </c>
      <c r="P488" t="s">
        <v>74</v>
      </c>
      <c r="Q488" t="s">
        <v>74</v>
      </c>
      <c r="R488" t="s">
        <v>74</v>
      </c>
      <c r="S488" t="s">
        <v>74</v>
      </c>
      <c r="T488" t="s">
        <v>74</v>
      </c>
      <c r="U488" t="s">
        <v>74</v>
      </c>
      <c r="V488" t="s">
        <v>4525</v>
      </c>
      <c r="W488" t="s">
        <v>74</v>
      </c>
      <c r="X488" t="s">
        <v>74</v>
      </c>
      <c r="Y488" t="s">
        <v>74</v>
      </c>
      <c r="Z488" t="s">
        <v>74</v>
      </c>
      <c r="AA488" t="s">
        <v>74</v>
      </c>
      <c r="AB488" t="s">
        <v>74</v>
      </c>
      <c r="AC488" t="s">
        <v>74</v>
      </c>
      <c r="AD488" t="s">
        <v>74</v>
      </c>
      <c r="AE488" t="s">
        <v>74</v>
      </c>
      <c r="AF488" t="s">
        <v>74</v>
      </c>
      <c r="AG488" t="s">
        <v>74</v>
      </c>
      <c r="AH488" t="s">
        <v>74</v>
      </c>
      <c r="AI488" t="s">
        <v>74</v>
      </c>
      <c r="AJ488" t="s">
        <v>74</v>
      </c>
      <c r="AK488" t="s">
        <v>74</v>
      </c>
      <c r="AL488" t="s">
        <v>74</v>
      </c>
      <c r="AM488" t="s">
        <v>74</v>
      </c>
      <c r="AN488" t="s">
        <v>74</v>
      </c>
      <c r="AO488" t="s">
        <v>1092</v>
      </c>
      <c r="AP488" t="s">
        <v>1093</v>
      </c>
      <c r="AQ488" t="s">
        <v>74</v>
      </c>
      <c r="AR488" t="s">
        <v>74</v>
      </c>
      <c r="AS488" t="s">
        <v>74</v>
      </c>
      <c r="AT488" t="s">
        <v>4526</v>
      </c>
      <c r="AU488">
        <v>2022</v>
      </c>
      <c r="AV488">
        <v>2022</v>
      </c>
      <c r="AW488" t="s">
        <v>74</v>
      </c>
      <c r="AX488" t="s">
        <v>74</v>
      </c>
      <c r="AY488" t="s">
        <v>74</v>
      </c>
      <c r="AZ488" t="s">
        <v>74</v>
      </c>
      <c r="BA488" t="s">
        <v>74</v>
      </c>
      <c r="BB488" t="s">
        <v>74</v>
      </c>
      <c r="BC488" t="s">
        <v>74</v>
      </c>
      <c r="BD488">
        <v>7585288</v>
      </c>
      <c r="BE488" t="s">
        <v>4527</v>
      </c>
      <c r="BF488" t="str">
        <f>HYPERLINK("http://dx.doi.org/10.1155/2022/7585288","http://dx.doi.org/10.1155/2022/7585288")</f>
        <v>http://dx.doi.org/10.1155/2022/7585288</v>
      </c>
      <c r="BG488" t="s">
        <v>74</v>
      </c>
      <c r="BH488" t="s">
        <v>74</v>
      </c>
      <c r="BI488" t="s">
        <v>74</v>
      </c>
      <c r="BJ488" t="s">
        <v>74</v>
      </c>
      <c r="BK488" t="s">
        <v>74</v>
      </c>
      <c r="BL488" t="s">
        <v>74</v>
      </c>
      <c r="BM488" t="s">
        <v>74</v>
      </c>
      <c r="BN488" t="s">
        <v>74</v>
      </c>
      <c r="BO488" t="s">
        <v>74</v>
      </c>
      <c r="BP488" t="s">
        <v>74</v>
      </c>
      <c r="BQ488" t="s">
        <v>74</v>
      </c>
      <c r="BR488" t="s">
        <v>74</v>
      </c>
      <c r="BS488" t="s">
        <v>4528</v>
      </c>
      <c r="BT488" t="str">
        <f>HYPERLINK("https%3A%2F%2Fwww.webofscience.com%2Fwos%2Fwoscc%2Ffull-record%2FWOS:000861306900006","View Full Record in Web of Science")</f>
        <v>View Full Record in Web of Science</v>
      </c>
    </row>
    <row r="489" spans="1:72" x14ac:dyDescent="0.25">
      <c r="A489" t="s">
        <v>84</v>
      </c>
      <c r="B489" t="s">
        <v>4529</v>
      </c>
      <c r="C489" t="s">
        <v>74</v>
      </c>
      <c r="D489" t="s">
        <v>74</v>
      </c>
      <c r="E489" t="s">
        <v>86</v>
      </c>
      <c r="F489" t="s">
        <v>4530</v>
      </c>
      <c r="G489" t="s">
        <v>74</v>
      </c>
      <c r="H489" t="s">
        <v>74</v>
      </c>
      <c r="I489" t="s">
        <v>4531</v>
      </c>
      <c r="J489" t="s">
        <v>181</v>
      </c>
      <c r="K489" t="s">
        <v>74</v>
      </c>
      <c r="L489" t="s">
        <v>74</v>
      </c>
      <c r="M489" t="s">
        <v>74</v>
      </c>
      <c r="N489" t="s">
        <v>74</v>
      </c>
      <c r="O489" t="s">
        <v>182</v>
      </c>
      <c r="P489" t="s">
        <v>183</v>
      </c>
      <c r="Q489" t="s">
        <v>184</v>
      </c>
      <c r="R489" t="s">
        <v>185</v>
      </c>
      <c r="S489" t="s">
        <v>74</v>
      </c>
      <c r="T489" t="s">
        <v>74</v>
      </c>
      <c r="U489" t="s">
        <v>74</v>
      </c>
      <c r="V489" t="s">
        <v>4532</v>
      </c>
      <c r="W489" t="s">
        <v>74</v>
      </c>
      <c r="X489" t="s">
        <v>74</v>
      </c>
      <c r="Y489" t="s">
        <v>74</v>
      </c>
      <c r="Z489" t="s">
        <v>74</v>
      </c>
      <c r="AA489" t="s">
        <v>74</v>
      </c>
      <c r="AB489" t="s">
        <v>4533</v>
      </c>
      <c r="AC489" t="s">
        <v>74</v>
      </c>
      <c r="AD489" t="s">
        <v>74</v>
      </c>
      <c r="AE489" t="s">
        <v>74</v>
      </c>
      <c r="AF489" t="s">
        <v>74</v>
      </c>
      <c r="AG489" t="s">
        <v>74</v>
      </c>
      <c r="AH489" t="s">
        <v>74</v>
      </c>
      <c r="AI489" t="s">
        <v>74</v>
      </c>
      <c r="AJ489" t="s">
        <v>74</v>
      </c>
      <c r="AK489" t="s">
        <v>74</v>
      </c>
      <c r="AL489" t="s">
        <v>74</v>
      </c>
      <c r="AM489" t="s">
        <v>74</v>
      </c>
      <c r="AN489" t="s">
        <v>74</v>
      </c>
      <c r="AO489" t="s">
        <v>74</v>
      </c>
      <c r="AP489" t="s">
        <v>74</v>
      </c>
      <c r="AQ489" t="s">
        <v>187</v>
      </c>
      <c r="AR489" t="s">
        <v>74</v>
      </c>
      <c r="AS489" t="s">
        <v>74</v>
      </c>
      <c r="AT489" t="s">
        <v>74</v>
      </c>
      <c r="AU489">
        <v>2022</v>
      </c>
      <c r="AV489" t="s">
        <v>74</v>
      </c>
      <c r="AW489" t="s">
        <v>74</v>
      </c>
      <c r="AX489" t="s">
        <v>74</v>
      </c>
      <c r="AY489" t="s">
        <v>74</v>
      </c>
      <c r="AZ489" t="s">
        <v>74</v>
      </c>
      <c r="BA489" t="s">
        <v>74</v>
      </c>
      <c r="BB489">
        <v>133</v>
      </c>
      <c r="BC489">
        <v>138</v>
      </c>
      <c r="BD489" t="s">
        <v>74</v>
      </c>
      <c r="BE489" t="s">
        <v>4534</v>
      </c>
      <c r="BF489" t="str">
        <f>HYPERLINK("http://dx.doi.org/10.1109/MetroXRAINE54828.2022.9967626","http://dx.doi.org/10.1109/MetroXRAINE54828.2022.9967626")</f>
        <v>http://dx.doi.org/10.1109/MetroXRAINE54828.2022.9967626</v>
      </c>
      <c r="BG489" t="s">
        <v>74</v>
      </c>
      <c r="BH489" t="s">
        <v>74</v>
      </c>
      <c r="BI489" t="s">
        <v>74</v>
      </c>
      <c r="BJ489" t="s">
        <v>74</v>
      </c>
      <c r="BK489" t="s">
        <v>74</v>
      </c>
      <c r="BL489" t="s">
        <v>74</v>
      </c>
      <c r="BM489" t="s">
        <v>74</v>
      </c>
      <c r="BN489" t="s">
        <v>74</v>
      </c>
      <c r="BO489" t="s">
        <v>74</v>
      </c>
      <c r="BP489" t="s">
        <v>74</v>
      </c>
      <c r="BQ489" t="s">
        <v>74</v>
      </c>
      <c r="BR489" t="s">
        <v>74</v>
      </c>
      <c r="BS489" t="s">
        <v>4535</v>
      </c>
      <c r="BT489" t="str">
        <f>HYPERLINK("https%3A%2F%2Fwww.webofscience.com%2Fwos%2Fwoscc%2Ffull-record%2FWOS:000947347200024","View Full Record in Web of Science")</f>
        <v>View Full Record in Web of Science</v>
      </c>
    </row>
    <row r="490" spans="1:72" x14ac:dyDescent="0.25">
      <c r="A490" t="s">
        <v>72</v>
      </c>
      <c r="B490" t="s">
        <v>4536</v>
      </c>
      <c r="C490" t="s">
        <v>74</v>
      </c>
      <c r="D490" t="s">
        <v>74</v>
      </c>
      <c r="E490" t="s">
        <v>74</v>
      </c>
      <c r="F490" t="s">
        <v>4537</v>
      </c>
      <c r="G490" t="s">
        <v>74</v>
      </c>
      <c r="H490" t="s">
        <v>74</v>
      </c>
      <c r="I490" t="s">
        <v>4538</v>
      </c>
      <c r="J490" t="s">
        <v>4539</v>
      </c>
      <c r="K490" t="s">
        <v>74</v>
      </c>
      <c r="L490" t="s">
        <v>74</v>
      </c>
      <c r="M490" t="s">
        <v>74</v>
      </c>
      <c r="N490" t="s">
        <v>74</v>
      </c>
      <c r="O490" t="s">
        <v>74</v>
      </c>
      <c r="P490" t="s">
        <v>74</v>
      </c>
      <c r="Q490" t="s">
        <v>74</v>
      </c>
      <c r="R490" t="s">
        <v>74</v>
      </c>
      <c r="S490" t="s">
        <v>74</v>
      </c>
      <c r="T490" t="s">
        <v>74</v>
      </c>
      <c r="U490" t="s">
        <v>74</v>
      </c>
      <c r="V490" t="s">
        <v>4540</v>
      </c>
      <c r="W490" t="s">
        <v>74</v>
      </c>
      <c r="X490" t="s">
        <v>74</v>
      </c>
      <c r="Y490" t="s">
        <v>74</v>
      </c>
      <c r="Z490" t="s">
        <v>74</v>
      </c>
      <c r="AA490" t="s">
        <v>4541</v>
      </c>
      <c r="AB490" t="s">
        <v>4542</v>
      </c>
      <c r="AC490" t="s">
        <v>74</v>
      </c>
      <c r="AD490" t="s">
        <v>74</v>
      </c>
      <c r="AE490" t="s">
        <v>74</v>
      </c>
      <c r="AF490" t="s">
        <v>74</v>
      </c>
      <c r="AG490" t="s">
        <v>74</v>
      </c>
      <c r="AH490" t="s">
        <v>74</v>
      </c>
      <c r="AI490" t="s">
        <v>74</v>
      </c>
      <c r="AJ490" t="s">
        <v>74</v>
      </c>
      <c r="AK490" t="s">
        <v>74</v>
      </c>
      <c r="AL490" t="s">
        <v>74</v>
      </c>
      <c r="AM490" t="s">
        <v>74</v>
      </c>
      <c r="AN490" t="s">
        <v>74</v>
      </c>
      <c r="AO490" t="s">
        <v>4543</v>
      </c>
      <c r="AP490" t="s">
        <v>74</v>
      </c>
      <c r="AQ490" t="s">
        <v>74</v>
      </c>
      <c r="AR490" t="s">
        <v>74</v>
      </c>
      <c r="AS490" t="s">
        <v>74</v>
      </c>
      <c r="AT490" t="s">
        <v>389</v>
      </c>
      <c r="AU490">
        <v>2022</v>
      </c>
      <c r="AV490">
        <v>9</v>
      </c>
      <c r="AW490">
        <v>3</v>
      </c>
      <c r="AX490" t="s">
        <v>74</v>
      </c>
      <c r="AY490" t="s">
        <v>74</v>
      </c>
      <c r="AZ490" t="s">
        <v>74</v>
      </c>
      <c r="BA490" t="s">
        <v>74</v>
      </c>
      <c r="BB490" t="s">
        <v>74</v>
      </c>
      <c r="BC490" t="s">
        <v>74</v>
      </c>
      <c r="BD490">
        <v>31404</v>
      </c>
      <c r="BE490" t="s">
        <v>4544</v>
      </c>
      <c r="BF490" t="str">
        <f>HYPERLINK("http://dx.doi.org/10.1063/5.0094289","http://dx.doi.org/10.1063/5.0094289")</f>
        <v>http://dx.doi.org/10.1063/5.0094289</v>
      </c>
      <c r="BG490" t="s">
        <v>74</v>
      </c>
      <c r="BH490" t="s">
        <v>74</v>
      </c>
      <c r="BI490" t="s">
        <v>74</v>
      </c>
      <c r="BJ490" t="s">
        <v>74</v>
      </c>
      <c r="BK490" t="s">
        <v>74</v>
      </c>
      <c r="BL490" t="s">
        <v>74</v>
      </c>
      <c r="BM490" t="s">
        <v>74</v>
      </c>
      <c r="BN490" t="s">
        <v>74</v>
      </c>
      <c r="BO490" t="s">
        <v>74</v>
      </c>
      <c r="BP490" t="s">
        <v>74</v>
      </c>
      <c r="BQ490" t="s">
        <v>74</v>
      </c>
      <c r="BR490" t="s">
        <v>74</v>
      </c>
      <c r="BS490" t="s">
        <v>4545</v>
      </c>
      <c r="BT490" t="str">
        <f>HYPERLINK("https%3A%2F%2Fwww.webofscience.com%2Fwos%2Fwoscc%2Ffull-record%2FWOS:000838416700001","View Full Record in Web of Science")</f>
        <v>View Full Record in Web of Science</v>
      </c>
    </row>
    <row r="491" spans="1:72" x14ac:dyDescent="0.25">
      <c r="A491" t="s">
        <v>84</v>
      </c>
      <c r="B491" t="s">
        <v>4546</v>
      </c>
      <c r="C491" t="s">
        <v>74</v>
      </c>
      <c r="D491" t="s">
        <v>74</v>
      </c>
      <c r="E491" t="s">
        <v>233</v>
      </c>
      <c r="F491" t="s">
        <v>4547</v>
      </c>
      <c r="G491" t="s">
        <v>74</v>
      </c>
      <c r="H491" t="s">
        <v>74</v>
      </c>
      <c r="I491" t="s">
        <v>4548</v>
      </c>
      <c r="J491" t="s">
        <v>4549</v>
      </c>
      <c r="K491" t="s">
        <v>74</v>
      </c>
      <c r="L491" t="s">
        <v>74</v>
      </c>
      <c r="M491" t="s">
        <v>74</v>
      </c>
      <c r="N491" t="s">
        <v>74</v>
      </c>
      <c r="O491" t="s">
        <v>4550</v>
      </c>
      <c r="P491" t="s">
        <v>4551</v>
      </c>
      <c r="Q491" t="s">
        <v>4552</v>
      </c>
      <c r="R491" t="s">
        <v>4553</v>
      </c>
      <c r="S491" t="s">
        <v>74</v>
      </c>
      <c r="T491" t="s">
        <v>74</v>
      </c>
      <c r="U491" t="s">
        <v>74</v>
      </c>
      <c r="V491" t="s">
        <v>4554</v>
      </c>
      <c r="W491" t="s">
        <v>74</v>
      </c>
      <c r="X491" t="s">
        <v>74</v>
      </c>
      <c r="Y491" t="s">
        <v>74</v>
      </c>
      <c r="Z491" t="s">
        <v>74</v>
      </c>
      <c r="AA491" t="s">
        <v>74</v>
      </c>
      <c r="AB491" t="s">
        <v>74</v>
      </c>
      <c r="AC491" t="s">
        <v>74</v>
      </c>
      <c r="AD491" t="s">
        <v>74</v>
      </c>
      <c r="AE491" t="s">
        <v>74</v>
      </c>
      <c r="AF491" t="s">
        <v>74</v>
      </c>
      <c r="AG491" t="s">
        <v>74</v>
      </c>
      <c r="AH491" t="s">
        <v>74</v>
      </c>
      <c r="AI491" t="s">
        <v>74</v>
      </c>
      <c r="AJ491" t="s">
        <v>74</v>
      </c>
      <c r="AK491" t="s">
        <v>74</v>
      </c>
      <c r="AL491" t="s">
        <v>74</v>
      </c>
      <c r="AM491" t="s">
        <v>74</v>
      </c>
      <c r="AN491" t="s">
        <v>74</v>
      </c>
      <c r="AO491" t="s">
        <v>74</v>
      </c>
      <c r="AP491" t="s">
        <v>74</v>
      </c>
      <c r="AQ491" t="s">
        <v>4555</v>
      </c>
      <c r="AR491" t="s">
        <v>74</v>
      </c>
      <c r="AS491" t="s">
        <v>74</v>
      </c>
      <c r="AT491" t="s">
        <v>74</v>
      </c>
      <c r="AU491">
        <v>2022</v>
      </c>
      <c r="AV491" t="s">
        <v>74</v>
      </c>
      <c r="AW491" t="s">
        <v>74</v>
      </c>
      <c r="AX491" t="s">
        <v>74</v>
      </c>
      <c r="AY491" t="s">
        <v>74</v>
      </c>
      <c r="AZ491" t="s">
        <v>74</v>
      </c>
      <c r="BA491" t="s">
        <v>74</v>
      </c>
      <c r="BB491">
        <v>175</v>
      </c>
      <c r="BC491">
        <v>188</v>
      </c>
      <c r="BD491" t="s">
        <v>74</v>
      </c>
      <c r="BE491" t="s">
        <v>4556</v>
      </c>
      <c r="BF491" t="str">
        <f>HYPERLINK("http://dx.doi.org/10.1109/SEC54971.2022.00021","http://dx.doi.org/10.1109/SEC54971.2022.00021")</f>
        <v>http://dx.doi.org/10.1109/SEC54971.2022.00021</v>
      </c>
      <c r="BG491" t="s">
        <v>74</v>
      </c>
      <c r="BH491" t="s">
        <v>74</v>
      </c>
      <c r="BI491" t="s">
        <v>74</v>
      </c>
      <c r="BJ491" t="s">
        <v>74</v>
      </c>
      <c r="BK491" t="s">
        <v>74</v>
      </c>
      <c r="BL491" t="s">
        <v>74</v>
      </c>
      <c r="BM491" t="s">
        <v>74</v>
      </c>
      <c r="BN491" t="s">
        <v>74</v>
      </c>
      <c r="BO491" t="s">
        <v>74</v>
      </c>
      <c r="BP491" t="s">
        <v>74</v>
      </c>
      <c r="BQ491" t="s">
        <v>74</v>
      </c>
      <c r="BR491" t="s">
        <v>74</v>
      </c>
      <c r="BS491" t="s">
        <v>4557</v>
      </c>
      <c r="BT491" t="str">
        <f>HYPERLINK("https%3A%2F%2Fwww.webofscience.com%2Fwos%2Fwoscc%2Ffull-record%2FWOS:000918607200014","View Full Record in Web of Science")</f>
        <v>View Full Record in Web of Science</v>
      </c>
    </row>
    <row r="492" spans="1:72" x14ac:dyDescent="0.25">
      <c r="A492" t="s">
        <v>72</v>
      </c>
      <c r="B492" t="s">
        <v>4558</v>
      </c>
      <c r="C492" t="s">
        <v>74</v>
      </c>
      <c r="D492" t="s">
        <v>74</v>
      </c>
      <c r="E492" t="s">
        <v>74</v>
      </c>
      <c r="F492" t="s">
        <v>4559</v>
      </c>
      <c r="G492" t="s">
        <v>74</v>
      </c>
      <c r="H492" t="s">
        <v>74</v>
      </c>
      <c r="I492" t="s">
        <v>4560</v>
      </c>
      <c r="J492" t="s">
        <v>201</v>
      </c>
      <c r="K492" t="s">
        <v>74</v>
      </c>
      <c r="L492" t="s">
        <v>74</v>
      </c>
      <c r="M492" t="s">
        <v>74</v>
      </c>
      <c r="N492" t="s">
        <v>74</v>
      </c>
      <c r="O492" t="s">
        <v>74</v>
      </c>
      <c r="P492" t="s">
        <v>74</v>
      </c>
      <c r="Q492" t="s">
        <v>74</v>
      </c>
      <c r="R492" t="s">
        <v>74</v>
      </c>
      <c r="S492" t="s">
        <v>74</v>
      </c>
      <c r="T492" t="s">
        <v>74</v>
      </c>
      <c r="U492" t="s">
        <v>74</v>
      </c>
      <c r="V492" t="s">
        <v>4561</v>
      </c>
      <c r="W492" t="s">
        <v>74</v>
      </c>
      <c r="X492" t="s">
        <v>74</v>
      </c>
      <c r="Y492" t="s">
        <v>74</v>
      </c>
      <c r="Z492" t="s">
        <v>74</v>
      </c>
      <c r="AA492" t="s">
        <v>74</v>
      </c>
      <c r="AB492" t="s">
        <v>4562</v>
      </c>
      <c r="AC492" t="s">
        <v>74</v>
      </c>
      <c r="AD492" t="s">
        <v>74</v>
      </c>
      <c r="AE492" t="s">
        <v>74</v>
      </c>
      <c r="AF492" t="s">
        <v>74</v>
      </c>
      <c r="AG492" t="s">
        <v>74</v>
      </c>
      <c r="AH492" t="s">
        <v>74</v>
      </c>
      <c r="AI492" t="s">
        <v>74</v>
      </c>
      <c r="AJ492" t="s">
        <v>74</v>
      </c>
      <c r="AK492" t="s">
        <v>74</v>
      </c>
      <c r="AL492" t="s">
        <v>74</v>
      </c>
      <c r="AM492" t="s">
        <v>74</v>
      </c>
      <c r="AN492" t="s">
        <v>74</v>
      </c>
      <c r="AO492" t="s">
        <v>205</v>
      </c>
      <c r="AP492" t="s">
        <v>74</v>
      </c>
      <c r="AQ492" t="s">
        <v>74</v>
      </c>
      <c r="AR492" t="s">
        <v>74</v>
      </c>
      <c r="AS492" t="s">
        <v>74</v>
      </c>
      <c r="AT492" t="s">
        <v>74</v>
      </c>
      <c r="AU492">
        <v>2022</v>
      </c>
      <c r="AV492">
        <v>10</v>
      </c>
      <c r="AW492" t="s">
        <v>74</v>
      </c>
      <c r="AX492" t="s">
        <v>74</v>
      </c>
      <c r="AY492" t="s">
        <v>74</v>
      </c>
      <c r="AZ492" t="s">
        <v>74</v>
      </c>
      <c r="BA492" t="s">
        <v>74</v>
      </c>
      <c r="BB492">
        <v>112845</v>
      </c>
      <c r="BC492">
        <v>112857</v>
      </c>
      <c r="BD492" t="s">
        <v>74</v>
      </c>
      <c r="BE492" t="s">
        <v>4563</v>
      </c>
      <c r="BF492" t="str">
        <f>HYPERLINK("http://dx.doi.org/10.1109/ACCESS.2022.3216874","http://dx.doi.org/10.1109/ACCESS.2022.3216874")</f>
        <v>http://dx.doi.org/10.1109/ACCESS.2022.3216874</v>
      </c>
      <c r="BG492" t="s">
        <v>74</v>
      </c>
      <c r="BH492" t="s">
        <v>74</v>
      </c>
      <c r="BI492" t="s">
        <v>74</v>
      </c>
      <c r="BJ492" t="s">
        <v>74</v>
      </c>
      <c r="BK492" t="s">
        <v>74</v>
      </c>
      <c r="BL492" t="s">
        <v>74</v>
      </c>
      <c r="BM492" t="s">
        <v>74</v>
      </c>
      <c r="BN492" t="s">
        <v>74</v>
      </c>
      <c r="BO492" t="s">
        <v>74</v>
      </c>
      <c r="BP492" t="s">
        <v>74</v>
      </c>
      <c r="BQ492" t="s">
        <v>74</v>
      </c>
      <c r="BR492" t="s">
        <v>74</v>
      </c>
      <c r="BS492" t="s">
        <v>4564</v>
      </c>
      <c r="BT492" t="str">
        <f>HYPERLINK("https%3A%2F%2Fwww.webofscience.com%2Fwos%2Fwoscc%2Ffull-record%2FWOS:000878136700001","View Full Record in Web of Science")</f>
        <v>View Full Record in Web of Science</v>
      </c>
    </row>
    <row r="493" spans="1:72" x14ac:dyDescent="0.25">
      <c r="A493" t="s">
        <v>84</v>
      </c>
      <c r="B493" t="s">
        <v>4565</v>
      </c>
      <c r="C493" t="s">
        <v>74</v>
      </c>
      <c r="D493" t="s">
        <v>3672</v>
      </c>
      <c r="E493" t="s">
        <v>74</v>
      </c>
      <c r="F493" t="s">
        <v>4566</v>
      </c>
      <c r="G493" t="s">
        <v>74</v>
      </c>
      <c r="H493" t="s">
        <v>74</v>
      </c>
      <c r="I493" t="s">
        <v>4567</v>
      </c>
      <c r="J493" t="s">
        <v>4568</v>
      </c>
      <c r="K493" t="s">
        <v>158</v>
      </c>
      <c r="L493" t="s">
        <v>74</v>
      </c>
      <c r="M493" t="s">
        <v>74</v>
      </c>
      <c r="N493" t="s">
        <v>74</v>
      </c>
      <c r="O493" t="s">
        <v>3676</v>
      </c>
      <c r="P493" t="s">
        <v>3177</v>
      </c>
      <c r="Q493" t="s">
        <v>3677</v>
      </c>
      <c r="R493" t="s">
        <v>74</v>
      </c>
      <c r="S493" t="s">
        <v>74</v>
      </c>
      <c r="T493" t="s">
        <v>74</v>
      </c>
      <c r="U493" t="s">
        <v>74</v>
      </c>
      <c r="V493" t="s">
        <v>4569</v>
      </c>
      <c r="W493" t="s">
        <v>74</v>
      </c>
      <c r="X493" t="s">
        <v>74</v>
      </c>
      <c r="Y493" t="s">
        <v>74</v>
      </c>
      <c r="Z493" t="s">
        <v>74</v>
      </c>
      <c r="AA493" t="s">
        <v>74</v>
      </c>
      <c r="AB493" t="s">
        <v>74</v>
      </c>
      <c r="AC493" t="s">
        <v>74</v>
      </c>
      <c r="AD493" t="s">
        <v>74</v>
      </c>
      <c r="AE493" t="s">
        <v>74</v>
      </c>
      <c r="AF493" t="s">
        <v>74</v>
      </c>
      <c r="AG493" t="s">
        <v>74</v>
      </c>
      <c r="AH493" t="s">
        <v>74</v>
      </c>
      <c r="AI493" t="s">
        <v>74</v>
      </c>
      <c r="AJ493" t="s">
        <v>74</v>
      </c>
      <c r="AK493" t="s">
        <v>74</v>
      </c>
      <c r="AL493" t="s">
        <v>74</v>
      </c>
      <c r="AM493" t="s">
        <v>74</v>
      </c>
      <c r="AN493" t="s">
        <v>74</v>
      </c>
      <c r="AO493" t="s">
        <v>164</v>
      </c>
      <c r="AP493" t="s">
        <v>165</v>
      </c>
      <c r="AQ493" t="s">
        <v>4570</v>
      </c>
      <c r="AR493" t="s">
        <v>74</v>
      </c>
      <c r="AS493" t="s">
        <v>74</v>
      </c>
      <c r="AT493" t="s">
        <v>74</v>
      </c>
      <c r="AU493">
        <v>2022</v>
      </c>
      <c r="AV493">
        <v>13673</v>
      </c>
      <c r="AW493" t="s">
        <v>74</v>
      </c>
      <c r="AX493" t="s">
        <v>74</v>
      </c>
      <c r="AY493" t="s">
        <v>74</v>
      </c>
      <c r="AZ493" t="s">
        <v>74</v>
      </c>
      <c r="BA493" t="s">
        <v>74</v>
      </c>
      <c r="BB493">
        <v>72</v>
      </c>
      <c r="BC493">
        <v>90</v>
      </c>
      <c r="BD493" t="s">
        <v>74</v>
      </c>
      <c r="BE493" t="s">
        <v>4571</v>
      </c>
      <c r="BF493" t="str">
        <f>HYPERLINK("http://dx.doi.org/10.1007/978-3-031-19778-9_5","http://dx.doi.org/10.1007/978-3-031-19778-9_5")</f>
        <v>http://dx.doi.org/10.1007/978-3-031-19778-9_5</v>
      </c>
      <c r="BG493" t="s">
        <v>74</v>
      </c>
      <c r="BH493" t="s">
        <v>74</v>
      </c>
      <c r="BI493" t="s">
        <v>74</v>
      </c>
      <c r="BJ493" t="s">
        <v>74</v>
      </c>
      <c r="BK493" t="s">
        <v>74</v>
      </c>
      <c r="BL493" t="s">
        <v>74</v>
      </c>
      <c r="BM493" t="s">
        <v>74</v>
      </c>
      <c r="BN493" t="s">
        <v>74</v>
      </c>
      <c r="BO493" t="s">
        <v>74</v>
      </c>
      <c r="BP493" t="s">
        <v>74</v>
      </c>
      <c r="BQ493" t="s">
        <v>74</v>
      </c>
      <c r="BR493" t="s">
        <v>74</v>
      </c>
      <c r="BS493" t="s">
        <v>4572</v>
      </c>
      <c r="BT493" t="str">
        <f>HYPERLINK("https%3A%2F%2Fwww.webofscience.com%2Fwos%2Fwoscc%2Ffull-record%2FWOS:000897100100005","View Full Record in Web of Science")</f>
        <v>View Full Record in Web of Science</v>
      </c>
    </row>
    <row r="494" spans="1:72" x14ac:dyDescent="0.25">
      <c r="A494" t="s">
        <v>72</v>
      </c>
      <c r="B494" t="s">
        <v>4573</v>
      </c>
      <c r="C494" t="s">
        <v>74</v>
      </c>
      <c r="D494" t="s">
        <v>74</v>
      </c>
      <c r="E494" t="s">
        <v>74</v>
      </c>
      <c r="F494" t="s">
        <v>4574</v>
      </c>
      <c r="G494" t="s">
        <v>74</v>
      </c>
      <c r="H494" t="s">
        <v>74</v>
      </c>
      <c r="I494" t="s">
        <v>4575</v>
      </c>
      <c r="J494" t="s">
        <v>4576</v>
      </c>
      <c r="K494" t="s">
        <v>74</v>
      </c>
      <c r="L494" t="s">
        <v>74</v>
      </c>
      <c r="M494" t="s">
        <v>74</v>
      </c>
      <c r="N494" t="s">
        <v>74</v>
      </c>
      <c r="O494" t="s">
        <v>74</v>
      </c>
      <c r="P494" t="s">
        <v>74</v>
      </c>
      <c r="Q494" t="s">
        <v>74</v>
      </c>
      <c r="R494" t="s">
        <v>74</v>
      </c>
      <c r="S494" t="s">
        <v>74</v>
      </c>
      <c r="T494" t="s">
        <v>74</v>
      </c>
      <c r="U494" t="s">
        <v>74</v>
      </c>
      <c r="V494" t="s">
        <v>4577</v>
      </c>
      <c r="W494" t="s">
        <v>74</v>
      </c>
      <c r="X494" t="s">
        <v>74</v>
      </c>
      <c r="Y494" t="s">
        <v>74</v>
      </c>
      <c r="Z494" t="s">
        <v>74</v>
      </c>
      <c r="AA494" t="s">
        <v>4578</v>
      </c>
      <c r="AB494" t="s">
        <v>4579</v>
      </c>
      <c r="AC494" t="s">
        <v>74</v>
      </c>
      <c r="AD494" t="s">
        <v>74</v>
      </c>
      <c r="AE494" t="s">
        <v>74</v>
      </c>
      <c r="AF494" t="s">
        <v>74</v>
      </c>
      <c r="AG494" t="s">
        <v>74</v>
      </c>
      <c r="AH494" t="s">
        <v>74</v>
      </c>
      <c r="AI494" t="s">
        <v>74</v>
      </c>
      <c r="AJ494" t="s">
        <v>74</v>
      </c>
      <c r="AK494" t="s">
        <v>74</v>
      </c>
      <c r="AL494" t="s">
        <v>74</v>
      </c>
      <c r="AM494" t="s">
        <v>74</v>
      </c>
      <c r="AN494" t="s">
        <v>74</v>
      </c>
      <c r="AO494" t="s">
        <v>4580</v>
      </c>
      <c r="AP494" t="s">
        <v>4581</v>
      </c>
      <c r="AQ494" t="s">
        <v>74</v>
      </c>
      <c r="AR494" t="s">
        <v>74</v>
      </c>
      <c r="AS494" t="s">
        <v>74</v>
      </c>
      <c r="AT494" t="s">
        <v>4582</v>
      </c>
      <c r="AU494">
        <v>2022</v>
      </c>
      <c r="AV494">
        <v>2022</v>
      </c>
      <c r="AW494" t="s">
        <v>74</v>
      </c>
      <c r="AX494" t="s">
        <v>74</v>
      </c>
      <c r="AY494" t="s">
        <v>74</v>
      </c>
      <c r="AZ494" t="s">
        <v>74</v>
      </c>
      <c r="BA494" t="s">
        <v>74</v>
      </c>
      <c r="BB494" t="s">
        <v>74</v>
      </c>
      <c r="BC494" t="s">
        <v>74</v>
      </c>
      <c r="BD494">
        <v>5346128</v>
      </c>
      <c r="BE494" t="s">
        <v>4583</v>
      </c>
      <c r="BF494" t="str">
        <f>HYPERLINK("http://dx.doi.org/10.1155/2022/5346128","http://dx.doi.org/10.1155/2022/5346128")</f>
        <v>http://dx.doi.org/10.1155/2022/5346128</v>
      </c>
      <c r="BG494" t="s">
        <v>74</v>
      </c>
      <c r="BH494" t="s">
        <v>74</v>
      </c>
      <c r="BI494" t="s">
        <v>74</v>
      </c>
      <c r="BJ494" t="s">
        <v>74</v>
      </c>
      <c r="BK494" t="s">
        <v>74</v>
      </c>
      <c r="BL494" t="s">
        <v>74</v>
      </c>
      <c r="BM494" t="s">
        <v>74</v>
      </c>
      <c r="BN494">
        <v>36479230</v>
      </c>
      <c r="BO494" t="s">
        <v>74</v>
      </c>
      <c r="BP494" t="s">
        <v>74</v>
      </c>
      <c r="BQ494" t="s">
        <v>74</v>
      </c>
      <c r="BR494" t="s">
        <v>74</v>
      </c>
      <c r="BS494" t="s">
        <v>4584</v>
      </c>
      <c r="BT494" t="str">
        <f>HYPERLINK("https%3A%2F%2Fwww.webofscience.com%2Fwos%2Fwoscc%2Ffull-record%2FWOS:000896927300001","View Full Record in Web of Science")</f>
        <v>View Full Record in Web of Science</v>
      </c>
    </row>
    <row r="495" spans="1:72" x14ac:dyDescent="0.25">
      <c r="A495" t="s">
        <v>72</v>
      </c>
      <c r="B495" t="s">
        <v>4585</v>
      </c>
      <c r="C495" t="s">
        <v>74</v>
      </c>
      <c r="D495" t="s">
        <v>74</v>
      </c>
      <c r="E495" t="s">
        <v>74</v>
      </c>
      <c r="F495" t="s">
        <v>4586</v>
      </c>
      <c r="G495" t="s">
        <v>74</v>
      </c>
      <c r="H495" t="s">
        <v>74</v>
      </c>
      <c r="I495" t="s">
        <v>4587</v>
      </c>
      <c r="J495" t="s">
        <v>709</v>
      </c>
      <c r="K495" t="s">
        <v>74</v>
      </c>
      <c r="L495" t="s">
        <v>74</v>
      </c>
      <c r="M495" t="s">
        <v>74</v>
      </c>
      <c r="N495" t="s">
        <v>74</v>
      </c>
      <c r="O495" t="s">
        <v>74</v>
      </c>
      <c r="P495" t="s">
        <v>74</v>
      </c>
      <c r="Q495" t="s">
        <v>74</v>
      </c>
      <c r="R495" t="s">
        <v>74</v>
      </c>
      <c r="S495" t="s">
        <v>74</v>
      </c>
      <c r="T495" t="s">
        <v>74</v>
      </c>
      <c r="U495" t="s">
        <v>74</v>
      </c>
      <c r="V495" t="s">
        <v>4588</v>
      </c>
      <c r="W495" t="s">
        <v>74</v>
      </c>
      <c r="X495" t="s">
        <v>74</v>
      </c>
      <c r="Y495" t="s">
        <v>74</v>
      </c>
      <c r="Z495" t="s">
        <v>74</v>
      </c>
      <c r="AA495" t="s">
        <v>4589</v>
      </c>
      <c r="AB495" t="s">
        <v>4590</v>
      </c>
      <c r="AC495" t="s">
        <v>74</v>
      </c>
      <c r="AD495" t="s">
        <v>74</v>
      </c>
      <c r="AE495" t="s">
        <v>74</v>
      </c>
      <c r="AF495" t="s">
        <v>74</v>
      </c>
      <c r="AG495" t="s">
        <v>74</v>
      </c>
      <c r="AH495" t="s">
        <v>74</v>
      </c>
      <c r="AI495" t="s">
        <v>74</v>
      </c>
      <c r="AJ495" t="s">
        <v>74</v>
      </c>
      <c r="AK495" t="s">
        <v>74</v>
      </c>
      <c r="AL495" t="s">
        <v>74</v>
      </c>
      <c r="AM495" t="s">
        <v>74</v>
      </c>
      <c r="AN495" t="s">
        <v>74</v>
      </c>
      <c r="AO495" t="s">
        <v>74</v>
      </c>
      <c r="AP495" t="s">
        <v>711</v>
      </c>
      <c r="AQ495" t="s">
        <v>74</v>
      </c>
      <c r="AR495" t="s">
        <v>74</v>
      </c>
      <c r="AS495" t="s">
        <v>74</v>
      </c>
      <c r="AT495" t="s">
        <v>81</v>
      </c>
      <c r="AU495">
        <v>2022</v>
      </c>
      <c r="AV495">
        <v>12</v>
      </c>
      <c r="AW495">
        <v>19</v>
      </c>
      <c r="AX495" t="s">
        <v>74</v>
      </c>
      <c r="AY495" t="s">
        <v>74</v>
      </c>
      <c r="AZ495" t="s">
        <v>74</v>
      </c>
      <c r="BA495" t="s">
        <v>74</v>
      </c>
      <c r="BB495" t="s">
        <v>74</v>
      </c>
      <c r="BC495" t="s">
        <v>74</v>
      </c>
      <c r="BD495">
        <v>9864</v>
      </c>
      <c r="BE495" t="s">
        <v>4591</v>
      </c>
      <c r="BF495" t="str">
        <f>HYPERLINK("http://dx.doi.org/10.3390/app12199864","http://dx.doi.org/10.3390/app12199864")</f>
        <v>http://dx.doi.org/10.3390/app12199864</v>
      </c>
      <c r="BG495" t="s">
        <v>74</v>
      </c>
      <c r="BH495" t="s">
        <v>74</v>
      </c>
      <c r="BI495" t="s">
        <v>74</v>
      </c>
      <c r="BJ495" t="s">
        <v>74</v>
      </c>
      <c r="BK495" t="s">
        <v>74</v>
      </c>
      <c r="BL495" t="s">
        <v>74</v>
      </c>
      <c r="BM495" t="s">
        <v>74</v>
      </c>
      <c r="BN495" t="s">
        <v>74</v>
      </c>
      <c r="BO495" t="s">
        <v>74</v>
      </c>
      <c r="BP495" t="s">
        <v>74</v>
      </c>
      <c r="BQ495" t="s">
        <v>74</v>
      </c>
      <c r="BR495" t="s">
        <v>74</v>
      </c>
      <c r="BS495" t="s">
        <v>4592</v>
      </c>
      <c r="BT495" t="str">
        <f>HYPERLINK("https%3A%2F%2Fwww.webofscience.com%2Fwos%2Fwoscc%2Ffull-record%2FWOS:000866645700001","View Full Record in Web of Science")</f>
        <v>View Full Record in Web of Science</v>
      </c>
    </row>
    <row r="496" spans="1:72" x14ac:dyDescent="0.25">
      <c r="A496" t="s">
        <v>72</v>
      </c>
      <c r="B496" t="s">
        <v>4593</v>
      </c>
      <c r="C496" t="s">
        <v>74</v>
      </c>
      <c r="D496" t="s">
        <v>74</v>
      </c>
      <c r="E496" t="s">
        <v>74</v>
      </c>
      <c r="F496" t="s">
        <v>4594</v>
      </c>
      <c r="G496" t="s">
        <v>74</v>
      </c>
      <c r="H496" t="s">
        <v>74</v>
      </c>
      <c r="I496" t="s">
        <v>4595</v>
      </c>
      <c r="J496" t="s">
        <v>4596</v>
      </c>
      <c r="K496" t="s">
        <v>74</v>
      </c>
      <c r="L496" t="s">
        <v>74</v>
      </c>
      <c r="M496" t="s">
        <v>74</v>
      </c>
      <c r="N496" t="s">
        <v>74</v>
      </c>
      <c r="O496" t="s">
        <v>74</v>
      </c>
      <c r="P496" t="s">
        <v>74</v>
      </c>
      <c r="Q496" t="s">
        <v>74</v>
      </c>
      <c r="R496" t="s">
        <v>74</v>
      </c>
      <c r="S496" t="s">
        <v>74</v>
      </c>
      <c r="T496" t="s">
        <v>74</v>
      </c>
      <c r="U496" t="s">
        <v>74</v>
      </c>
      <c r="V496" t="s">
        <v>4597</v>
      </c>
      <c r="W496" t="s">
        <v>74</v>
      </c>
      <c r="X496" t="s">
        <v>74</v>
      </c>
      <c r="Y496" t="s">
        <v>74</v>
      </c>
      <c r="Z496" t="s">
        <v>74</v>
      </c>
      <c r="AA496" t="s">
        <v>74</v>
      </c>
      <c r="AB496" t="s">
        <v>4598</v>
      </c>
      <c r="AC496" t="s">
        <v>74</v>
      </c>
      <c r="AD496" t="s">
        <v>74</v>
      </c>
      <c r="AE496" t="s">
        <v>74</v>
      </c>
      <c r="AF496" t="s">
        <v>74</v>
      </c>
      <c r="AG496" t="s">
        <v>74</v>
      </c>
      <c r="AH496" t="s">
        <v>74</v>
      </c>
      <c r="AI496" t="s">
        <v>74</v>
      </c>
      <c r="AJ496" t="s">
        <v>74</v>
      </c>
      <c r="AK496" t="s">
        <v>74</v>
      </c>
      <c r="AL496" t="s">
        <v>74</v>
      </c>
      <c r="AM496" t="s">
        <v>74</v>
      </c>
      <c r="AN496" t="s">
        <v>74</v>
      </c>
      <c r="AO496" t="s">
        <v>4599</v>
      </c>
      <c r="AP496" t="s">
        <v>74</v>
      </c>
      <c r="AQ496" t="s">
        <v>74</v>
      </c>
      <c r="AR496" t="s">
        <v>74</v>
      </c>
      <c r="AS496" t="s">
        <v>74</v>
      </c>
      <c r="AT496" t="s">
        <v>1586</v>
      </c>
      <c r="AU496">
        <v>2023</v>
      </c>
      <c r="AV496">
        <v>11</v>
      </c>
      <c r="AW496">
        <v>1</v>
      </c>
      <c r="AX496" t="s">
        <v>74</v>
      </c>
      <c r="AY496" t="s">
        <v>74</v>
      </c>
      <c r="AZ496" t="s">
        <v>74</v>
      </c>
      <c r="BA496" t="s">
        <v>74</v>
      </c>
      <c r="BB496">
        <v>109</v>
      </c>
      <c r="BC496">
        <v>120</v>
      </c>
      <c r="BD496" t="s">
        <v>74</v>
      </c>
      <c r="BE496" t="s">
        <v>4600</v>
      </c>
      <c r="BF496" t="str">
        <f>HYPERLINK("http://dx.doi.org/10.1364/PRJ.465489","http://dx.doi.org/10.1364/PRJ.465489")</f>
        <v>http://dx.doi.org/10.1364/PRJ.465489</v>
      </c>
      <c r="BG496" t="s">
        <v>74</v>
      </c>
      <c r="BH496" t="s">
        <v>74</v>
      </c>
      <c r="BI496" t="s">
        <v>74</v>
      </c>
      <c r="BJ496" t="s">
        <v>74</v>
      </c>
      <c r="BK496" t="s">
        <v>74</v>
      </c>
      <c r="BL496" t="s">
        <v>74</v>
      </c>
      <c r="BM496" t="s">
        <v>74</v>
      </c>
      <c r="BN496" t="s">
        <v>74</v>
      </c>
      <c r="BO496" t="s">
        <v>74</v>
      </c>
      <c r="BP496" t="s">
        <v>74</v>
      </c>
      <c r="BQ496" t="s">
        <v>74</v>
      </c>
      <c r="BR496" t="s">
        <v>74</v>
      </c>
      <c r="BS496" t="s">
        <v>4601</v>
      </c>
      <c r="BT496" t="str">
        <f>HYPERLINK("https%3A%2F%2Fwww.webofscience.com%2Fwos%2Fwoscc%2Ffull-record%2FWOS:000933371600013","View Full Record in Web of Science")</f>
        <v>View Full Record in Web of Science</v>
      </c>
    </row>
    <row r="497" spans="1:72" x14ac:dyDescent="0.25">
      <c r="A497" t="s">
        <v>72</v>
      </c>
      <c r="B497" t="s">
        <v>4602</v>
      </c>
      <c r="C497" t="s">
        <v>74</v>
      </c>
      <c r="D497" t="s">
        <v>74</v>
      </c>
      <c r="E497" t="s">
        <v>74</v>
      </c>
      <c r="F497" t="s">
        <v>4603</v>
      </c>
      <c r="G497" t="s">
        <v>74</v>
      </c>
      <c r="H497" t="s">
        <v>74</v>
      </c>
      <c r="I497" t="s">
        <v>4604</v>
      </c>
      <c r="J497" t="s">
        <v>3403</v>
      </c>
      <c r="K497" t="s">
        <v>74</v>
      </c>
      <c r="L497" t="s">
        <v>74</v>
      </c>
      <c r="M497" t="s">
        <v>74</v>
      </c>
      <c r="N497" t="s">
        <v>74</v>
      </c>
      <c r="O497" t="s">
        <v>74</v>
      </c>
      <c r="P497" t="s">
        <v>74</v>
      </c>
      <c r="Q497" t="s">
        <v>74</v>
      </c>
      <c r="R497" t="s">
        <v>74</v>
      </c>
      <c r="S497" t="s">
        <v>74</v>
      </c>
      <c r="T497" t="s">
        <v>74</v>
      </c>
      <c r="U497" t="s">
        <v>74</v>
      </c>
      <c r="V497" t="s">
        <v>4605</v>
      </c>
      <c r="W497" t="s">
        <v>74</v>
      </c>
      <c r="X497" t="s">
        <v>74</v>
      </c>
      <c r="Y497" t="s">
        <v>74</v>
      </c>
      <c r="Z497" t="s">
        <v>74</v>
      </c>
      <c r="AA497" t="s">
        <v>4606</v>
      </c>
      <c r="AB497" t="s">
        <v>4607</v>
      </c>
      <c r="AC497" t="s">
        <v>74</v>
      </c>
      <c r="AD497" t="s">
        <v>74</v>
      </c>
      <c r="AE497" t="s">
        <v>74</v>
      </c>
      <c r="AF497" t="s">
        <v>74</v>
      </c>
      <c r="AG497" t="s">
        <v>74</v>
      </c>
      <c r="AH497" t="s">
        <v>74</v>
      </c>
      <c r="AI497" t="s">
        <v>74</v>
      </c>
      <c r="AJ497" t="s">
        <v>74</v>
      </c>
      <c r="AK497" t="s">
        <v>74</v>
      </c>
      <c r="AL497" t="s">
        <v>74</v>
      </c>
      <c r="AM497" t="s">
        <v>74</v>
      </c>
      <c r="AN497" t="s">
        <v>74</v>
      </c>
      <c r="AO497" t="s">
        <v>3405</v>
      </c>
      <c r="AP497" t="s">
        <v>3406</v>
      </c>
      <c r="AQ497" t="s">
        <v>74</v>
      </c>
      <c r="AR497" t="s">
        <v>74</v>
      </c>
      <c r="AS497" t="s">
        <v>74</v>
      </c>
      <c r="AT497" t="s">
        <v>1202</v>
      </c>
      <c r="AU497">
        <v>2023</v>
      </c>
      <c r="AV497">
        <v>108</v>
      </c>
      <c r="AW497" t="s">
        <v>74</v>
      </c>
      <c r="AX497" t="s">
        <v>74</v>
      </c>
      <c r="AY497" t="s">
        <v>74</v>
      </c>
      <c r="AZ497" t="s">
        <v>74</v>
      </c>
      <c r="BA497" t="s">
        <v>74</v>
      </c>
      <c r="BB497" t="s">
        <v>74</v>
      </c>
      <c r="BC497" t="s">
        <v>74</v>
      </c>
      <c r="BD497">
        <v>108229</v>
      </c>
      <c r="BE497" t="s">
        <v>4608</v>
      </c>
      <c r="BF497" t="str">
        <f>HYPERLINK("http://dx.doi.org/10.1016/j.nanoen.2023.108229","http://dx.doi.org/10.1016/j.nanoen.2023.108229")</f>
        <v>http://dx.doi.org/10.1016/j.nanoen.2023.108229</v>
      </c>
      <c r="BG497" t="s">
        <v>74</v>
      </c>
      <c r="BH497" t="s">
        <v>218</v>
      </c>
      <c r="BI497" t="s">
        <v>74</v>
      </c>
      <c r="BJ497" t="s">
        <v>74</v>
      </c>
      <c r="BK497" t="s">
        <v>74</v>
      </c>
      <c r="BL497" t="s">
        <v>74</v>
      </c>
      <c r="BM497" t="s">
        <v>74</v>
      </c>
      <c r="BN497" t="s">
        <v>74</v>
      </c>
      <c r="BO497" t="s">
        <v>74</v>
      </c>
      <c r="BP497" t="s">
        <v>74</v>
      </c>
      <c r="BQ497" t="s">
        <v>74</v>
      </c>
      <c r="BR497" t="s">
        <v>74</v>
      </c>
      <c r="BS497" t="s">
        <v>4609</v>
      </c>
      <c r="BT497" t="str">
        <f>HYPERLINK("https%3A%2F%2Fwww.webofscience.com%2Fwos%2Fwoscc%2Ffull-record%2FWOS:000927360900001","View Full Record in Web of Science")</f>
        <v>View Full Record in Web of Science</v>
      </c>
    </row>
    <row r="498" spans="1:72" x14ac:dyDescent="0.25">
      <c r="A498" t="s">
        <v>72</v>
      </c>
      <c r="B498" t="s">
        <v>4610</v>
      </c>
      <c r="C498" t="s">
        <v>74</v>
      </c>
      <c r="D498" t="s">
        <v>74</v>
      </c>
      <c r="E498" t="s">
        <v>74</v>
      </c>
      <c r="F498" t="s">
        <v>4611</v>
      </c>
      <c r="G498" t="s">
        <v>74</v>
      </c>
      <c r="H498" t="s">
        <v>74</v>
      </c>
      <c r="I498" t="s">
        <v>4612</v>
      </c>
      <c r="J498" t="s">
        <v>4613</v>
      </c>
      <c r="K498" t="s">
        <v>74</v>
      </c>
      <c r="L498" t="s">
        <v>74</v>
      </c>
      <c r="M498" t="s">
        <v>74</v>
      </c>
      <c r="N498" t="s">
        <v>74</v>
      </c>
      <c r="O498" t="s">
        <v>74</v>
      </c>
      <c r="P498" t="s">
        <v>74</v>
      </c>
      <c r="Q498" t="s">
        <v>74</v>
      </c>
      <c r="R498" t="s">
        <v>74</v>
      </c>
      <c r="S498" t="s">
        <v>74</v>
      </c>
      <c r="T498" t="s">
        <v>74</v>
      </c>
      <c r="U498" t="s">
        <v>74</v>
      </c>
      <c r="V498" t="s">
        <v>4614</v>
      </c>
      <c r="W498" t="s">
        <v>74</v>
      </c>
      <c r="X498" t="s">
        <v>74</v>
      </c>
      <c r="Y498" t="s">
        <v>74</v>
      </c>
      <c r="Z498" t="s">
        <v>74</v>
      </c>
      <c r="AA498" t="s">
        <v>74</v>
      </c>
      <c r="AB498" t="s">
        <v>74</v>
      </c>
      <c r="AC498" t="s">
        <v>74</v>
      </c>
      <c r="AD498" t="s">
        <v>74</v>
      </c>
      <c r="AE498" t="s">
        <v>74</v>
      </c>
      <c r="AF498" t="s">
        <v>74</v>
      </c>
      <c r="AG498" t="s">
        <v>74</v>
      </c>
      <c r="AH498" t="s">
        <v>74</v>
      </c>
      <c r="AI498" t="s">
        <v>74</v>
      </c>
      <c r="AJ498" t="s">
        <v>74</v>
      </c>
      <c r="AK498" t="s">
        <v>74</v>
      </c>
      <c r="AL498" t="s">
        <v>74</v>
      </c>
      <c r="AM498" t="s">
        <v>74</v>
      </c>
      <c r="AN498" t="s">
        <v>74</v>
      </c>
      <c r="AO498" t="s">
        <v>74</v>
      </c>
      <c r="AP498" t="s">
        <v>4615</v>
      </c>
      <c r="AQ498" t="s">
        <v>74</v>
      </c>
      <c r="AR498" t="s">
        <v>74</v>
      </c>
      <c r="AS498" t="s">
        <v>74</v>
      </c>
      <c r="AT498" t="s">
        <v>4616</v>
      </c>
      <c r="AU498">
        <v>2023</v>
      </c>
      <c r="AV498">
        <v>17</v>
      </c>
      <c r="AW498" t="s">
        <v>74</v>
      </c>
      <c r="AX498" t="s">
        <v>74</v>
      </c>
      <c r="AY498" t="s">
        <v>74</v>
      </c>
      <c r="AZ498" t="s">
        <v>74</v>
      </c>
      <c r="BA498" t="s">
        <v>74</v>
      </c>
      <c r="BB498" t="s">
        <v>74</v>
      </c>
      <c r="BC498" t="s">
        <v>74</v>
      </c>
      <c r="BD498">
        <v>1062980</v>
      </c>
      <c r="BE498" t="s">
        <v>4617</v>
      </c>
      <c r="BF498" t="str">
        <f>HYPERLINK("http://dx.doi.org/10.3389/fnins.2023.1062980","http://dx.doi.org/10.3389/fnins.2023.1062980")</f>
        <v>http://dx.doi.org/10.3389/fnins.2023.1062980</v>
      </c>
      <c r="BG498" t="s">
        <v>74</v>
      </c>
      <c r="BH498" t="s">
        <v>74</v>
      </c>
      <c r="BI498" t="s">
        <v>74</v>
      </c>
      <c r="BJ498" t="s">
        <v>74</v>
      </c>
      <c r="BK498" t="s">
        <v>74</v>
      </c>
      <c r="BL498" t="s">
        <v>74</v>
      </c>
      <c r="BM498" t="s">
        <v>74</v>
      </c>
      <c r="BN498">
        <v>36875641</v>
      </c>
      <c r="BO498" t="s">
        <v>74</v>
      </c>
      <c r="BP498" t="s">
        <v>74</v>
      </c>
      <c r="BQ498" t="s">
        <v>74</v>
      </c>
      <c r="BR498" t="s">
        <v>74</v>
      </c>
      <c r="BS498" t="s">
        <v>4618</v>
      </c>
      <c r="BT498" t="str">
        <f>HYPERLINK("https%3A%2F%2Fwww.webofscience.com%2Fwos%2Fwoscc%2Ffull-record%2FWOS:000942239600001","View Full Record in Web of Science")</f>
        <v>View Full Record in Web of Science</v>
      </c>
    </row>
    <row r="499" spans="1:72" x14ac:dyDescent="0.25">
      <c r="A499" t="s">
        <v>72</v>
      </c>
      <c r="B499" t="s">
        <v>4619</v>
      </c>
      <c r="C499" t="s">
        <v>74</v>
      </c>
      <c r="D499" t="s">
        <v>74</v>
      </c>
      <c r="E499" t="s">
        <v>74</v>
      </c>
      <c r="F499" t="s">
        <v>4620</v>
      </c>
      <c r="G499" t="s">
        <v>74</v>
      </c>
      <c r="H499" t="s">
        <v>74</v>
      </c>
      <c r="I499" t="s">
        <v>4621</v>
      </c>
      <c r="J499" t="s">
        <v>4622</v>
      </c>
      <c r="K499" t="s">
        <v>74</v>
      </c>
      <c r="L499" t="s">
        <v>74</v>
      </c>
      <c r="M499" t="s">
        <v>74</v>
      </c>
      <c r="N499" t="s">
        <v>74</v>
      </c>
      <c r="O499" t="s">
        <v>74</v>
      </c>
      <c r="P499" t="s">
        <v>74</v>
      </c>
      <c r="Q499" t="s">
        <v>74</v>
      </c>
      <c r="R499" t="s">
        <v>74</v>
      </c>
      <c r="S499" t="s">
        <v>74</v>
      </c>
      <c r="T499" t="s">
        <v>74</v>
      </c>
      <c r="U499" t="s">
        <v>74</v>
      </c>
      <c r="V499" t="s">
        <v>4623</v>
      </c>
      <c r="W499" t="s">
        <v>74</v>
      </c>
      <c r="X499" t="s">
        <v>74</v>
      </c>
      <c r="Y499" t="s">
        <v>74</v>
      </c>
      <c r="Z499" t="s">
        <v>74</v>
      </c>
      <c r="AA499" t="s">
        <v>74</v>
      </c>
      <c r="AB499" t="s">
        <v>74</v>
      </c>
      <c r="AC499" t="s">
        <v>74</v>
      </c>
      <c r="AD499" t="s">
        <v>74</v>
      </c>
      <c r="AE499" t="s">
        <v>74</v>
      </c>
      <c r="AF499" t="s">
        <v>74</v>
      </c>
      <c r="AG499" t="s">
        <v>74</v>
      </c>
      <c r="AH499" t="s">
        <v>74</v>
      </c>
      <c r="AI499" t="s">
        <v>74</v>
      </c>
      <c r="AJ499" t="s">
        <v>74</v>
      </c>
      <c r="AK499" t="s">
        <v>74</v>
      </c>
      <c r="AL499" t="s">
        <v>74</v>
      </c>
      <c r="AM499" t="s">
        <v>74</v>
      </c>
      <c r="AN499" t="s">
        <v>74</v>
      </c>
      <c r="AO499" t="s">
        <v>4624</v>
      </c>
      <c r="AP499" t="s">
        <v>4625</v>
      </c>
      <c r="AQ499" t="s">
        <v>74</v>
      </c>
      <c r="AR499" t="s">
        <v>74</v>
      </c>
      <c r="AS499" t="s">
        <v>74</v>
      </c>
      <c r="AT499" t="s">
        <v>4626</v>
      </c>
      <c r="AU499">
        <v>2023</v>
      </c>
      <c r="AV499">
        <v>37</v>
      </c>
      <c r="AW499" t="s">
        <v>74</v>
      </c>
      <c r="AX499" t="s">
        <v>74</v>
      </c>
      <c r="AY499" t="s">
        <v>74</v>
      </c>
      <c r="AZ499" t="s">
        <v>74</v>
      </c>
      <c r="BA499" t="s">
        <v>74</v>
      </c>
      <c r="BB499" t="s">
        <v>74</v>
      </c>
      <c r="BC499" t="s">
        <v>74</v>
      </c>
      <c r="BD499" t="s">
        <v>4627</v>
      </c>
      <c r="BE499" t="s">
        <v>4628</v>
      </c>
      <c r="BF499" t="str">
        <f>HYPERLINK("http://dx.doi.org/10.1017/S0890060423000045","http://dx.doi.org/10.1017/S0890060423000045")</f>
        <v>http://dx.doi.org/10.1017/S0890060423000045</v>
      </c>
      <c r="BG499" t="s">
        <v>74</v>
      </c>
      <c r="BH499" t="s">
        <v>74</v>
      </c>
      <c r="BI499" t="s">
        <v>74</v>
      </c>
      <c r="BJ499" t="s">
        <v>74</v>
      </c>
      <c r="BK499" t="s">
        <v>74</v>
      </c>
      <c r="BL499" t="s">
        <v>74</v>
      </c>
      <c r="BM499" t="s">
        <v>74</v>
      </c>
      <c r="BN499" t="s">
        <v>74</v>
      </c>
      <c r="BO499" t="s">
        <v>74</v>
      </c>
      <c r="BP499" t="s">
        <v>74</v>
      </c>
      <c r="BQ499" t="s">
        <v>74</v>
      </c>
      <c r="BR499" t="s">
        <v>74</v>
      </c>
      <c r="BS499" t="s">
        <v>4629</v>
      </c>
      <c r="BT499" t="str">
        <f>HYPERLINK("https%3A%2F%2Fwww.webofscience.com%2Fwos%2Fwoscc%2Ffull-record%2FWOS:000941921100001","View Full Record in Web of Science")</f>
        <v>View Full Record in Web of Science</v>
      </c>
    </row>
    <row r="500" spans="1:72" x14ac:dyDescent="0.25">
      <c r="A500" t="s">
        <v>72</v>
      </c>
      <c r="B500" t="s">
        <v>4630</v>
      </c>
      <c r="C500" t="s">
        <v>74</v>
      </c>
      <c r="D500" t="s">
        <v>74</v>
      </c>
      <c r="E500" t="s">
        <v>74</v>
      </c>
      <c r="F500" t="s">
        <v>4631</v>
      </c>
      <c r="G500" t="s">
        <v>74</v>
      </c>
      <c r="H500" t="s">
        <v>74</v>
      </c>
      <c r="I500" t="s">
        <v>4632</v>
      </c>
      <c r="J500" t="s">
        <v>352</v>
      </c>
      <c r="K500" t="s">
        <v>74</v>
      </c>
      <c r="L500" t="s">
        <v>74</v>
      </c>
      <c r="M500" t="s">
        <v>74</v>
      </c>
      <c r="N500" t="s">
        <v>74</v>
      </c>
      <c r="O500" t="s">
        <v>74</v>
      </c>
      <c r="P500" t="s">
        <v>74</v>
      </c>
      <c r="Q500" t="s">
        <v>74</v>
      </c>
      <c r="R500" t="s">
        <v>74</v>
      </c>
      <c r="S500" t="s">
        <v>74</v>
      </c>
      <c r="T500" t="s">
        <v>74</v>
      </c>
      <c r="U500" t="s">
        <v>74</v>
      </c>
      <c r="V500" t="s">
        <v>4633</v>
      </c>
      <c r="W500" t="s">
        <v>74</v>
      </c>
      <c r="X500" t="s">
        <v>74</v>
      </c>
      <c r="Y500" t="s">
        <v>74</v>
      </c>
      <c r="Z500" t="s">
        <v>74</v>
      </c>
      <c r="AA500" t="s">
        <v>4634</v>
      </c>
      <c r="AB500" t="s">
        <v>4635</v>
      </c>
      <c r="AC500" t="s">
        <v>74</v>
      </c>
      <c r="AD500" t="s">
        <v>74</v>
      </c>
      <c r="AE500" t="s">
        <v>74</v>
      </c>
      <c r="AF500" t="s">
        <v>74</v>
      </c>
      <c r="AG500" t="s">
        <v>74</v>
      </c>
      <c r="AH500" t="s">
        <v>74</v>
      </c>
      <c r="AI500" t="s">
        <v>74</v>
      </c>
      <c r="AJ500" t="s">
        <v>74</v>
      </c>
      <c r="AK500" t="s">
        <v>74</v>
      </c>
      <c r="AL500" t="s">
        <v>74</v>
      </c>
      <c r="AM500" t="s">
        <v>74</v>
      </c>
      <c r="AN500" t="s">
        <v>74</v>
      </c>
      <c r="AO500" t="s">
        <v>74</v>
      </c>
      <c r="AP500" t="s">
        <v>356</v>
      </c>
      <c r="AQ500" t="s">
        <v>74</v>
      </c>
      <c r="AR500" t="s">
        <v>74</v>
      </c>
      <c r="AS500" t="s">
        <v>74</v>
      </c>
      <c r="AT500" t="s">
        <v>74</v>
      </c>
      <c r="AU500">
        <v>2023</v>
      </c>
      <c r="AV500">
        <v>25</v>
      </c>
      <c r="AW500">
        <v>1</v>
      </c>
      <c r="AX500" t="s">
        <v>74</v>
      </c>
      <c r="AY500" t="s">
        <v>74</v>
      </c>
      <c r="AZ500" t="s">
        <v>74</v>
      </c>
      <c r="BA500" t="s">
        <v>74</v>
      </c>
      <c r="BB500">
        <v>213</v>
      </c>
      <c r="BC500">
        <v>250</v>
      </c>
      <c r="BD500" t="s">
        <v>74</v>
      </c>
      <c r="BE500" t="s">
        <v>4636</v>
      </c>
      <c r="BF500" t="str">
        <f>HYPERLINK("http://dx.doi.org/10.1109/COMST.2022.3223224","http://dx.doi.org/10.1109/COMST.2022.3223224")</f>
        <v>http://dx.doi.org/10.1109/COMST.2022.3223224</v>
      </c>
      <c r="BG500" t="s">
        <v>74</v>
      </c>
      <c r="BH500" t="s">
        <v>74</v>
      </c>
      <c r="BI500" t="s">
        <v>74</v>
      </c>
      <c r="BJ500" t="s">
        <v>74</v>
      </c>
      <c r="BK500" t="s">
        <v>74</v>
      </c>
      <c r="BL500" t="s">
        <v>74</v>
      </c>
      <c r="BM500" t="s">
        <v>74</v>
      </c>
      <c r="BN500" t="s">
        <v>74</v>
      </c>
      <c r="BO500" t="s">
        <v>74</v>
      </c>
      <c r="BP500" t="s">
        <v>74</v>
      </c>
      <c r="BQ500" t="s">
        <v>74</v>
      </c>
      <c r="BR500" t="s">
        <v>74</v>
      </c>
      <c r="BS500" t="s">
        <v>4637</v>
      </c>
      <c r="BT500" t="str">
        <f>HYPERLINK("https%3A%2F%2Fwww.webofscience.com%2Fwos%2Fwoscc%2Ffull-record%2FWOS:000942531300009","View Full Record in Web of Science")</f>
        <v>View Full Record in Web of Science</v>
      </c>
    </row>
    <row r="501" spans="1:72" x14ac:dyDescent="0.25">
      <c r="A501" t="s">
        <v>72</v>
      </c>
      <c r="B501" t="s">
        <v>4638</v>
      </c>
      <c r="C501" t="s">
        <v>74</v>
      </c>
      <c r="D501" t="s">
        <v>74</v>
      </c>
      <c r="E501" t="s">
        <v>74</v>
      </c>
      <c r="F501" t="s">
        <v>4639</v>
      </c>
      <c r="G501" t="s">
        <v>74</v>
      </c>
      <c r="H501" t="s">
        <v>74</v>
      </c>
      <c r="I501" t="s">
        <v>4640</v>
      </c>
      <c r="J501" t="s">
        <v>4641</v>
      </c>
      <c r="K501" t="s">
        <v>74</v>
      </c>
      <c r="L501" t="s">
        <v>74</v>
      </c>
      <c r="M501" t="s">
        <v>74</v>
      </c>
      <c r="N501" t="s">
        <v>74</v>
      </c>
      <c r="O501" t="s">
        <v>74</v>
      </c>
      <c r="P501" t="s">
        <v>74</v>
      </c>
      <c r="Q501" t="s">
        <v>74</v>
      </c>
      <c r="R501" t="s">
        <v>74</v>
      </c>
      <c r="S501" t="s">
        <v>74</v>
      </c>
      <c r="T501" t="s">
        <v>74</v>
      </c>
      <c r="U501" t="s">
        <v>74</v>
      </c>
      <c r="V501" t="s">
        <v>4642</v>
      </c>
      <c r="W501" t="s">
        <v>74</v>
      </c>
      <c r="X501" t="s">
        <v>74</v>
      </c>
      <c r="Y501" t="s">
        <v>74</v>
      </c>
      <c r="Z501" t="s">
        <v>74</v>
      </c>
      <c r="AA501" t="s">
        <v>4643</v>
      </c>
      <c r="AB501" t="s">
        <v>4644</v>
      </c>
      <c r="AC501" t="s">
        <v>74</v>
      </c>
      <c r="AD501" t="s">
        <v>74</v>
      </c>
      <c r="AE501" t="s">
        <v>74</v>
      </c>
      <c r="AF501" t="s">
        <v>74</v>
      </c>
      <c r="AG501" t="s">
        <v>74</v>
      </c>
      <c r="AH501" t="s">
        <v>74</v>
      </c>
      <c r="AI501" t="s">
        <v>74</v>
      </c>
      <c r="AJ501" t="s">
        <v>74</v>
      </c>
      <c r="AK501" t="s">
        <v>74</v>
      </c>
      <c r="AL501" t="s">
        <v>74</v>
      </c>
      <c r="AM501" t="s">
        <v>74</v>
      </c>
      <c r="AN501" t="s">
        <v>74</v>
      </c>
      <c r="AO501" t="s">
        <v>4645</v>
      </c>
      <c r="AP501" t="s">
        <v>4646</v>
      </c>
      <c r="AQ501" t="s">
        <v>74</v>
      </c>
      <c r="AR501" t="s">
        <v>74</v>
      </c>
      <c r="AS501" t="s">
        <v>74</v>
      </c>
      <c r="AT501" t="s">
        <v>74</v>
      </c>
      <c r="AU501" t="s">
        <v>74</v>
      </c>
      <c r="AV501" t="s">
        <v>74</v>
      </c>
      <c r="AW501" t="s">
        <v>74</v>
      </c>
      <c r="AX501" t="s">
        <v>74</v>
      </c>
      <c r="AY501" t="s">
        <v>74</v>
      </c>
      <c r="AZ501" t="s">
        <v>74</v>
      </c>
      <c r="BA501" t="s">
        <v>74</v>
      </c>
      <c r="BB501" t="s">
        <v>74</v>
      </c>
      <c r="BC501" t="s">
        <v>74</v>
      </c>
      <c r="BD501" t="s">
        <v>74</v>
      </c>
      <c r="BE501" t="s">
        <v>4647</v>
      </c>
      <c r="BF501" t="str">
        <f>HYPERLINK("http://dx.doi.org/10.1007/s11845-022-03252-y","http://dx.doi.org/10.1007/s11845-022-03252-y")</f>
        <v>http://dx.doi.org/10.1007/s11845-022-03252-y</v>
      </c>
      <c r="BG501" t="s">
        <v>74</v>
      </c>
      <c r="BH501" t="s">
        <v>426</v>
      </c>
      <c r="BI501" t="s">
        <v>74</v>
      </c>
      <c r="BJ501" t="s">
        <v>74</v>
      </c>
      <c r="BK501" t="s">
        <v>74</v>
      </c>
      <c r="BL501" t="s">
        <v>74</v>
      </c>
      <c r="BM501" t="s">
        <v>74</v>
      </c>
      <c r="BN501">
        <v>36529822</v>
      </c>
      <c r="BO501" t="s">
        <v>74</v>
      </c>
      <c r="BP501" t="s">
        <v>74</v>
      </c>
      <c r="BQ501" t="s">
        <v>74</v>
      </c>
      <c r="BR501" t="s">
        <v>74</v>
      </c>
      <c r="BS501" t="s">
        <v>4648</v>
      </c>
      <c r="BT501" t="str">
        <f>HYPERLINK("https%3A%2F%2Fwww.webofscience.com%2Fwos%2Fwoscc%2Ffull-record%2FWOS:000900199400001","View Full Record in Web of Science")</f>
        <v>View Full Record in Web of Science</v>
      </c>
    </row>
    <row r="502" spans="1:72" x14ac:dyDescent="0.25">
      <c r="A502" t="s">
        <v>72</v>
      </c>
      <c r="B502" t="s">
        <v>4649</v>
      </c>
      <c r="C502" t="s">
        <v>74</v>
      </c>
      <c r="D502" t="s">
        <v>74</v>
      </c>
      <c r="E502" t="s">
        <v>74</v>
      </c>
      <c r="F502" t="s">
        <v>4650</v>
      </c>
      <c r="G502" t="s">
        <v>74</v>
      </c>
      <c r="H502" t="s">
        <v>74</v>
      </c>
      <c r="I502" t="s">
        <v>4651</v>
      </c>
      <c r="J502" t="s">
        <v>1089</v>
      </c>
      <c r="K502" t="s">
        <v>74</v>
      </c>
      <c r="L502" t="s">
        <v>74</v>
      </c>
      <c r="M502" t="s">
        <v>74</v>
      </c>
      <c r="N502" t="s">
        <v>74</v>
      </c>
      <c r="O502" t="s">
        <v>74</v>
      </c>
      <c r="P502" t="s">
        <v>74</v>
      </c>
      <c r="Q502" t="s">
        <v>74</v>
      </c>
      <c r="R502" t="s">
        <v>74</v>
      </c>
      <c r="S502" t="s">
        <v>74</v>
      </c>
      <c r="T502" t="s">
        <v>74</v>
      </c>
      <c r="U502" t="s">
        <v>74</v>
      </c>
      <c r="V502" t="s">
        <v>4652</v>
      </c>
      <c r="W502" t="s">
        <v>74</v>
      </c>
      <c r="X502" t="s">
        <v>74</v>
      </c>
      <c r="Y502" t="s">
        <v>74</v>
      </c>
      <c r="Z502" t="s">
        <v>74</v>
      </c>
      <c r="AA502" t="s">
        <v>4653</v>
      </c>
      <c r="AB502" t="s">
        <v>4654</v>
      </c>
      <c r="AC502" t="s">
        <v>74</v>
      </c>
      <c r="AD502" t="s">
        <v>74</v>
      </c>
      <c r="AE502" t="s">
        <v>74</v>
      </c>
      <c r="AF502" t="s">
        <v>74</v>
      </c>
      <c r="AG502" t="s">
        <v>74</v>
      </c>
      <c r="AH502" t="s">
        <v>74</v>
      </c>
      <c r="AI502" t="s">
        <v>74</v>
      </c>
      <c r="AJ502" t="s">
        <v>74</v>
      </c>
      <c r="AK502" t="s">
        <v>74</v>
      </c>
      <c r="AL502" t="s">
        <v>74</v>
      </c>
      <c r="AM502" t="s">
        <v>74</v>
      </c>
      <c r="AN502" t="s">
        <v>74</v>
      </c>
      <c r="AO502" t="s">
        <v>1092</v>
      </c>
      <c r="AP502" t="s">
        <v>1093</v>
      </c>
      <c r="AQ502" t="s">
        <v>74</v>
      </c>
      <c r="AR502" t="s">
        <v>74</v>
      </c>
      <c r="AS502" t="s">
        <v>74</v>
      </c>
      <c r="AT502" t="s">
        <v>4655</v>
      </c>
      <c r="AU502">
        <v>2022</v>
      </c>
      <c r="AV502">
        <v>2022</v>
      </c>
      <c r="AW502" t="s">
        <v>74</v>
      </c>
      <c r="AX502" t="s">
        <v>74</v>
      </c>
      <c r="AY502" t="s">
        <v>74</v>
      </c>
      <c r="AZ502" t="s">
        <v>74</v>
      </c>
      <c r="BA502" t="s">
        <v>74</v>
      </c>
      <c r="BB502" t="s">
        <v>74</v>
      </c>
      <c r="BC502" t="s">
        <v>74</v>
      </c>
      <c r="BD502">
        <v>7539240</v>
      </c>
      <c r="BE502" t="s">
        <v>4656</v>
      </c>
      <c r="BF502" t="str">
        <f>HYPERLINK("http://dx.doi.org/10.1155/2022/7539240","http://dx.doi.org/10.1155/2022/7539240")</f>
        <v>http://dx.doi.org/10.1155/2022/7539240</v>
      </c>
      <c r="BG502" t="s">
        <v>74</v>
      </c>
      <c r="BH502" t="s">
        <v>74</v>
      </c>
      <c r="BI502" t="s">
        <v>74</v>
      </c>
      <c r="BJ502" t="s">
        <v>74</v>
      </c>
      <c r="BK502" t="s">
        <v>74</v>
      </c>
      <c r="BL502" t="s">
        <v>74</v>
      </c>
      <c r="BM502" t="s">
        <v>74</v>
      </c>
      <c r="BN502" t="s">
        <v>74</v>
      </c>
      <c r="BO502" t="s">
        <v>74</v>
      </c>
      <c r="BP502" t="s">
        <v>74</v>
      </c>
      <c r="BQ502" t="s">
        <v>74</v>
      </c>
      <c r="BR502" t="s">
        <v>74</v>
      </c>
      <c r="BS502" t="s">
        <v>4657</v>
      </c>
      <c r="BT502" t="str">
        <f>HYPERLINK("https%3A%2F%2Fwww.webofscience.com%2Fwos%2Fwoscc%2Ffull-record%2FWOS:000830781700003","View Full Record in Web of Science")</f>
        <v>View Full Record in Web of Science</v>
      </c>
    </row>
    <row r="503" spans="1:72" x14ac:dyDescent="0.25">
      <c r="A503" t="s">
        <v>84</v>
      </c>
      <c r="B503" t="s">
        <v>4658</v>
      </c>
      <c r="C503" t="s">
        <v>74</v>
      </c>
      <c r="D503" t="s">
        <v>74</v>
      </c>
      <c r="E503" t="s">
        <v>86</v>
      </c>
      <c r="F503" t="s">
        <v>4659</v>
      </c>
      <c r="G503" t="s">
        <v>74</v>
      </c>
      <c r="H503" t="s">
        <v>74</v>
      </c>
      <c r="I503" t="s">
        <v>4660</v>
      </c>
      <c r="J503" t="s">
        <v>4661</v>
      </c>
      <c r="K503" t="s">
        <v>4662</v>
      </c>
      <c r="L503" t="s">
        <v>74</v>
      </c>
      <c r="M503" t="s">
        <v>74</v>
      </c>
      <c r="N503" t="s">
        <v>74</v>
      </c>
      <c r="O503" t="s">
        <v>4663</v>
      </c>
      <c r="P503" t="s">
        <v>4664</v>
      </c>
      <c r="Q503" t="s">
        <v>4665</v>
      </c>
      <c r="R503" t="s">
        <v>74</v>
      </c>
      <c r="S503" t="s">
        <v>74</v>
      </c>
      <c r="T503" t="s">
        <v>74</v>
      </c>
      <c r="U503" t="s">
        <v>74</v>
      </c>
      <c r="V503" t="s">
        <v>4666</v>
      </c>
      <c r="W503" t="s">
        <v>74</v>
      </c>
      <c r="X503" t="s">
        <v>74</v>
      </c>
      <c r="Y503" t="s">
        <v>74</v>
      </c>
      <c r="Z503" t="s">
        <v>74</v>
      </c>
      <c r="AA503" t="s">
        <v>4667</v>
      </c>
      <c r="AB503" t="s">
        <v>4668</v>
      </c>
      <c r="AC503" t="s">
        <v>74</v>
      </c>
      <c r="AD503" t="s">
        <v>74</v>
      </c>
      <c r="AE503" t="s">
        <v>74</v>
      </c>
      <c r="AF503" t="s">
        <v>74</v>
      </c>
      <c r="AG503" t="s">
        <v>74</v>
      </c>
      <c r="AH503" t="s">
        <v>74</v>
      </c>
      <c r="AI503" t="s">
        <v>74</v>
      </c>
      <c r="AJ503" t="s">
        <v>74</v>
      </c>
      <c r="AK503" t="s">
        <v>74</v>
      </c>
      <c r="AL503" t="s">
        <v>74</v>
      </c>
      <c r="AM503" t="s">
        <v>74</v>
      </c>
      <c r="AN503" t="s">
        <v>74</v>
      </c>
      <c r="AO503" t="s">
        <v>4669</v>
      </c>
      <c r="AP503" t="s">
        <v>74</v>
      </c>
      <c r="AQ503" t="s">
        <v>4670</v>
      </c>
      <c r="AR503" t="s">
        <v>74</v>
      </c>
      <c r="AS503" t="s">
        <v>74</v>
      </c>
      <c r="AT503" t="s">
        <v>74</v>
      </c>
      <c r="AU503">
        <v>2022</v>
      </c>
      <c r="AV503" t="s">
        <v>74</v>
      </c>
      <c r="AW503" t="s">
        <v>74</v>
      </c>
      <c r="AX503" t="s">
        <v>74</v>
      </c>
      <c r="AY503" t="s">
        <v>74</v>
      </c>
      <c r="AZ503" t="s">
        <v>74</v>
      </c>
      <c r="BA503" t="s">
        <v>74</v>
      </c>
      <c r="BB503" t="s">
        <v>74</v>
      </c>
      <c r="BC503" t="s">
        <v>74</v>
      </c>
      <c r="BD503" t="s">
        <v>74</v>
      </c>
      <c r="BE503" t="s">
        <v>4671</v>
      </c>
      <c r="BF503" t="str">
        <f>HYPERLINK("http://dx.doi.org/10.1109/SPAWC51304.2022.9833928","http://dx.doi.org/10.1109/SPAWC51304.2022.9833928")</f>
        <v>http://dx.doi.org/10.1109/SPAWC51304.2022.9833928</v>
      </c>
      <c r="BG503" t="s">
        <v>74</v>
      </c>
      <c r="BH503" t="s">
        <v>74</v>
      </c>
      <c r="BI503" t="s">
        <v>74</v>
      </c>
      <c r="BJ503" t="s">
        <v>74</v>
      </c>
      <c r="BK503" t="s">
        <v>74</v>
      </c>
      <c r="BL503" t="s">
        <v>74</v>
      </c>
      <c r="BM503" t="s">
        <v>74</v>
      </c>
      <c r="BN503" t="s">
        <v>74</v>
      </c>
      <c r="BO503" t="s">
        <v>74</v>
      </c>
      <c r="BP503" t="s">
        <v>74</v>
      </c>
      <c r="BQ503" t="s">
        <v>74</v>
      </c>
      <c r="BR503" t="s">
        <v>74</v>
      </c>
      <c r="BS503" t="s">
        <v>4672</v>
      </c>
      <c r="BT503" t="str">
        <f>HYPERLINK("https%3A%2F%2Fwww.webofscience.com%2Fwos%2Fwoscc%2Ffull-record%2FWOS:000942520000027","View Full Record in Web of Science")</f>
        <v>View Full Record in Web of Science</v>
      </c>
    </row>
    <row r="504" spans="1:72" x14ac:dyDescent="0.25">
      <c r="A504" t="s">
        <v>72</v>
      </c>
      <c r="B504" t="s">
        <v>4673</v>
      </c>
      <c r="C504" t="s">
        <v>74</v>
      </c>
      <c r="D504" t="s">
        <v>74</v>
      </c>
      <c r="E504" t="s">
        <v>74</v>
      </c>
      <c r="F504" t="s">
        <v>4674</v>
      </c>
      <c r="G504" t="s">
        <v>74</v>
      </c>
      <c r="H504" t="s">
        <v>74</v>
      </c>
      <c r="I504" t="s">
        <v>4675</v>
      </c>
      <c r="J504" t="s">
        <v>4676</v>
      </c>
      <c r="K504" t="s">
        <v>74</v>
      </c>
      <c r="L504" t="s">
        <v>74</v>
      </c>
      <c r="M504" t="s">
        <v>74</v>
      </c>
      <c r="N504" t="s">
        <v>74</v>
      </c>
      <c r="O504" t="s">
        <v>74</v>
      </c>
      <c r="P504" t="s">
        <v>74</v>
      </c>
      <c r="Q504" t="s">
        <v>74</v>
      </c>
      <c r="R504" t="s">
        <v>74</v>
      </c>
      <c r="S504" t="s">
        <v>74</v>
      </c>
      <c r="T504" t="s">
        <v>74</v>
      </c>
      <c r="U504" t="s">
        <v>74</v>
      </c>
      <c r="V504" t="s">
        <v>4677</v>
      </c>
      <c r="W504" t="s">
        <v>74</v>
      </c>
      <c r="X504" t="s">
        <v>74</v>
      </c>
      <c r="Y504" t="s">
        <v>74</v>
      </c>
      <c r="Z504" t="s">
        <v>74</v>
      </c>
      <c r="AA504" t="s">
        <v>74</v>
      </c>
      <c r="AB504" t="s">
        <v>74</v>
      </c>
      <c r="AC504" t="s">
        <v>74</v>
      </c>
      <c r="AD504" t="s">
        <v>74</v>
      </c>
      <c r="AE504" t="s">
        <v>74</v>
      </c>
      <c r="AF504" t="s">
        <v>74</v>
      </c>
      <c r="AG504" t="s">
        <v>74</v>
      </c>
      <c r="AH504" t="s">
        <v>74</v>
      </c>
      <c r="AI504" t="s">
        <v>74</v>
      </c>
      <c r="AJ504" t="s">
        <v>74</v>
      </c>
      <c r="AK504" t="s">
        <v>74</v>
      </c>
      <c r="AL504" t="s">
        <v>74</v>
      </c>
      <c r="AM504" t="s">
        <v>74</v>
      </c>
      <c r="AN504" t="s">
        <v>74</v>
      </c>
      <c r="AO504" t="s">
        <v>4678</v>
      </c>
      <c r="AP504" t="s">
        <v>4679</v>
      </c>
      <c r="AQ504" t="s">
        <v>74</v>
      </c>
      <c r="AR504" t="s">
        <v>74</v>
      </c>
      <c r="AS504" t="s">
        <v>74</v>
      </c>
      <c r="AT504" t="s">
        <v>4680</v>
      </c>
      <c r="AU504">
        <v>2023</v>
      </c>
      <c r="AV504">
        <v>198</v>
      </c>
      <c r="AW504" t="s">
        <v>74</v>
      </c>
      <c r="AX504" t="s">
        <v>74</v>
      </c>
      <c r="AY504" t="s">
        <v>74</v>
      </c>
      <c r="AZ504" t="s">
        <v>74</v>
      </c>
      <c r="BA504" t="s">
        <v>74</v>
      </c>
      <c r="BB504">
        <v>77</v>
      </c>
      <c r="BC504">
        <v>84</v>
      </c>
      <c r="BD504" t="s">
        <v>74</v>
      </c>
      <c r="BE504" t="s">
        <v>4681</v>
      </c>
      <c r="BF504" t="str">
        <f>HYPERLINK("http://dx.doi.org/10.1016/j.comcom.2022.11.008","http://dx.doi.org/10.1016/j.comcom.2022.11.008")</f>
        <v>http://dx.doi.org/10.1016/j.comcom.2022.11.008</v>
      </c>
      <c r="BG504" t="s">
        <v>74</v>
      </c>
      <c r="BH504" t="s">
        <v>74</v>
      </c>
      <c r="BI504" t="s">
        <v>74</v>
      </c>
      <c r="BJ504" t="s">
        <v>74</v>
      </c>
      <c r="BK504" t="s">
        <v>74</v>
      </c>
      <c r="BL504" t="s">
        <v>74</v>
      </c>
      <c r="BM504" t="s">
        <v>74</v>
      </c>
      <c r="BN504" t="s">
        <v>74</v>
      </c>
      <c r="BO504" t="s">
        <v>74</v>
      </c>
      <c r="BP504" t="s">
        <v>74</v>
      </c>
      <c r="BQ504" t="s">
        <v>74</v>
      </c>
      <c r="BR504" t="s">
        <v>74</v>
      </c>
      <c r="BS504" t="s">
        <v>4682</v>
      </c>
      <c r="BT504" t="str">
        <f>HYPERLINK("https%3A%2F%2Fwww.webofscience.com%2Fwos%2Fwoscc%2Ffull-record%2FWOS:000910853600005","View Full Record in Web of Science")</f>
        <v>View Full Record in Web of Science</v>
      </c>
    </row>
    <row r="505" spans="1:72" x14ac:dyDescent="0.25">
      <c r="A505" t="s">
        <v>72</v>
      </c>
      <c r="B505" t="s">
        <v>4683</v>
      </c>
      <c r="C505" t="s">
        <v>74</v>
      </c>
      <c r="D505" t="s">
        <v>74</v>
      </c>
      <c r="E505" t="s">
        <v>74</v>
      </c>
      <c r="F505" t="s">
        <v>4684</v>
      </c>
      <c r="G505" t="s">
        <v>74</v>
      </c>
      <c r="H505" t="s">
        <v>74</v>
      </c>
      <c r="I505" t="s">
        <v>4685</v>
      </c>
      <c r="J505" t="s">
        <v>460</v>
      </c>
      <c r="K505" t="s">
        <v>74</v>
      </c>
      <c r="L505" t="s">
        <v>74</v>
      </c>
      <c r="M505" t="s">
        <v>74</v>
      </c>
      <c r="N505" t="s">
        <v>74</v>
      </c>
      <c r="O505" t="s">
        <v>74</v>
      </c>
      <c r="P505" t="s">
        <v>74</v>
      </c>
      <c r="Q505" t="s">
        <v>74</v>
      </c>
      <c r="R505" t="s">
        <v>74</v>
      </c>
      <c r="S505" t="s">
        <v>74</v>
      </c>
      <c r="T505" t="s">
        <v>74</v>
      </c>
      <c r="U505" t="s">
        <v>74</v>
      </c>
      <c r="V505" t="s">
        <v>4686</v>
      </c>
      <c r="W505" t="s">
        <v>74</v>
      </c>
      <c r="X505" t="s">
        <v>74</v>
      </c>
      <c r="Y505" t="s">
        <v>74</v>
      </c>
      <c r="Z505" t="s">
        <v>74</v>
      </c>
      <c r="AA505" t="s">
        <v>4687</v>
      </c>
      <c r="AB505" t="s">
        <v>4688</v>
      </c>
      <c r="AC505" t="s">
        <v>74</v>
      </c>
      <c r="AD505" t="s">
        <v>74</v>
      </c>
      <c r="AE505" t="s">
        <v>74</v>
      </c>
      <c r="AF505" t="s">
        <v>74</v>
      </c>
      <c r="AG505" t="s">
        <v>74</v>
      </c>
      <c r="AH505" t="s">
        <v>74</v>
      </c>
      <c r="AI505" t="s">
        <v>74</v>
      </c>
      <c r="AJ505" t="s">
        <v>74</v>
      </c>
      <c r="AK505" t="s">
        <v>74</v>
      </c>
      <c r="AL505" t="s">
        <v>74</v>
      </c>
      <c r="AM505" t="s">
        <v>74</v>
      </c>
      <c r="AN505" t="s">
        <v>74</v>
      </c>
      <c r="AO505" t="s">
        <v>74</v>
      </c>
      <c r="AP505" t="s">
        <v>464</v>
      </c>
      <c r="AQ505" t="s">
        <v>74</v>
      </c>
      <c r="AR505" t="s">
        <v>74</v>
      </c>
      <c r="AS505" t="s">
        <v>74</v>
      </c>
      <c r="AT505" t="s">
        <v>1202</v>
      </c>
      <c r="AU505">
        <v>2022</v>
      </c>
      <c r="AV505">
        <v>14</v>
      </c>
      <c r="AW505">
        <v>7</v>
      </c>
      <c r="AX505" t="s">
        <v>74</v>
      </c>
      <c r="AY505" t="s">
        <v>74</v>
      </c>
      <c r="AZ505" t="s">
        <v>74</v>
      </c>
      <c r="BA505" t="s">
        <v>74</v>
      </c>
      <c r="BB505" t="s">
        <v>74</v>
      </c>
      <c r="BC505" t="s">
        <v>74</v>
      </c>
      <c r="BD505">
        <v>3975</v>
      </c>
      <c r="BE505" t="s">
        <v>4689</v>
      </c>
      <c r="BF505" t="str">
        <f>HYPERLINK("http://dx.doi.org/10.3390/su14073975","http://dx.doi.org/10.3390/su14073975")</f>
        <v>http://dx.doi.org/10.3390/su14073975</v>
      </c>
      <c r="BG505" t="s">
        <v>74</v>
      </c>
      <c r="BH505" t="s">
        <v>74</v>
      </c>
      <c r="BI505" t="s">
        <v>74</v>
      </c>
      <c r="BJ505" t="s">
        <v>74</v>
      </c>
      <c r="BK505" t="s">
        <v>74</v>
      </c>
      <c r="BL505" t="s">
        <v>74</v>
      </c>
      <c r="BM505" t="s">
        <v>74</v>
      </c>
      <c r="BN505" t="s">
        <v>74</v>
      </c>
      <c r="BO505" t="s">
        <v>74</v>
      </c>
      <c r="BP505" t="s">
        <v>74</v>
      </c>
      <c r="BQ505" t="s">
        <v>74</v>
      </c>
      <c r="BR505" t="s">
        <v>74</v>
      </c>
      <c r="BS505" t="s">
        <v>4690</v>
      </c>
      <c r="BT505" t="str">
        <f>HYPERLINK("https%3A%2F%2Fwww.webofscience.com%2Fwos%2Fwoscc%2Ffull-record%2FWOS:000782071800001","View Full Record in Web of Science")</f>
        <v>View Full Record in Web of Science</v>
      </c>
    </row>
    <row r="506" spans="1:72" x14ac:dyDescent="0.25">
      <c r="A506" t="s">
        <v>72</v>
      </c>
      <c r="B506" t="s">
        <v>4691</v>
      </c>
      <c r="C506" t="s">
        <v>74</v>
      </c>
      <c r="D506" t="s">
        <v>74</v>
      </c>
      <c r="E506" t="s">
        <v>74</v>
      </c>
      <c r="F506" t="s">
        <v>4692</v>
      </c>
      <c r="G506" t="s">
        <v>74</v>
      </c>
      <c r="H506" t="s">
        <v>74</v>
      </c>
      <c r="I506" t="s">
        <v>4693</v>
      </c>
      <c r="J506" t="s">
        <v>873</v>
      </c>
      <c r="K506" t="s">
        <v>74</v>
      </c>
      <c r="L506" t="s">
        <v>74</v>
      </c>
      <c r="M506" t="s">
        <v>74</v>
      </c>
      <c r="N506" t="s">
        <v>74</v>
      </c>
      <c r="O506" t="s">
        <v>74</v>
      </c>
      <c r="P506" t="s">
        <v>74</v>
      </c>
      <c r="Q506" t="s">
        <v>74</v>
      </c>
      <c r="R506" t="s">
        <v>74</v>
      </c>
      <c r="S506" t="s">
        <v>74</v>
      </c>
      <c r="T506" t="s">
        <v>74</v>
      </c>
      <c r="U506" t="s">
        <v>74</v>
      </c>
      <c r="V506" t="s">
        <v>4694</v>
      </c>
      <c r="W506" t="s">
        <v>74</v>
      </c>
      <c r="X506" t="s">
        <v>74</v>
      </c>
      <c r="Y506" t="s">
        <v>74</v>
      </c>
      <c r="Z506" t="s">
        <v>74</v>
      </c>
      <c r="AA506" t="s">
        <v>74</v>
      </c>
      <c r="AB506" t="s">
        <v>4695</v>
      </c>
      <c r="AC506" t="s">
        <v>74</v>
      </c>
      <c r="AD506" t="s">
        <v>74</v>
      </c>
      <c r="AE506" t="s">
        <v>74</v>
      </c>
      <c r="AF506" t="s">
        <v>74</v>
      </c>
      <c r="AG506" t="s">
        <v>74</v>
      </c>
      <c r="AH506" t="s">
        <v>74</v>
      </c>
      <c r="AI506" t="s">
        <v>74</v>
      </c>
      <c r="AJ506" t="s">
        <v>74</v>
      </c>
      <c r="AK506" t="s">
        <v>74</v>
      </c>
      <c r="AL506" t="s">
        <v>74</v>
      </c>
      <c r="AM506" t="s">
        <v>74</v>
      </c>
      <c r="AN506" t="s">
        <v>74</v>
      </c>
      <c r="AO506" t="s">
        <v>74</v>
      </c>
      <c r="AP506" t="s">
        <v>877</v>
      </c>
      <c r="AQ506" t="s">
        <v>74</v>
      </c>
      <c r="AR506" t="s">
        <v>74</v>
      </c>
      <c r="AS506" t="s">
        <v>74</v>
      </c>
      <c r="AT506" t="s">
        <v>81</v>
      </c>
      <c r="AU506">
        <v>2022</v>
      </c>
      <c r="AV506">
        <v>22</v>
      </c>
      <c r="AW506">
        <v>20</v>
      </c>
      <c r="AX506" t="s">
        <v>74</v>
      </c>
      <c r="AY506" t="s">
        <v>74</v>
      </c>
      <c r="AZ506" t="s">
        <v>74</v>
      </c>
      <c r="BA506" t="s">
        <v>74</v>
      </c>
      <c r="BB506" t="s">
        <v>74</v>
      </c>
      <c r="BC506" t="s">
        <v>74</v>
      </c>
      <c r="BD506">
        <v>7930</v>
      </c>
      <c r="BE506" t="s">
        <v>4696</v>
      </c>
      <c r="BF506" t="str">
        <f>HYPERLINK("http://dx.doi.org/10.3390/s22207930","http://dx.doi.org/10.3390/s22207930")</f>
        <v>http://dx.doi.org/10.3390/s22207930</v>
      </c>
      <c r="BG506" t="s">
        <v>74</v>
      </c>
      <c r="BH506" t="s">
        <v>74</v>
      </c>
      <c r="BI506" t="s">
        <v>74</v>
      </c>
      <c r="BJ506" t="s">
        <v>74</v>
      </c>
      <c r="BK506" t="s">
        <v>74</v>
      </c>
      <c r="BL506" t="s">
        <v>74</v>
      </c>
      <c r="BM506" t="s">
        <v>74</v>
      </c>
      <c r="BN506">
        <v>36298287</v>
      </c>
      <c r="BO506" t="s">
        <v>74</v>
      </c>
      <c r="BP506" t="s">
        <v>74</v>
      </c>
      <c r="BQ506" t="s">
        <v>74</v>
      </c>
      <c r="BR506" t="s">
        <v>74</v>
      </c>
      <c r="BS506" t="s">
        <v>4697</v>
      </c>
      <c r="BT506" t="str">
        <f>HYPERLINK("https%3A%2F%2Fwww.webofscience.com%2Fwos%2Fwoscc%2Ffull-record%2FWOS:000873715700001","View Full Record in Web of Science")</f>
        <v>View Full Record in Web of Science</v>
      </c>
    </row>
    <row r="507" spans="1:72" x14ac:dyDescent="0.25">
      <c r="A507" t="s">
        <v>72</v>
      </c>
      <c r="B507" t="s">
        <v>4698</v>
      </c>
      <c r="C507" t="s">
        <v>74</v>
      </c>
      <c r="D507" t="s">
        <v>74</v>
      </c>
      <c r="E507" t="s">
        <v>74</v>
      </c>
      <c r="F507" t="s">
        <v>4699</v>
      </c>
      <c r="G507" t="s">
        <v>74</v>
      </c>
      <c r="H507" t="s">
        <v>74</v>
      </c>
      <c r="I507" t="s">
        <v>4700</v>
      </c>
      <c r="J507" t="s">
        <v>4701</v>
      </c>
      <c r="K507" t="s">
        <v>74</v>
      </c>
      <c r="L507" t="s">
        <v>74</v>
      </c>
      <c r="M507" t="s">
        <v>74</v>
      </c>
      <c r="N507" t="s">
        <v>74</v>
      </c>
      <c r="O507" t="s">
        <v>74</v>
      </c>
      <c r="P507" t="s">
        <v>74</v>
      </c>
      <c r="Q507" t="s">
        <v>74</v>
      </c>
      <c r="R507" t="s">
        <v>74</v>
      </c>
      <c r="S507" t="s">
        <v>74</v>
      </c>
      <c r="T507" t="s">
        <v>74</v>
      </c>
      <c r="U507" t="s">
        <v>74</v>
      </c>
      <c r="V507" t="s">
        <v>4702</v>
      </c>
      <c r="W507" t="s">
        <v>74</v>
      </c>
      <c r="X507" t="s">
        <v>74</v>
      </c>
      <c r="Y507" t="s">
        <v>74</v>
      </c>
      <c r="Z507" t="s">
        <v>74</v>
      </c>
      <c r="AA507" t="s">
        <v>4703</v>
      </c>
      <c r="AB507" t="s">
        <v>4704</v>
      </c>
      <c r="AC507" t="s">
        <v>74</v>
      </c>
      <c r="AD507" t="s">
        <v>74</v>
      </c>
      <c r="AE507" t="s">
        <v>74</v>
      </c>
      <c r="AF507" t="s">
        <v>74</v>
      </c>
      <c r="AG507" t="s">
        <v>74</v>
      </c>
      <c r="AH507" t="s">
        <v>74</v>
      </c>
      <c r="AI507" t="s">
        <v>74</v>
      </c>
      <c r="AJ507" t="s">
        <v>74</v>
      </c>
      <c r="AK507" t="s">
        <v>74</v>
      </c>
      <c r="AL507" t="s">
        <v>74</v>
      </c>
      <c r="AM507" t="s">
        <v>74</v>
      </c>
      <c r="AN507" t="s">
        <v>74</v>
      </c>
      <c r="AO507" t="s">
        <v>74</v>
      </c>
      <c r="AP507" t="s">
        <v>4705</v>
      </c>
      <c r="AQ507" t="s">
        <v>74</v>
      </c>
      <c r="AR507" t="s">
        <v>74</v>
      </c>
      <c r="AS507" t="s">
        <v>74</v>
      </c>
      <c r="AT507" t="s">
        <v>195</v>
      </c>
      <c r="AU507">
        <v>2022</v>
      </c>
      <c r="AV507">
        <v>14</v>
      </c>
      <c r="AW507">
        <v>21</v>
      </c>
      <c r="AX507" t="s">
        <v>74</v>
      </c>
      <c r="AY507" t="s">
        <v>74</v>
      </c>
      <c r="AZ507" t="s">
        <v>74</v>
      </c>
      <c r="BA507" t="s">
        <v>74</v>
      </c>
      <c r="BB507" t="s">
        <v>74</v>
      </c>
      <c r="BC507" t="s">
        <v>74</v>
      </c>
      <c r="BD507">
        <v>4482</v>
      </c>
      <c r="BE507" t="s">
        <v>4706</v>
      </c>
      <c r="BF507" t="str">
        <f>HYPERLINK("http://dx.doi.org/10.3390/nu14214482","http://dx.doi.org/10.3390/nu14214482")</f>
        <v>http://dx.doi.org/10.3390/nu14214482</v>
      </c>
      <c r="BG507" t="s">
        <v>74</v>
      </c>
      <c r="BH507" t="s">
        <v>74</v>
      </c>
      <c r="BI507" t="s">
        <v>74</v>
      </c>
      <c r="BJ507" t="s">
        <v>74</v>
      </c>
      <c r="BK507" t="s">
        <v>74</v>
      </c>
      <c r="BL507" t="s">
        <v>74</v>
      </c>
      <c r="BM507" t="s">
        <v>74</v>
      </c>
      <c r="BN507">
        <v>36364744</v>
      </c>
      <c r="BO507" t="s">
        <v>74</v>
      </c>
      <c r="BP507" t="s">
        <v>74</v>
      </c>
      <c r="BQ507" t="s">
        <v>74</v>
      </c>
      <c r="BR507" t="s">
        <v>74</v>
      </c>
      <c r="BS507" t="s">
        <v>4707</v>
      </c>
      <c r="BT507" t="str">
        <f>HYPERLINK("https%3A%2F%2Fwww.webofscience.com%2Fwos%2Fwoscc%2Ffull-record%2FWOS:000881497300001","View Full Record in Web of Science")</f>
        <v>View Full Record in Web of Science</v>
      </c>
    </row>
    <row r="508" spans="1:72" x14ac:dyDescent="0.25">
      <c r="A508" t="s">
        <v>72</v>
      </c>
      <c r="B508" t="s">
        <v>4708</v>
      </c>
      <c r="C508" t="s">
        <v>74</v>
      </c>
      <c r="D508" t="s">
        <v>74</v>
      </c>
      <c r="E508" t="s">
        <v>74</v>
      </c>
      <c r="F508" t="s">
        <v>4709</v>
      </c>
      <c r="G508" t="s">
        <v>74</v>
      </c>
      <c r="H508" t="s">
        <v>74</v>
      </c>
      <c r="I508" t="s">
        <v>4710</v>
      </c>
      <c r="J508" t="s">
        <v>4711</v>
      </c>
      <c r="K508" t="s">
        <v>74</v>
      </c>
      <c r="L508" t="s">
        <v>74</v>
      </c>
      <c r="M508" t="s">
        <v>74</v>
      </c>
      <c r="N508" t="s">
        <v>74</v>
      </c>
      <c r="O508" t="s">
        <v>74</v>
      </c>
      <c r="P508" t="s">
        <v>74</v>
      </c>
      <c r="Q508" t="s">
        <v>74</v>
      </c>
      <c r="R508" t="s">
        <v>74</v>
      </c>
      <c r="S508" t="s">
        <v>74</v>
      </c>
      <c r="T508" t="s">
        <v>74</v>
      </c>
      <c r="U508" t="s">
        <v>74</v>
      </c>
      <c r="V508" t="s">
        <v>4712</v>
      </c>
      <c r="W508" t="s">
        <v>74</v>
      </c>
      <c r="X508" t="s">
        <v>74</v>
      </c>
      <c r="Y508" t="s">
        <v>74</v>
      </c>
      <c r="Z508" t="s">
        <v>74</v>
      </c>
      <c r="AA508" t="s">
        <v>74</v>
      </c>
      <c r="AB508" t="s">
        <v>74</v>
      </c>
      <c r="AC508" t="s">
        <v>74</v>
      </c>
      <c r="AD508" t="s">
        <v>74</v>
      </c>
      <c r="AE508" t="s">
        <v>74</v>
      </c>
      <c r="AF508" t="s">
        <v>74</v>
      </c>
      <c r="AG508" t="s">
        <v>74</v>
      </c>
      <c r="AH508" t="s">
        <v>74</v>
      </c>
      <c r="AI508" t="s">
        <v>74</v>
      </c>
      <c r="AJ508" t="s">
        <v>74</v>
      </c>
      <c r="AK508" t="s">
        <v>74</v>
      </c>
      <c r="AL508" t="s">
        <v>74</v>
      </c>
      <c r="AM508" t="s">
        <v>74</v>
      </c>
      <c r="AN508" t="s">
        <v>74</v>
      </c>
      <c r="AO508" t="s">
        <v>4713</v>
      </c>
      <c r="AP508" t="s">
        <v>4714</v>
      </c>
      <c r="AQ508" t="s">
        <v>74</v>
      </c>
      <c r="AR508" t="s">
        <v>74</v>
      </c>
      <c r="AS508" t="s">
        <v>74</v>
      </c>
      <c r="AT508" t="s">
        <v>366</v>
      </c>
      <c r="AU508">
        <v>2023</v>
      </c>
      <c r="AV508">
        <v>60</v>
      </c>
      <c r="AW508">
        <v>2</v>
      </c>
      <c r="AX508" t="s">
        <v>74</v>
      </c>
      <c r="AY508" t="s">
        <v>74</v>
      </c>
      <c r="AZ508" t="s">
        <v>74</v>
      </c>
      <c r="BA508" t="s">
        <v>74</v>
      </c>
      <c r="BB508" t="s">
        <v>74</v>
      </c>
      <c r="BC508" t="s">
        <v>74</v>
      </c>
      <c r="BD508">
        <v>103220</v>
      </c>
      <c r="BE508" t="s">
        <v>4715</v>
      </c>
      <c r="BF508" t="str">
        <f>HYPERLINK("http://dx.doi.org/10.1016/j.ipm.2022.103220","http://dx.doi.org/10.1016/j.ipm.2022.103220")</f>
        <v>http://dx.doi.org/10.1016/j.ipm.2022.103220</v>
      </c>
      <c r="BG508" t="s">
        <v>74</v>
      </c>
      <c r="BH508" t="s">
        <v>74</v>
      </c>
      <c r="BI508" t="s">
        <v>74</v>
      </c>
      <c r="BJ508" t="s">
        <v>74</v>
      </c>
      <c r="BK508" t="s">
        <v>74</v>
      </c>
      <c r="BL508" t="s">
        <v>74</v>
      </c>
      <c r="BM508" t="s">
        <v>74</v>
      </c>
      <c r="BN508" t="s">
        <v>74</v>
      </c>
      <c r="BO508" t="s">
        <v>74</v>
      </c>
      <c r="BP508" t="s">
        <v>74</v>
      </c>
      <c r="BQ508" t="s">
        <v>74</v>
      </c>
      <c r="BR508" t="s">
        <v>74</v>
      </c>
      <c r="BS508" t="s">
        <v>4716</v>
      </c>
      <c r="BT508" t="str">
        <f>HYPERLINK("https%3A%2F%2Fwww.webofscience.com%2Fwos%2Fwoscc%2Ffull-record%2FWOS:000901771300001","View Full Record in Web of Science")</f>
        <v>View Full Record in Web of Science</v>
      </c>
    </row>
    <row r="509" spans="1:72" x14ac:dyDescent="0.25">
      <c r="A509" t="s">
        <v>72</v>
      </c>
      <c r="B509" t="s">
        <v>4717</v>
      </c>
      <c r="C509" t="s">
        <v>74</v>
      </c>
      <c r="D509" t="s">
        <v>74</v>
      </c>
      <c r="E509" t="s">
        <v>74</v>
      </c>
      <c r="F509" t="s">
        <v>4718</v>
      </c>
      <c r="G509" t="s">
        <v>74</v>
      </c>
      <c r="H509" t="s">
        <v>74</v>
      </c>
      <c r="I509" t="s">
        <v>4719</v>
      </c>
      <c r="J509" t="s">
        <v>4720</v>
      </c>
      <c r="K509" t="s">
        <v>74</v>
      </c>
      <c r="L509" t="s">
        <v>74</v>
      </c>
      <c r="M509" t="s">
        <v>74</v>
      </c>
      <c r="N509" t="s">
        <v>74</v>
      </c>
      <c r="O509" t="s">
        <v>74</v>
      </c>
      <c r="P509" t="s">
        <v>74</v>
      </c>
      <c r="Q509" t="s">
        <v>74</v>
      </c>
      <c r="R509" t="s">
        <v>74</v>
      </c>
      <c r="S509" t="s">
        <v>74</v>
      </c>
      <c r="T509" t="s">
        <v>74</v>
      </c>
      <c r="U509" t="s">
        <v>74</v>
      </c>
      <c r="V509" t="s">
        <v>4721</v>
      </c>
      <c r="W509" t="s">
        <v>74</v>
      </c>
      <c r="X509" t="s">
        <v>74</v>
      </c>
      <c r="Y509" t="s">
        <v>74</v>
      </c>
      <c r="Z509" t="s">
        <v>74</v>
      </c>
      <c r="AA509" t="s">
        <v>74</v>
      </c>
      <c r="AB509" t="s">
        <v>4722</v>
      </c>
      <c r="AC509" t="s">
        <v>74</v>
      </c>
      <c r="AD509" t="s">
        <v>74</v>
      </c>
      <c r="AE509" t="s">
        <v>74</v>
      </c>
      <c r="AF509" t="s">
        <v>74</v>
      </c>
      <c r="AG509" t="s">
        <v>74</v>
      </c>
      <c r="AH509" t="s">
        <v>74</v>
      </c>
      <c r="AI509" t="s">
        <v>74</v>
      </c>
      <c r="AJ509" t="s">
        <v>74</v>
      </c>
      <c r="AK509" t="s">
        <v>74</v>
      </c>
      <c r="AL509" t="s">
        <v>74</v>
      </c>
      <c r="AM509" t="s">
        <v>74</v>
      </c>
      <c r="AN509" t="s">
        <v>74</v>
      </c>
      <c r="AO509" t="s">
        <v>4723</v>
      </c>
      <c r="AP509" t="s">
        <v>4724</v>
      </c>
      <c r="AQ509" t="s">
        <v>74</v>
      </c>
      <c r="AR509" t="s">
        <v>74</v>
      </c>
      <c r="AS509" t="s">
        <v>74</v>
      </c>
      <c r="AT509" t="s">
        <v>712</v>
      </c>
      <c r="AU509">
        <v>2022</v>
      </c>
      <c r="AV509">
        <v>68</v>
      </c>
      <c r="AW509">
        <v>8</v>
      </c>
      <c r="AX509" t="s">
        <v>74</v>
      </c>
      <c r="AY509" t="s">
        <v>74</v>
      </c>
      <c r="AZ509" t="s">
        <v>74</v>
      </c>
      <c r="BA509" t="s">
        <v>74</v>
      </c>
      <c r="BB509">
        <v>5561</v>
      </c>
      <c r="BC509">
        <v>5578</v>
      </c>
      <c r="BD509" t="s">
        <v>74</v>
      </c>
      <c r="BE509" t="s">
        <v>4725</v>
      </c>
      <c r="BF509" t="str">
        <f>HYPERLINK("http://dx.doi.org/10.1109/TIT.2022.3172837","http://dx.doi.org/10.1109/TIT.2022.3172837")</f>
        <v>http://dx.doi.org/10.1109/TIT.2022.3172837</v>
      </c>
      <c r="BG509" t="s">
        <v>74</v>
      </c>
      <c r="BH509" t="s">
        <v>74</v>
      </c>
      <c r="BI509" t="s">
        <v>74</v>
      </c>
      <c r="BJ509" t="s">
        <v>74</v>
      </c>
      <c r="BK509" t="s">
        <v>74</v>
      </c>
      <c r="BL509" t="s">
        <v>74</v>
      </c>
      <c r="BM509" t="s">
        <v>74</v>
      </c>
      <c r="BN509" t="s">
        <v>74</v>
      </c>
      <c r="BO509" t="s">
        <v>74</v>
      </c>
      <c r="BP509" t="s">
        <v>74</v>
      </c>
      <c r="BQ509" t="s">
        <v>74</v>
      </c>
      <c r="BR509" t="s">
        <v>74</v>
      </c>
      <c r="BS509" t="s">
        <v>4726</v>
      </c>
      <c r="BT509" t="str">
        <f>HYPERLINK("https%3A%2F%2Fwww.webofscience.com%2Fwos%2Fwoscc%2Ffull-record%2FWOS:000838527100040","View Full Record in Web of Science")</f>
        <v>View Full Record in Web of Science</v>
      </c>
    </row>
    <row r="510" spans="1:72" x14ac:dyDescent="0.25">
      <c r="A510" t="s">
        <v>72</v>
      </c>
      <c r="B510" t="s">
        <v>4727</v>
      </c>
      <c r="C510" t="s">
        <v>74</v>
      </c>
      <c r="D510" t="s">
        <v>74</v>
      </c>
      <c r="E510" t="s">
        <v>74</v>
      </c>
      <c r="F510" t="s">
        <v>4728</v>
      </c>
      <c r="G510" t="s">
        <v>74</v>
      </c>
      <c r="H510" t="s">
        <v>74</v>
      </c>
      <c r="I510" t="s">
        <v>4729</v>
      </c>
      <c r="J510" t="s">
        <v>201</v>
      </c>
      <c r="K510" t="s">
        <v>74</v>
      </c>
      <c r="L510" t="s">
        <v>74</v>
      </c>
      <c r="M510" t="s">
        <v>74</v>
      </c>
      <c r="N510" t="s">
        <v>74</v>
      </c>
      <c r="O510" t="s">
        <v>74</v>
      </c>
      <c r="P510" t="s">
        <v>74</v>
      </c>
      <c r="Q510" t="s">
        <v>74</v>
      </c>
      <c r="R510" t="s">
        <v>74</v>
      </c>
      <c r="S510" t="s">
        <v>74</v>
      </c>
      <c r="T510" t="s">
        <v>74</v>
      </c>
      <c r="U510" t="s">
        <v>74</v>
      </c>
      <c r="V510" t="s">
        <v>4730</v>
      </c>
      <c r="W510" t="s">
        <v>74</v>
      </c>
      <c r="X510" t="s">
        <v>74</v>
      </c>
      <c r="Y510" t="s">
        <v>74</v>
      </c>
      <c r="Z510" t="s">
        <v>74</v>
      </c>
      <c r="AA510" t="s">
        <v>4731</v>
      </c>
      <c r="AB510" t="s">
        <v>4732</v>
      </c>
      <c r="AC510" t="s">
        <v>74</v>
      </c>
      <c r="AD510" t="s">
        <v>74</v>
      </c>
      <c r="AE510" t="s">
        <v>74</v>
      </c>
      <c r="AF510" t="s">
        <v>74</v>
      </c>
      <c r="AG510" t="s">
        <v>74</v>
      </c>
      <c r="AH510" t="s">
        <v>74</v>
      </c>
      <c r="AI510" t="s">
        <v>74</v>
      </c>
      <c r="AJ510" t="s">
        <v>74</v>
      </c>
      <c r="AK510" t="s">
        <v>74</v>
      </c>
      <c r="AL510" t="s">
        <v>74</v>
      </c>
      <c r="AM510" t="s">
        <v>74</v>
      </c>
      <c r="AN510" t="s">
        <v>74</v>
      </c>
      <c r="AO510" t="s">
        <v>205</v>
      </c>
      <c r="AP510" t="s">
        <v>74</v>
      </c>
      <c r="AQ510" t="s">
        <v>74</v>
      </c>
      <c r="AR510" t="s">
        <v>74</v>
      </c>
      <c r="AS510" t="s">
        <v>74</v>
      </c>
      <c r="AT510" t="s">
        <v>74</v>
      </c>
      <c r="AU510">
        <v>2022</v>
      </c>
      <c r="AV510">
        <v>10</v>
      </c>
      <c r="AW510" t="s">
        <v>74</v>
      </c>
      <c r="AX510" t="s">
        <v>74</v>
      </c>
      <c r="AY510" t="s">
        <v>74</v>
      </c>
      <c r="AZ510" t="s">
        <v>74</v>
      </c>
      <c r="BA510" t="s">
        <v>74</v>
      </c>
      <c r="BB510">
        <v>98191</v>
      </c>
      <c r="BC510">
        <v>98203</v>
      </c>
      <c r="BD510" t="s">
        <v>74</v>
      </c>
      <c r="BE510" t="s">
        <v>4733</v>
      </c>
      <c r="BF510" t="str">
        <f>HYPERLINK("http://dx.doi.org/10.1109/ACCESS.2022.3206385","http://dx.doi.org/10.1109/ACCESS.2022.3206385")</f>
        <v>http://dx.doi.org/10.1109/ACCESS.2022.3206385</v>
      </c>
      <c r="BG510" t="s">
        <v>74</v>
      </c>
      <c r="BH510" t="s">
        <v>74</v>
      </c>
      <c r="BI510" t="s">
        <v>74</v>
      </c>
      <c r="BJ510" t="s">
        <v>74</v>
      </c>
      <c r="BK510" t="s">
        <v>74</v>
      </c>
      <c r="BL510" t="s">
        <v>74</v>
      </c>
      <c r="BM510" t="s">
        <v>74</v>
      </c>
      <c r="BN510" t="s">
        <v>74</v>
      </c>
      <c r="BO510" t="s">
        <v>74</v>
      </c>
      <c r="BP510" t="s">
        <v>74</v>
      </c>
      <c r="BQ510" t="s">
        <v>74</v>
      </c>
      <c r="BR510" t="s">
        <v>74</v>
      </c>
      <c r="BS510" t="s">
        <v>4734</v>
      </c>
      <c r="BT510" t="str">
        <f>HYPERLINK("https%3A%2F%2Fwww.webofscience.com%2Fwos%2Fwoscc%2Ffull-record%2FWOS:000857323700001","View Full Record in Web of Science")</f>
        <v>View Full Record in Web of Science</v>
      </c>
    </row>
    <row r="511" spans="1:72" x14ac:dyDescent="0.25">
      <c r="A511" t="s">
        <v>72</v>
      </c>
      <c r="B511" t="s">
        <v>4735</v>
      </c>
      <c r="C511" t="s">
        <v>74</v>
      </c>
      <c r="D511" t="s">
        <v>74</v>
      </c>
      <c r="E511" t="s">
        <v>74</v>
      </c>
      <c r="F511" t="s">
        <v>4736</v>
      </c>
      <c r="G511" t="s">
        <v>74</v>
      </c>
      <c r="H511" t="s">
        <v>74</v>
      </c>
      <c r="I511" t="s">
        <v>4737</v>
      </c>
      <c r="J511" t="s">
        <v>709</v>
      </c>
      <c r="K511" t="s">
        <v>74</v>
      </c>
      <c r="L511" t="s">
        <v>74</v>
      </c>
      <c r="M511" t="s">
        <v>74</v>
      </c>
      <c r="N511" t="s">
        <v>74</v>
      </c>
      <c r="O511" t="s">
        <v>74</v>
      </c>
      <c r="P511" t="s">
        <v>74</v>
      </c>
      <c r="Q511" t="s">
        <v>74</v>
      </c>
      <c r="R511" t="s">
        <v>74</v>
      </c>
      <c r="S511" t="s">
        <v>74</v>
      </c>
      <c r="T511" t="s">
        <v>74</v>
      </c>
      <c r="U511" t="s">
        <v>74</v>
      </c>
      <c r="V511" t="s">
        <v>4738</v>
      </c>
      <c r="W511" t="s">
        <v>74</v>
      </c>
      <c r="X511" t="s">
        <v>74</v>
      </c>
      <c r="Y511" t="s">
        <v>74</v>
      </c>
      <c r="Z511" t="s">
        <v>74</v>
      </c>
      <c r="AA511" t="s">
        <v>74</v>
      </c>
      <c r="AB511" t="s">
        <v>74</v>
      </c>
      <c r="AC511" t="s">
        <v>74</v>
      </c>
      <c r="AD511" t="s">
        <v>74</v>
      </c>
      <c r="AE511" t="s">
        <v>74</v>
      </c>
      <c r="AF511" t="s">
        <v>74</v>
      </c>
      <c r="AG511" t="s">
        <v>74</v>
      </c>
      <c r="AH511" t="s">
        <v>74</v>
      </c>
      <c r="AI511" t="s">
        <v>74</v>
      </c>
      <c r="AJ511" t="s">
        <v>74</v>
      </c>
      <c r="AK511" t="s">
        <v>74</v>
      </c>
      <c r="AL511" t="s">
        <v>74</v>
      </c>
      <c r="AM511" t="s">
        <v>74</v>
      </c>
      <c r="AN511" t="s">
        <v>74</v>
      </c>
      <c r="AO511" t="s">
        <v>74</v>
      </c>
      <c r="AP511" t="s">
        <v>711</v>
      </c>
      <c r="AQ511" t="s">
        <v>74</v>
      </c>
      <c r="AR511" t="s">
        <v>74</v>
      </c>
      <c r="AS511" t="s">
        <v>74</v>
      </c>
      <c r="AT511" t="s">
        <v>366</v>
      </c>
      <c r="AU511">
        <v>2023</v>
      </c>
      <c r="AV511">
        <v>13</v>
      </c>
      <c r="AW511">
        <v>6</v>
      </c>
      <c r="AX511" t="s">
        <v>74</v>
      </c>
      <c r="AY511" t="s">
        <v>74</v>
      </c>
      <c r="AZ511" t="s">
        <v>74</v>
      </c>
      <c r="BA511" t="s">
        <v>74</v>
      </c>
      <c r="BB511" t="s">
        <v>74</v>
      </c>
      <c r="BC511" t="s">
        <v>74</v>
      </c>
      <c r="BD511">
        <v>3397</v>
      </c>
      <c r="BE511" t="s">
        <v>4739</v>
      </c>
      <c r="BF511" t="str">
        <f>HYPERLINK("http://dx.doi.org/10.3390/app13063397","http://dx.doi.org/10.3390/app13063397")</f>
        <v>http://dx.doi.org/10.3390/app13063397</v>
      </c>
      <c r="BG511" t="s">
        <v>74</v>
      </c>
      <c r="BH511" t="s">
        <v>74</v>
      </c>
      <c r="BI511" t="s">
        <v>74</v>
      </c>
      <c r="BJ511" t="s">
        <v>74</v>
      </c>
      <c r="BK511" t="s">
        <v>74</v>
      </c>
      <c r="BL511" t="s">
        <v>74</v>
      </c>
      <c r="BM511" t="s">
        <v>74</v>
      </c>
      <c r="BN511" t="s">
        <v>74</v>
      </c>
      <c r="BO511" t="s">
        <v>74</v>
      </c>
      <c r="BP511" t="s">
        <v>74</v>
      </c>
      <c r="BQ511" t="s">
        <v>74</v>
      </c>
      <c r="BR511" t="s">
        <v>74</v>
      </c>
      <c r="BS511" t="s">
        <v>4740</v>
      </c>
      <c r="BT511" t="str">
        <f>HYPERLINK("https%3A%2F%2Fwww.webofscience.com%2Fwos%2Fwoscc%2Ffull-record%2FWOS:000953664000001","View Full Record in Web of Science")</f>
        <v>View Full Record in Web of Science</v>
      </c>
    </row>
    <row r="512" spans="1:72" x14ac:dyDescent="0.25">
      <c r="A512" t="s">
        <v>72</v>
      </c>
      <c r="B512" t="s">
        <v>4741</v>
      </c>
      <c r="C512" t="s">
        <v>74</v>
      </c>
      <c r="D512" t="s">
        <v>74</v>
      </c>
      <c r="E512" t="s">
        <v>74</v>
      </c>
      <c r="F512" t="s">
        <v>4742</v>
      </c>
      <c r="G512" t="s">
        <v>74</v>
      </c>
      <c r="H512" t="s">
        <v>74</v>
      </c>
      <c r="I512" t="s">
        <v>4743</v>
      </c>
      <c r="J512" t="s">
        <v>119</v>
      </c>
      <c r="K512" t="s">
        <v>74</v>
      </c>
      <c r="L512" t="s">
        <v>74</v>
      </c>
      <c r="M512" t="s">
        <v>74</v>
      </c>
      <c r="N512" t="s">
        <v>74</v>
      </c>
      <c r="O512" t="s">
        <v>74</v>
      </c>
      <c r="P512" t="s">
        <v>74</v>
      </c>
      <c r="Q512" t="s">
        <v>74</v>
      </c>
      <c r="R512" t="s">
        <v>74</v>
      </c>
      <c r="S512" t="s">
        <v>74</v>
      </c>
      <c r="T512" t="s">
        <v>74</v>
      </c>
      <c r="U512" t="s">
        <v>74</v>
      </c>
      <c r="V512" t="s">
        <v>4744</v>
      </c>
      <c r="W512" t="s">
        <v>74</v>
      </c>
      <c r="X512" t="s">
        <v>74</v>
      </c>
      <c r="Y512" t="s">
        <v>74</v>
      </c>
      <c r="Z512" t="s">
        <v>74</v>
      </c>
      <c r="AA512" t="s">
        <v>74</v>
      </c>
      <c r="AB512" t="s">
        <v>4745</v>
      </c>
      <c r="AC512" t="s">
        <v>74</v>
      </c>
      <c r="AD512" t="s">
        <v>74</v>
      </c>
      <c r="AE512" t="s">
        <v>74</v>
      </c>
      <c r="AF512" t="s">
        <v>74</v>
      </c>
      <c r="AG512" t="s">
        <v>74</v>
      </c>
      <c r="AH512" t="s">
        <v>74</v>
      </c>
      <c r="AI512" t="s">
        <v>74</v>
      </c>
      <c r="AJ512" t="s">
        <v>74</v>
      </c>
      <c r="AK512" t="s">
        <v>74</v>
      </c>
      <c r="AL512" t="s">
        <v>74</v>
      </c>
      <c r="AM512" t="s">
        <v>74</v>
      </c>
      <c r="AN512" t="s">
        <v>74</v>
      </c>
      <c r="AO512" t="s">
        <v>74</v>
      </c>
      <c r="AP512" t="s">
        <v>123</v>
      </c>
      <c r="AQ512" t="s">
        <v>74</v>
      </c>
      <c r="AR512" t="s">
        <v>74</v>
      </c>
      <c r="AS512" t="s">
        <v>74</v>
      </c>
      <c r="AT512" t="s">
        <v>175</v>
      </c>
      <c r="AU512">
        <v>2022</v>
      </c>
      <c r="AV512">
        <v>11</v>
      </c>
      <c r="AW512">
        <v>1</v>
      </c>
      <c r="AX512" t="s">
        <v>74</v>
      </c>
      <c r="AY512" t="s">
        <v>74</v>
      </c>
      <c r="AZ512" t="s">
        <v>74</v>
      </c>
      <c r="BA512" t="s">
        <v>74</v>
      </c>
      <c r="BB512" t="s">
        <v>74</v>
      </c>
      <c r="BC512" t="s">
        <v>74</v>
      </c>
      <c r="BD512">
        <v>3</v>
      </c>
      <c r="BE512" t="s">
        <v>4746</v>
      </c>
      <c r="BF512" t="str">
        <f>HYPERLINK("http://dx.doi.org/10.3390/electronics11010003","http://dx.doi.org/10.3390/electronics11010003")</f>
        <v>http://dx.doi.org/10.3390/electronics11010003</v>
      </c>
      <c r="BG512" t="s">
        <v>74</v>
      </c>
      <c r="BH512" t="s">
        <v>74</v>
      </c>
      <c r="BI512" t="s">
        <v>74</v>
      </c>
      <c r="BJ512" t="s">
        <v>74</v>
      </c>
      <c r="BK512" t="s">
        <v>74</v>
      </c>
      <c r="BL512" t="s">
        <v>74</v>
      </c>
      <c r="BM512" t="s">
        <v>74</v>
      </c>
      <c r="BN512" t="s">
        <v>74</v>
      </c>
      <c r="BO512" t="s">
        <v>74</v>
      </c>
      <c r="BP512" t="s">
        <v>74</v>
      </c>
      <c r="BQ512" t="s">
        <v>74</v>
      </c>
      <c r="BR512" t="s">
        <v>74</v>
      </c>
      <c r="BS512" t="s">
        <v>4747</v>
      </c>
      <c r="BT512" t="str">
        <f>HYPERLINK("https%3A%2F%2Fwww.webofscience.com%2Fwos%2Fwoscc%2Ffull-record%2FWOS:000742040800001","View Full Record in Web of Science")</f>
        <v>View Full Record in Web of Science</v>
      </c>
    </row>
    <row r="513" spans="1:72" x14ac:dyDescent="0.25">
      <c r="A513" t="s">
        <v>72</v>
      </c>
      <c r="B513" t="s">
        <v>4748</v>
      </c>
      <c r="C513" t="s">
        <v>74</v>
      </c>
      <c r="D513" t="s">
        <v>74</v>
      </c>
      <c r="E513" t="s">
        <v>74</v>
      </c>
      <c r="F513" t="s">
        <v>4749</v>
      </c>
      <c r="G513" t="s">
        <v>74</v>
      </c>
      <c r="H513" t="s">
        <v>74</v>
      </c>
      <c r="I513" t="s">
        <v>4750</v>
      </c>
      <c r="J513" t="s">
        <v>77</v>
      </c>
      <c r="K513" t="s">
        <v>74</v>
      </c>
      <c r="L513" t="s">
        <v>74</v>
      </c>
      <c r="M513" t="s">
        <v>74</v>
      </c>
      <c r="N513" t="s">
        <v>74</v>
      </c>
      <c r="O513" t="s">
        <v>74</v>
      </c>
      <c r="P513" t="s">
        <v>74</v>
      </c>
      <c r="Q513" t="s">
        <v>74</v>
      </c>
      <c r="R513" t="s">
        <v>74</v>
      </c>
      <c r="S513" t="s">
        <v>74</v>
      </c>
      <c r="T513" t="s">
        <v>74</v>
      </c>
      <c r="U513" t="s">
        <v>74</v>
      </c>
      <c r="V513" t="s">
        <v>4751</v>
      </c>
      <c r="W513" t="s">
        <v>74</v>
      </c>
      <c r="X513" t="s">
        <v>74</v>
      </c>
      <c r="Y513" t="s">
        <v>74</v>
      </c>
      <c r="Z513" t="s">
        <v>74</v>
      </c>
      <c r="AA513" t="s">
        <v>3047</v>
      </c>
      <c r="AB513" t="s">
        <v>3048</v>
      </c>
      <c r="AC513" t="s">
        <v>74</v>
      </c>
      <c r="AD513" t="s">
        <v>74</v>
      </c>
      <c r="AE513" t="s">
        <v>74</v>
      </c>
      <c r="AF513" t="s">
        <v>74</v>
      </c>
      <c r="AG513" t="s">
        <v>74</v>
      </c>
      <c r="AH513" t="s">
        <v>74</v>
      </c>
      <c r="AI513" t="s">
        <v>74</v>
      </c>
      <c r="AJ513" t="s">
        <v>74</v>
      </c>
      <c r="AK513" t="s">
        <v>74</v>
      </c>
      <c r="AL513" t="s">
        <v>74</v>
      </c>
      <c r="AM513" t="s">
        <v>74</v>
      </c>
      <c r="AN513" t="s">
        <v>74</v>
      </c>
      <c r="AO513" t="s">
        <v>74</v>
      </c>
      <c r="AP513" t="s">
        <v>80</v>
      </c>
      <c r="AQ513" t="s">
        <v>74</v>
      </c>
      <c r="AR513" t="s">
        <v>74</v>
      </c>
      <c r="AS513" t="s">
        <v>74</v>
      </c>
      <c r="AT513" t="s">
        <v>81</v>
      </c>
      <c r="AU513">
        <v>2022</v>
      </c>
      <c r="AV513">
        <v>19</v>
      </c>
      <c r="AW513">
        <v>19</v>
      </c>
      <c r="AX513" t="s">
        <v>74</v>
      </c>
      <c r="AY513" t="s">
        <v>74</v>
      </c>
      <c r="AZ513" t="s">
        <v>74</v>
      </c>
      <c r="BA513" t="s">
        <v>74</v>
      </c>
      <c r="BB513" t="s">
        <v>74</v>
      </c>
      <c r="BC513" t="s">
        <v>74</v>
      </c>
      <c r="BD513">
        <v>12820</v>
      </c>
      <c r="BE513" t="s">
        <v>4752</v>
      </c>
      <c r="BF513" t="str">
        <f>HYPERLINK("http://dx.doi.org/10.3390/ijerph191912820","http://dx.doi.org/10.3390/ijerph191912820")</f>
        <v>http://dx.doi.org/10.3390/ijerph191912820</v>
      </c>
      <c r="BG513" t="s">
        <v>74</v>
      </c>
      <c r="BH513" t="s">
        <v>74</v>
      </c>
      <c r="BI513" t="s">
        <v>74</v>
      </c>
      <c r="BJ513" t="s">
        <v>74</v>
      </c>
      <c r="BK513" t="s">
        <v>74</v>
      </c>
      <c r="BL513" t="s">
        <v>74</v>
      </c>
      <c r="BM513" t="s">
        <v>74</v>
      </c>
      <c r="BN513">
        <v>36232118</v>
      </c>
      <c r="BO513" t="s">
        <v>74</v>
      </c>
      <c r="BP513" t="s">
        <v>74</v>
      </c>
      <c r="BQ513" t="s">
        <v>74</v>
      </c>
      <c r="BR513" t="s">
        <v>74</v>
      </c>
      <c r="BS513" t="s">
        <v>4753</v>
      </c>
      <c r="BT513" t="str">
        <f>HYPERLINK("https%3A%2F%2Fwww.webofscience.com%2Fwos%2Fwoscc%2Ffull-record%2FWOS:000866923300001","View Full Record in Web of Science")</f>
        <v>View Full Record in Web of Science</v>
      </c>
    </row>
    <row r="514" spans="1:72" x14ac:dyDescent="0.25">
      <c r="A514" t="s">
        <v>84</v>
      </c>
      <c r="B514" t="s">
        <v>4754</v>
      </c>
      <c r="C514" t="s">
        <v>74</v>
      </c>
      <c r="D514" t="s">
        <v>4755</v>
      </c>
      <c r="E514" t="s">
        <v>86</v>
      </c>
      <c r="F514" t="s">
        <v>4756</v>
      </c>
      <c r="G514" t="s">
        <v>74</v>
      </c>
      <c r="H514" t="s">
        <v>74</v>
      </c>
      <c r="I514" t="s">
        <v>4757</v>
      </c>
      <c r="J514" t="s">
        <v>4758</v>
      </c>
      <c r="K514" t="s">
        <v>4759</v>
      </c>
      <c r="L514" t="s">
        <v>74</v>
      </c>
      <c r="M514" t="s">
        <v>74</v>
      </c>
      <c r="N514" t="s">
        <v>74</v>
      </c>
      <c r="O514" t="s">
        <v>4760</v>
      </c>
      <c r="P514" t="s">
        <v>4761</v>
      </c>
      <c r="Q514" t="s">
        <v>4762</v>
      </c>
      <c r="R514" t="s">
        <v>74</v>
      </c>
      <c r="S514" t="s">
        <v>74</v>
      </c>
      <c r="T514" t="s">
        <v>74</v>
      </c>
      <c r="U514" t="s">
        <v>74</v>
      </c>
      <c r="V514" t="s">
        <v>4763</v>
      </c>
      <c r="W514" t="s">
        <v>74</v>
      </c>
      <c r="X514" t="s">
        <v>74</v>
      </c>
      <c r="Y514" t="s">
        <v>74</v>
      </c>
      <c r="Z514" t="s">
        <v>74</v>
      </c>
      <c r="AA514" t="s">
        <v>74</v>
      </c>
      <c r="AB514" t="s">
        <v>74</v>
      </c>
      <c r="AC514" t="s">
        <v>74</v>
      </c>
      <c r="AD514" t="s">
        <v>74</v>
      </c>
      <c r="AE514" t="s">
        <v>74</v>
      </c>
      <c r="AF514" t="s">
        <v>74</v>
      </c>
      <c r="AG514" t="s">
        <v>74</v>
      </c>
      <c r="AH514" t="s">
        <v>74</v>
      </c>
      <c r="AI514" t="s">
        <v>74</v>
      </c>
      <c r="AJ514" t="s">
        <v>74</v>
      </c>
      <c r="AK514" t="s">
        <v>74</v>
      </c>
      <c r="AL514" t="s">
        <v>74</v>
      </c>
      <c r="AM514" t="s">
        <v>74</v>
      </c>
      <c r="AN514" t="s">
        <v>74</v>
      </c>
      <c r="AO514" t="s">
        <v>4764</v>
      </c>
      <c r="AP514" t="s">
        <v>4765</v>
      </c>
      <c r="AQ514" t="s">
        <v>4766</v>
      </c>
      <c r="AR514" t="s">
        <v>74</v>
      </c>
      <c r="AS514" t="s">
        <v>74</v>
      </c>
      <c r="AT514" t="s">
        <v>74</v>
      </c>
      <c r="AU514">
        <v>2022</v>
      </c>
      <c r="AV514" t="s">
        <v>74</v>
      </c>
      <c r="AW514" t="s">
        <v>74</v>
      </c>
      <c r="AX514" t="s">
        <v>74</v>
      </c>
      <c r="AY514" t="s">
        <v>74</v>
      </c>
      <c r="AZ514" t="s">
        <v>74</v>
      </c>
      <c r="BA514" t="s">
        <v>74</v>
      </c>
      <c r="BB514" t="s">
        <v>4767</v>
      </c>
      <c r="BC514" t="s">
        <v>4767</v>
      </c>
      <c r="BD514" t="s">
        <v>74</v>
      </c>
      <c r="BE514" t="s">
        <v>4768</v>
      </c>
      <c r="BF514" t="str">
        <f>HYPERLINK("http://dx.doi.org/10.1109/ICICDT56182.2022.9933125","http://dx.doi.org/10.1109/ICICDT56182.2022.9933125")</f>
        <v>http://dx.doi.org/10.1109/ICICDT56182.2022.9933125</v>
      </c>
      <c r="BG514" t="s">
        <v>74</v>
      </c>
      <c r="BH514" t="s">
        <v>74</v>
      </c>
      <c r="BI514" t="s">
        <v>74</v>
      </c>
      <c r="BJ514" t="s">
        <v>74</v>
      </c>
      <c r="BK514" t="s">
        <v>74</v>
      </c>
      <c r="BL514" t="s">
        <v>74</v>
      </c>
      <c r="BM514" t="s">
        <v>74</v>
      </c>
      <c r="BN514" t="s">
        <v>74</v>
      </c>
      <c r="BO514" t="s">
        <v>74</v>
      </c>
      <c r="BP514" t="s">
        <v>74</v>
      </c>
      <c r="BQ514" t="s">
        <v>74</v>
      </c>
      <c r="BR514" t="s">
        <v>74</v>
      </c>
      <c r="BS514" t="s">
        <v>4769</v>
      </c>
      <c r="BT514" t="str">
        <f>HYPERLINK("https%3A%2F%2Fwww.webofscience.com%2Fwos%2Fwoscc%2Ffull-record%2FWOS:000945920500034","View Full Record in Web of Science")</f>
        <v>View Full Record in Web of Science</v>
      </c>
    </row>
    <row r="515" spans="1:72" x14ac:dyDescent="0.25">
      <c r="A515" t="s">
        <v>72</v>
      </c>
      <c r="B515" t="s">
        <v>4770</v>
      </c>
      <c r="C515" t="s">
        <v>74</v>
      </c>
      <c r="D515" t="s">
        <v>74</v>
      </c>
      <c r="E515" t="s">
        <v>74</v>
      </c>
      <c r="F515" t="s">
        <v>4771</v>
      </c>
      <c r="G515" t="s">
        <v>74</v>
      </c>
      <c r="H515" t="s">
        <v>74</v>
      </c>
      <c r="I515" t="s">
        <v>4772</v>
      </c>
      <c r="J515" t="s">
        <v>4773</v>
      </c>
      <c r="K515" t="s">
        <v>74</v>
      </c>
      <c r="L515" t="s">
        <v>74</v>
      </c>
      <c r="M515" t="s">
        <v>74</v>
      </c>
      <c r="N515" t="s">
        <v>74</v>
      </c>
      <c r="O515" t="s">
        <v>74</v>
      </c>
      <c r="P515" t="s">
        <v>74</v>
      </c>
      <c r="Q515" t="s">
        <v>74</v>
      </c>
      <c r="R515" t="s">
        <v>74</v>
      </c>
      <c r="S515" t="s">
        <v>74</v>
      </c>
      <c r="T515" t="s">
        <v>74</v>
      </c>
      <c r="U515" t="s">
        <v>74</v>
      </c>
      <c r="V515" t="s">
        <v>4774</v>
      </c>
      <c r="W515" t="s">
        <v>74</v>
      </c>
      <c r="X515" t="s">
        <v>74</v>
      </c>
      <c r="Y515" t="s">
        <v>74</v>
      </c>
      <c r="Z515" t="s">
        <v>74</v>
      </c>
      <c r="AA515" t="s">
        <v>74</v>
      </c>
      <c r="AB515" t="s">
        <v>4775</v>
      </c>
      <c r="AC515" t="s">
        <v>74</v>
      </c>
      <c r="AD515" t="s">
        <v>74</v>
      </c>
      <c r="AE515" t="s">
        <v>74</v>
      </c>
      <c r="AF515" t="s">
        <v>74</v>
      </c>
      <c r="AG515" t="s">
        <v>74</v>
      </c>
      <c r="AH515" t="s">
        <v>74</v>
      </c>
      <c r="AI515" t="s">
        <v>74</v>
      </c>
      <c r="AJ515" t="s">
        <v>74</v>
      </c>
      <c r="AK515" t="s">
        <v>74</v>
      </c>
      <c r="AL515" t="s">
        <v>74</v>
      </c>
      <c r="AM515" t="s">
        <v>74</v>
      </c>
      <c r="AN515" t="s">
        <v>74</v>
      </c>
      <c r="AO515" t="s">
        <v>4776</v>
      </c>
      <c r="AP515" t="s">
        <v>4777</v>
      </c>
      <c r="AQ515" t="s">
        <v>74</v>
      </c>
      <c r="AR515" t="s">
        <v>74</v>
      </c>
      <c r="AS515" t="s">
        <v>74</v>
      </c>
      <c r="AT515" t="s">
        <v>1202</v>
      </c>
      <c r="AU515">
        <v>2022</v>
      </c>
      <c r="AV515">
        <v>81</v>
      </c>
      <c r="AW515">
        <v>10</v>
      </c>
      <c r="AX515" t="s">
        <v>74</v>
      </c>
      <c r="AY515" t="s">
        <v>74</v>
      </c>
      <c r="AZ515" t="s">
        <v>74</v>
      </c>
      <c r="BA515" t="s">
        <v>74</v>
      </c>
      <c r="BB515">
        <v>13867</v>
      </c>
      <c r="BC515">
        <v>13888</v>
      </c>
      <c r="BD515" t="s">
        <v>74</v>
      </c>
      <c r="BE515" t="s">
        <v>4778</v>
      </c>
      <c r="BF515" t="str">
        <f>HYPERLINK("http://dx.doi.org/10.1007/s11042-022-12277-5","http://dx.doi.org/10.1007/s11042-022-12277-5")</f>
        <v>http://dx.doi.org/10.1007/s11042-022-12277-5</v>
      </c>
      <c r="BG515" t="s">
        <v>74</v>
      </c>
      <c r="BH515" t="s">
        <v>2614</v>
      </c>
      <c r="BI515" t="s">
        <v>74</v>
      </c>
      <c r="BJ515" t="s">
        <v>74</v>
      </c>
      <c r="BK515" t="s">
        <v>74</v>
      </c>
      <c r="BL515" t="s">
        <v>74</v>
      </c>
      <c r="BM515" t="s">
        <v>74</v>
      </c>
      <c r="BN515" t="s">
        <v>74</v>
      </c>
      <c r="BO515" t="s">
        <v>74</v>
      </c>
      <c r="BP515" t="s">
        <v>74</v>
      </c>
      <c r="BQ515" t="s">
        <v>74</v>
      </c>
      <c r="BR515" t="s">
        <v>74</v>
      </c>
      <c r="BS515" t="s">
        <v>4779</v>
      </c>
      <c r="BT515" t="str">
        <f>HYPERLINK("https%3A%2F%2Fwww.webofscience.com%2Fwos%2Fwoscc%2Ffull-record%2FWOS:000761979300011","View Full Record in Web of Science")</f>
        <v>View Full Record in Web of Science</v>
      </c>
    </row>
    <row r="516" spans="1:72" x14ac:dyDescent="0.25">
      <c r="A516" t="s">
        <v>72</v>
      </c>
      <c r="B516" t="s">
        <v>4780</v>
      </c>
      <c r="C516" t="s">
        <v>74</v>
      </c>
      <c r="D516" t="s">
        <v>74</v>
      </c>
      <c r="E516" t="s">
        <v>74</v>
      </c>
      <c r="F516" t="s">
        <v>4781</v>
      </c>
      <c r="G516" t="s">
        <v>74</v>
      </c>
      <c r="H516" t="s">
        <v>74</v>
      </c>
      <c r="I516" t="s">
        <v>4782</v>
      </c>
      <c r="J516" t="s">
        <v>873</v>
      </c>
      <c r="K516" t="s">
        <v>74</v>
      </c>
      <c r="L516" t="s">
        <v>74</v>
      </c>
      <c r="M516" t="s">
        <v>74</v>
      </c>
      <c r="N516" t="s">
        <v>74</v>
      </c>
      <c r="O516" t="s">
        <v>74</v>
      </c>
      <c r="P516" t="s">
        <v>74</v>
      </c>
      <c r="Q516" t="s">
        <v>74</v>
      </c>
      <c r="R516" t="s">
        <v>74</v>
      </c>
      <c r="S516" t="s">
        <v>74</v>
      </c>
      <c r="T516" t="s">
        <v>74</v>
      </c>
      <c r="U516" t="s">
        <v>74</v>
      </c>
      <c r="V516" t="s">
        <v>4783</v>
      </c>
      <c r="W516" t="s">
        <v>74</v>
      </c>
      <c r="X516" t="s">
        <v>74</v>
      </c>
      <c r="Y516" t="s">
        <v>74</v>
      </c>
      <c r="Z516" t="s">
        <v>74</v>
      </c>
      <c r="AA516" t="s">
        <v>74</v>
      </c>
      <c r="AB516" t="s">
        <v>4784</v>
      </c>
      <c r="AC516" t="s">
        <v>74</v>
      </c>
      <c r="AD516" t="s">
        <v>74</v>
      </c>
      <c r="AE516" t="s">
        <v>74</v>
      </c>
      <c r="AF516" t="s">
        <v>74</v>
      </c>
      <c r="AG516" t="s">
        <v>74</v>
      </c>
      <c r="AH516" t="s">
        <v>74</v>
      </c>
      <c r="AI516" t="s">
        <v>74</v>
      </c>
      <c r="AJ516" t="s">
        <v>74</v>
      </c>
      <c r="AK516" t="s">
        <v>74</v>
      </c>
      <c r="AL516" t="s">
        <v>74</v>
      </c>
      <c r="AM516" t="s">
        <v>74</v>
      </c>
      <c r="AN516" t="s">
        <v>74</v>
      </c>
      <c r="AO516" t="s">
        <v>74</v>
      </c>
      <c r="AP516" t="s">
        <v>877</v>
      </c>
      <c r="AQ516" t="s">
        <v>74</v>
      </c>
      <c r="AR516" t="s">
        <v>74</v>
      </c>
      <c r="AS516" t="s">
        <v>74</v>
      </c>
      <c r="AT516" t="s">
        <v>1202</v>
      </c>
      <c r="AU516">
        <v>2023</v>
      </c>
      <c r="AV516">
        <v>23</v>
      </c>
      <c r="AW516">
        <v>7</v>
      </c>
      <c r="AX516" t="s">
        <v>74</v>
      </c>
      <c r="AY516" t="s">
        <v>74</v>
      </c>
      <c r="AZ516" t="s">
        <v>74</v>
      </c>
      <c r="BA516" t="s">
        <v>74</v>
      </c>
      <c r="BB516" t="s">
        <v>74</v>
      </c>
      <c r="BC516" t="s">
        <v>74</v>
      </c>
      <c r="BD516">
        <v>3580</v>
      </c>
      <c r="BE516" t="s">
        <v>4785</v>
      </c>
      <c r="BF516" t="str">
        <f>HYPERLINK("http://dx.doi.org/10.3390/s23073580","http://dx.doi.org/10.3390/s23073580")</f>
        <v>http://dx.doi.org/10.3390/s23073580</v>
      </c>
      <c r="BG516" t="s">
        <v>74</v>
      </c>
      <c r="BH516" t="s">
        <v>74</v>
      </c>
      <c r="BI516" t="s">
        <v>74</v>
      </c>
      <c r="BJ516" t="s">
        <v>74</v>
      </c>
      <c r="BK516" t="s">
        <v>74</v>
      </c>
      <c r="BL516" t="s">
        <v>74</v>
      </c>
      <c r="BM516" t="s">
        <v>74</v>
      </c>
      <c r="BN516">
        <v>37050641</v>
      </c>
      <c r="BO516" t="s">
        <v>74</v>
      </c>
      <c r="BP516" t="s">
        <v>74</v>
      </c>
      <c r="BQ516" t="s">
        <v>74</v>
      </c>
      <c r="BR516" t="s">
        <v>74</v>
      </c>
      <c r="BS516" t="s">
        <v>4786</v>
      </c>
      <c r="BT516" t="str">
        <f>HYPERLINK("https%3A%2F%2Fwww.webofscience.com%2Fwos%2Fwoscc%2Ffull-record%2FWOS:000970318300001","View Full Record in Web of Science")</f>
        <v>View Full Record in Web of Science</v>
      </c>
    </row>
    <row r="517" spans="1:72" x14ac:dyDescent="0.25">
      <c r="A517" t="s">
        <v>84</v>
      </c>
      <c r="B517" t="s">
        <v>4787</v>
      </c>
      <c r="C517" t="s">
        <v>74</v>
      </c>
      <c r="D517" t="s">
        <v>74</v>
      </c>
      <c r="E517" t="s">
        <v>86</v>
      </c>
      <c r="F517" t="s">
        <v>4788</v>
      </c>
      <c r="G517" t="s">
        <v>74</v>
      </c>
      <c r="H517" t="s">
        <v>74</v>
      </c>
      <c r="I517" t="s">
        <v>4789</v>
      </c>
      <c r="J517" t="s">
        <v>4790</v>
      </c>
      <c r="K517" t="s">
        <v>4791</v>
      </c>
      <c r="L517" t="s">
        <v>74</v>
      </c>
      <c r="M517" t="s">
        <v>74</v>
      </c>
      <c r="N517" t="s">
        <v>74</v>
      </c>
      <c r="O517" t="s">
        <v>4792</v>
      </c>
      <c r="P517" t="s">
        <v>4793</v>
      </c>
      <c r="Q517" t="s">
        <v>3223</v>
      </c>
      <c r="R517" t="s">
        <v>86</v>
      </c>
      <c r="S517" t="s">
        <v>74</v>
      </c>
      <c r="T517" t="s">
        <v>74</v>
      </c>
      <c r="U517" t="s">
        <v>74</v>
      </c>
      <c r="V517" t="s">
        <v>4794</v>
      </c>
      <c r="W517" t="s">
        <v>74</v>
      </c>
      <c r="X517" t="s">
        <v>74</v>
      </c>
      <c r="Y517" t="s">
        <v>74</v>
      </c>
      <c r="Z517" t="s">
        <v>74</v>
      </c>
      <c r="AA517" t="s">
        <v>74</v>
      </c>
      <c r="AB517" t="s">
        <v>74</v>
      </c>
      <c r="AC517" t="s">
        <v>74</v>
      </c>
      <c r="AD517" t="s">
        <v>74</v>
      </c>
      <c r="AE517" t="s">
        <v>74</v>
      </c>
      <c r="AF517" t="s">
        <v>74</v>
      </c>
      <c r="AG517" t="s">
        <v>74</v>
      </c>
      <c r="AH517" t="s">
        <v>74</v>
      </c>
      <c r="AI517" t="s">
        <v>74</v>
      </c>
      <c r="AJ517" t="s">
        <v>74</v>
      </c>
      <c r="AK517" t="s">
        <v>74</v>
      </c>
      <c r="AL517" t="s">
        <v>74</v>
      </c>
      <c r="AM517" t="s">
        <v>74</v>
      </c>
      <c r="AN517" t="s">
        <v>74</v>
      </c>
      <c r="AO517" t="s">
        <v>4795</v>
      </c>
      <c r="AP517" t="s">
        <v>74</v>
      </c>
      <c r="AQ517" t="s">
        <v>4796</v>
      </c>
      <c r="AR517" t="s">
        <v>74</v>
      </c>
      <c r="AS517" t="s">
        <v>74</v>
      </c>
      <c r="AT517" t="s">
        <v>74</v>
      </c>
      <c r="AU517">
        <v>2021</v>
      </c>
      <c r="AV517" t="s">
        <v>74</v>
      </c>
      <c r="AW517" t="s">
        <v>74</v>
      </c>
      <c r="AX517" t="s">
        <v>74</v>
      </c>
      <c r="AY517" t="s">
        <v>74</v>
      </c>
      <c r="AZ517" t="s">
        <v>74</v>
      </c>
      <c r="BA517" t="s">
        <v>74</v>
      </c>
      <c r="BB517" t="s">
        <v>74</v>
      </c>
      <c r="BC517" t="s">
        <v>74</v>
      </c>
      <c r="BD517" t="s">
        <v>74</v>
      </c>
      <c r="BE517" t="s">
        <v>4797</v>
      </c>
      <c r="BF517" t="str">
        <f>HYPERLINK("http://dx.doi.org/10.1109/IEDM19574.2021.9720526","http://dx.doi.org/10.1109/IEDM19574.2021.9720526")</f>
        <v>http://dx.doi.org/10.1109/IEDM19574.2021.9720526</v>
      </c>
      <c r="BG517" t="s">
        <v>74</v>
      </c>
      <c r="BH517" t="s">
        <v>74</v>
      </c>
      <c r="BI517" t="s">
        <v>74</v>
      </c>
      <c r="BJ517" t="s">
        <v>74</v>
      </c>
      <c r="BK517" t="s">
        <v>74</v>
      </c>
      <c r="BL517" t="s">
        <v>74</v>
      </c>
      <c r="BM517" t="s">
        <v>74</v>
      </c>
      <c r="BN517" t="s">
        <v>74</v>
      </c>
      <c r="BO517" t="s">
        <v>74</v>
      </c>
      <c r="BP517" t="s">
        <v>74</v>
      </c>
      <c r="BQ517" t="s">
        <v>74</v>
      </c>
      <c r="BR517" t="s">
        <v>74</v>
      </c>
      <c r="BS517" t="s">
        <v>4798</v>
      </c>
      <c r="BT517" t="str">
        <f>HYPERLINK("https%3A%2F%2Fwww.webofscience.com%2Fwos%2Fwoscc%2Ffull-record%2FWOS:000812325400032","View Full Record in Web of Science")</f>
        <v>View Full Record in Web of Science</v>
      </c>
    </row>
    <row r="518" spans="1:72" x14ac:dyDescent="0.25">
      <c r="A518" t="s">
        <v>72</v>
      </c>
      <c r="B518" t="s">
        <v>4799</v>
      </c>
      <c r="C518" t="s">
        <v>74</v>
      </c>
      <c r="D518" t="s">
        <v>74</v>
      </c>
      <c r="E518" t="s">
        <v>74</v>
      </c>
      <c r="F518" t="s">
        <v>4800</v>
      </c>
      <c r="G518" t="s">
        <v>74</v>
      </c>
      <c r="H518" t="s">
        <v>74</v>
      </c>
      <c r="I518" t="s">
        <v>4801</v>
      </c>
      <c r="J518" t="s">
        <v>4802</v>
      </c>
      <c r="K518" t="s">
        <v>74</v>
      </c>
      <c r="L518" t="s">
        <v>74</v>
      </c>
      <c r="M518" t="s">
        <v>74</v>
      </c>
      <c r="N518" t="s">
        <v>74</v>
      </c>
      <c r="O518" t="s">
        <v>74</v>
      </c>
      <c r="P518" t="s">
        <v>74</v>
      </c>
      <c r="Q518" t="s">
        <v>74</v>
      </c>
      <c r="R518" t="s">
        <v>74</v>
      </c>
      <c r="S518" t="s">
        <v>74</v>
      </c>
      <c r="T518" t="s">
        <v>74</v>
      </c>
      <c r="U518" t="s">
        <v>74</v>
      </c>
      <c r="V518" t="s">
        <v>4803</v>
      </c>
      <c r="W518" t="s">
        <v>74</v>
      </c>
      <c r="X518" t="s">
        <v>74</v>
      </c>
      <c r="Y518" t="s">
        <v>74</v>
      </c>
      <c r="Z518" t="s">
        <v>74</v>
      </c>
      <c r="AA518" t="s">
        <v>3047</v>
      </c>
      <c r="AB518" t="s">
        <v>4804</v>
      </c>
      <c r="AC518" t="s">
        <v>74</v>
      </c>
      <c r="AD518" t="s">
        <v>74</v>
      </c>
      <c r="AE518" t="s">
        <v>74</v>
      </c>
      <c r="AF518" t="s">
        <v>74</v>
      </c>
      <c r="AG518" t="s">
        <v>74</v>
      </c>
      <c r="AH518" t="s">
        <v>74</v>
      </c>
      <c r="AI518" t="s">
        <v>74</v>
      </c>
      <c r="AJ518" t="s">
        <v>74</v>
      </c>
      <c r="AK518" t="s">
        <v>74</v>
      </c>
      <c r="AL518" t="s">
        <v>74</v>
      </c>
      <c r="AM518" t="s">
        <v>74</v>
      </c>
      <c r="AN518" t="s">
        <v>74</v>
      </c>
      <c r="AO518" t="s">
        <v>74</v>
      </c>
      <c r="AP518" t="s">
        <v>4805</v>
      </c>
      <c r="AQ518" t="s">
        <v>74</v>
      </c>
      <c r="AR518" t="s">
        <v>74</v>
      </c>
      <c r="AS518" t="s">
        <v>74</v>
      </c>
      <c r="AT518" t="s">
        <v>435</v>
      </c>
      <c r="AU518">
        <v>2023</v>
      </c>
      <c r="AV518">
        <v>13</v>
      </c>
      <c r="AW518">
        <v>2</v>
      </c>
      <c r="AX518" t="s">
        <v>74</v>
      </c>
      <c r="AY518" t="s">
        <v>74</v>
      </c>
      <c r="AZ518" t="s">
        <v>74</v>
      </c>
      <c r="BA518" t="s">
        <v>74</v>
      </c>
      <c r="BB518" t="s">
        <v>74</v>
      </c>
      <c r="BC518" t="s">
        <v>74</v>
      </c>
      <c r="BD518">
        <v>288</v>
      </c>
      <c r="BE518" t="s">
        <v>4806</v>
      </c>
      <c r="BF518" t="str">
        <f>HYPERLINK("http://dx.doi.org/10.3390/buildings13020288","http://dx.doi.org/10.3390/buildings13020288")</f>
        <v>http://dx.doi.org/10.3390/buildings13020288</v>
      </c>
      <c r="BG518" t="s">
        <v>74</v>
      </c>
      <c r="BH518" t="s">
        <v>74</v>
      </c>
      <c r="BI518" t="s">
        <v>74</v>
      </c>
      <c r="BJ518" t="s">
        <v>74</v>
      </c>
      <c r="BK518" t="s">
        <v>74</v>
      </c>
      <c r="BL518" t="s">
        <v>74</v>
      </c>
      <c r="BM518" t="s">
        <v>74</v>
      </c>
      <c r="BN518" t="s">
        <v>74</v>
      </c>
      <c r="BO518" t="s">
        <v>74</v>
      </c>
      <c r="BP518" t="s">
        <v>74</v>
      </c>
      <c r="BQ518" t="s">
        <v>74</v>
      </c>
      <c r="BR518" t="s">
        <v>74</v>
      </c>
      <c r="BS518" t="s">
        <v>4807</v>
      </c>
      <c r="BT518" t="str">
        <f>HYPERLINK("https%3A%2F%2Fwww.webofscience.com%2Fwos%2Fwoscc%2Ffull-record%2FWOS:000938357000001","View Full Record in Web of Science")</f>
        <v>View Full Record in Web of Science</v>
      </c>
    </row>
    <row r="519" spans="1:72" x14ac:dyDescent="0.25">
      <c r="A519" t="s">
        <v>72</v>
      </c>
      <c r="B519" t="s">
        <v>4808</v>
      </c>
      <c r="C519" t="s">
        <v>74</v>
      </c>
      <c r="D519" t="s">
        <v>74</v>
      </c>
      <c r="E519" t="s">
        <v>74</v>
      </c>
      <c r="F519" t="s">
        <v>4809</v>
      </c>
      <c r="G519" t="s">
        <v>74</v>
      </c>
      <c r="H519" t="s">
        <v>74</v>
      </c>
      <c r="I519" t="s">
        <v>4810</v>
      </c>
      <c r="J519" t="s">
        <v>201</v>
      </c>
      <c r="K519" t="s">
        <v>74</v>
      </c>
      <c r="L519" t="s">
        <v>74</v>
      </c>
      <c r="M519" t="s">
        <v>74</v>
      </c>
      <c r="N519" t="s">
        <v>74</v>
      </c>
      <c r="O519" t="s">
        <v>74</v>
      </c>
      <c r="P519" t="s">
        <v>74</v>
      </c>
      <c r="Q519" t="s">
        <v>74</v>
      </c>
      <c r="R519" t="s">
        <v>74</v>
      </c>
      <c r="S519" t="s">
        <v>74</v>
      </c>
      <c r="T519" t="s">
        <v>74</v>
      </c>
      <c r="U519" t="s">
        <v>74</v>
      </c>
      <c r="V519" t="s">
        <v>4811</v>
      </c>
      <c r="W519" t="s">
        <v>74</v>
      </c>
      <c r="X519" t="s">
        <v>74</v>
      </c>
      <c r="Y519" t="s">
        <v>74</v>
      </c>
      <c r="Z519" t="s">
        <v>74</v>
      </c>
      <c r="AA519" t="s">
        <v>1091</v>
      </c>
      <c r="AB519" t="s">
        <v>4812</v>
      </c>
      <c r="AC519" t="s">
        <v>74</v>
      </c>
      <c r="AD519" t="s">
        <v>74</v>
      </c>
      <c r="AE519" t="s">
        <v>74</v>
      </c>
      <c r="AF519" t="s">
        <v>74</v>
      </c>
      <c r="AG519" t="s">
        <v>74</v>
      </c>
      <c r="AH519" t="s">
        <v>74</v>
      </c>
      <c r="AI519" t="s">
        <v>74</v>
      </c>
      <c r="AJ519" t="s">
        <v>74</v>
      </c>
      <c r="AK519" t="s">
        <v>74</v>
      </c>
      <c r="AL519" t="s">
        <v>74</v>
      </c>
      <c r="AM519" t="s">
        <v>74</v>
      </c>
      <c r="AN519" t="s">
        <v>74</v>
      </c>
      <c r="AO519" t="s">
        <v>205</v>
      </c>
      <c r="AP519" t="s">
        <v>74</v>
      </c>
      <c r="AQ519" t="s">
        <v>74</v>
      </c>
      <c r="AR519" t="s">
        <v>74</v>
      </c>
      <c r="AS519" t="s">
        <v>74</v>
      </c>
      <c r="AT519" t="s">
        <v>74</v>
      </c>
      <c r="AU519">
        <v>2022</v>
      </c>
      <c r="AV519">
        <v>10</v>
      </c>
      <c r="AW519" t="s">
        <v>74</v>
      </c>
      <c r="AX519" t="s">
        <v>74</v>
      </c>
      <c r="AY519" t="s">
        <v>74</v>
      </c>
      <c r="AZ519" t="s">
        <v>74</v>
      </c>
      <c r="BA519" t="s">
        <v>74</v>
      </c>
      <c r="BB519">
        <v>125772</v>
      </c>
      <c r="BC519">
        <v>125791</v>
      </c>
      <c r="BD519" t="s">
        <v>74</v>
      </c>
      <c r="BE519" t="s">
        <v>4813</v>
      </c>
      <c r="BF519" t="str">
        <f>HYPERLINK("http://dx.doi.org/10.1109/ACCESS.2022.3222804","http://dx.doi.org/10.1109/ACCESS.2022.3222804")</f>
        <v>http://dx.doi.org/10.1109/ACCESS.2022.3222804</v>
      </c>
      <c r="BG519" t="s">
        <v>74</v>
      </c>
      <c r="BH519" t="s">
        <v>74</v>
      </c>
      <c r="BI519" t="s">
        <v>74</v>
      </c>
      <c r="BJ519" t="s">
        <v>74</v>
      </c>
      <c r="BK519" t="s">
        <v>74</v>
      </c>
      <c r="BL519" t="s">
        <v>74</v>
      </c>
      <c r="BM519" t="s">
        <v>74</v>
      </c>
      <c r="BN519" t="s">
        <v>74</v>
      </c>
      <c r="BO519" t="s">
        <v>74</v>
      </c>
      <c r="BP519" t="s">
        <v>74</v>
      </c>
      <c r="BQ519" t="s">
        <v>74</v>
      </c>
      <c r="BR519" t="s">
        <v>74</v>
      </c>
      <c r="BS519" t="s">
        <v>4814</v>
      </c>
      <c r="BT519" t="str">
        <f>HYPERLINK("https%3A%2F%2Fwww.webofscience.com%2Fwos%2Fwoscc%2Ffull-record%2FWOS:000894939100001","View Full Record in Web of Science")</f>
        <v>View Full Record in Web of Science</v>
      </c>
    </row>
    <row r="520" spans="1:72" x14ac:dyDescent="0.25">
      <c r="A520" t="s">
        <v>72</v>
      </c>
      <c r="B520" t="s">
        <v>4815</v>
      </c>
      <c r="C520" t="s">
        <v>74</v>
      </c>
      <c r="D520" t="s">
        <v>74</v>
      </c>
      <c r="E520" t="s">
        <v>74</v>
      </c>
      <c r="F520" t="s">
        <v>4816</v>
      </c>
      <c r="G520" t="s">
        <v>74</v>
      </c>
      <c r="H520" t="s">
        <v>74</v>
      </c>
      <c r="I520" t="s">
        <v>4817</v>
      </c>
      <c r="J520" t="s">
        <v>883</v>
      </c>
      <c r="K520" t="s">
        <v>74</v>
      </c>
      <c r="L520" t="s">
        <v>74</v>
      </c>
      <c r="M520" t="s">
        <v>74</v>
      </c>
      <c r="N520" t="s">
        <v>74</v>
      </c>
      <c r="O520" t="s">
        <v>74</v>
      </c>
      <c r="P520" t="s">
        <v>74</v>
      </c>
      <c r="Q520" t="s">
        <v>74</v>
      </c>
      <c r="R520" t="s">
        <v>74</v>
      </c>
      <c r="S520" t="s">
        <v>74</v>
      </c>
      <c r="T520" t="s">
        <v>74</v>
      </c>
      <c r="U520" t="s">
        <v>74</v>
      </c>
      <c r="V520" t="s">
        <v>4818</v>
      </c>
      <c r="W520" t="s">
        <v>74</v>
      </c>
      <c r="X520" t="s">
        <v>74</v>
      </c>
      <c r="Y520" t="s">
        <v>74</v>
      </c>
      <c r="Z520" t="s">
        <v>74</v>
      </c>
      <c r="AA520" t="s">
        <v>74</v>
      </c>
      <c r="AB520" t="s">
        <v>4819</v>
      </c>
      <c r="AC520" t="s">
        <v>74</v>
      </c>
      <c r="AD520" t="s">
        <v>74</v>
      </c>
      <c r="AE520" t="s">
        <v>74</v>
      </c>
      <c r="AF520" t="s">
        <v>74</v>
      </c>
      <c r="AG520" t="s">
        <v>74</v>
      </c>
      <c r="AH520" t="s">
        <v>74</v>
      </c>
      <c r="AI520" t="s">
        <v>74</v>
      </c>
      <c r="AJ520" t="s">
        <v>74</v>
      </c>
      <c r="AK520" t="s">
        <v>74</v>
      </c>
      <c r="AL520" t="s">
        <v>74</v>
      </c>
      <c r="AM520" t="s">
        <v>74</v>
      </c>
      <c r="AN520" t="s">
        <v>74</v>
      </c>
      <c r="AO520" t="s">
        <v>885</v>
      </c>
      <c r="AP520" t="s">
        <v>886</v>
      </c>
      <c r="AQ520" t="s">
        <v>74</v>
      </c>
      <c r="AR520" t="s">
        <v>74</v>
      </c>
      <c r="AS520" t="s">
        <v>74</v>
      </c>
      <c r="AT520" t="s">
        <v>74</v>
      </c>
      <c r="AU520" t="s">
        <v>74</v>
      </c>
      <c r="AV520" t="s">
        <v>74</v>
      </c>
      <c r="AW520" t="s">
        <v>74</v>
      </c>
      <c r="AX520" t="s">
        <v>74</v>
      </c>
      <c r="AY520" t="s">
        <v>74</v>
      </c>
      <c r="AZ520" t="s">
        <v>74</v>
      </c>
      <c r="BA520" t="s">
        <v>74</v>
      </c>
      <c r="BB520" t="s">
        <v>74</v>
      </c>
      <c r="BC520" t="s">
        <v>74</v>
      </c>
      <c r="BD520" t="s">
        <v>74</v>
      </c>
      <c r="BE520" t="s">
        <v>4820</v>
      </c>
      <c r="BF520" t="str">
        <f>HYPERLINK("http://dx.doi.org/10.1007/s10055-022-00721-8","http://dx.doi.org/10.1007/s10055-022-00721-8")</f>
        <v>http://dx.doi.org/10.1007/s10055-022-00721-8</v>
      </c>
      <c r="BG520" t="s">
        <v>74</v>
      </c>
      <c r="BH520" t="s">
        <v>683</v>
      </c>
      <c r="BI520" t="s">
        <v>74</v>
      </c>
      <c r="BJ520" t="s">
        <v>74</v>
      </c>
      <c r="BK520" t="s">
        <v>74</v>
      </c>
      <c r="BL520" t="s">
        <v>74</v>
      </c>
      <c r="BM520" t="s">
        <v>74</v>
      </c>
      <c r="BN520">
        <v>36465891</v>
      </c>
      <c r="BO520" t="s">
        <v>74</v>
      </c>
      <c r="BP520" t="s">
        <v>74</v>
      </c>
      <c r="BQ520" t="s">
        <v>74</v>
      </c>
      <c r="BR520" t="s">
        <v>74</v>
      </c>
      <c r="BS520" t="s">
        <v>4821</v>
      </c>
      <c r="BT520" t="str">
        <f>HYPERLINK("https%3A%2F%2Fwww.webofscience.com%2Fwos%2Fwoscc%2Ffull-record%2FWOS:000889046500001","View Full Record in Web of Science")</f>
        <v>View Full Record in Web of Science</v>
      </c>
    </row>
    <row r="521" spans="1:72" x14ac:dyDescent="0.25">
      <c r="A521" t="s">
        <v>72</v>
      </c>
      <c r="B521" t="s">
        <v>4822</v>
      </c>
      <c r="C521" t="s">
        <v>74</v>
      </c>
      <c r="D521" t="s">
        <v>74</v>
      </c>
      <c r="E521" t="s">
        <v>74</v>
      </c>
      <c r="F521" t="s">
        <v>4823</v>
      </c>
      <c r="G521" t="s">
        <v>74</v>
      </c>
      <c r="H521" t="s">
        <v>74</v>
      </c>
      <c r="I521" t="s">
        <v>4824</v>
      </c>
      <c r="J521" t="s">
        <v>1751</v>
      </c>
      <c r="K521" t="s">
        <v>74</v>
      </c>
      <c r="L521" t="s">
        <v>74</v>
      </c>
      <c r="M521" t="s">
        <v>74</v>
      </c>
      <c r="N521" t="s">
        <v>74</v>
      </c>
      <c r="O521" t="s">
        <v>74</v>
      </c>
      <c r="P521" t="s">
        <v>74</v>
      </c>
      <c r="Q521" t="s">
        <v>74</v>
      </c>
      <c r="R521" t="s">
        <v>74</v>
      </c>
      <c r="S521" t="s">
        <v>74</v>
      </c>
      <c r="T521" t="s">
        <v>74</v>
      </c>
      <c r="U521" t="s">
        <v>74</v>
      </c>
      <c r="V521" t="s">
        <v>4825</v>
      </c>
      <c r="W521" t="s">
        <v>74</v>
      </c>
      <c r="X521" t="s">
        <v>74</v>
      </c>
      <c r="Y521" t="s">
        <v>74</v>
      </c>
      <c r="Z521" t="s">
        <v>74</v>
      </c>
      <c r="AA521" t="s">
        <v>74</v>
      </c>
      <c r="AB521" t="s">
        <v>74</v>
      </c>
      <c r="AC521" t="s">
        <v>74</v>
      </c>
      <c r="AD521" t="s">
        <v>74</v>
      </c>
      <c r="AE521" t="s">
        <v>74</v>
      </c>
      <c r="AF521" t="s">
        <v>74</v>
      </c>
      <c r="AG521" t="s">
        <v>74</v>
      </c>
      <c r="AH521" t="s">
        <v>74</v>
      </c>
      <c r="AI521" t="s">
        <v>74</v>
      </c>
      <c r="AJ521" t="s">
        <v>74</v>
      </c>
      <c r="AK521" t="s">
        <v>74</v>
      </c>
      <c r="AL521" t="s">
        <v>74</v>
      </c>
      <c r="AM521" t="s">
        <v>74</v>
      </c>
      <c r="AN521" t="s">
        <v>74</v>
      </c>
      <c r="AO521" t="s">
        <v>1752</v>
      </c>
      <c r="AP521" t="s">
        <v>74</v>
      </c>
      <c r="AQ521" t="s">
        <v>74</v>
      </c>
      <c r="AR521" t="s">
        <v>74</v>
      </c>
      <c r="AS521" t="s">
        <v>74</v>
      </c>
      <c r="AT521" t="s">
        <v>4826</v>
      </c>
      <c r="AU521">
        <v>2022</v>
      </c>
      <c r="AV521">
        <v>6</v>
      </c>
      <c r="AW521">
        <v>7</v>
      </c>
      <c r="AX521" t="s">
        <v>74</v>
      </c>
      <c r="AY521" t="s">
        <v>74</v>
      </c>
      <c r="AZ521" t="s">
        <v>74</v>
      </c>
      <c r="BA521" t="s">
        <v>74</v>
      </c>
      <c r="BB521">
        <v>1381</v>
      </c>
      <c r="BC521">
        <v>1389</v>
      </c>
      <c r="BD521" t="s">
        <v>74</v>
      </c>
      <c r="BE521" t="s">
        <v>4827</v>
      </c>
      <c r="BF521" t="str">
        <f>HYPERLINK("http://dx.doi.org/10.1016/j.joule.2022.06.011","http://dx.doi.org/10.1016/j.joule.2022.06.011")</f>
        <v>http://dx.doi.org/10.1016/j.joule.2022.06.011</v>
      </c>
      <c r="BG521" t="s">
        <v>74</v>
      </c>
      <c r="BH521" t="s">
        <v>1148</v>
      </c>
      <c r="BI521" t="s">
        <v>74</v>
      </c>
      <c r="BJ521" t="s">
        <v>74</v>
      </c>
      <c r="BK521" t="s">
        <v>74</v>
      </c>
      <c r="BL521" t="s">
        <v>74</v>
      </c>
      <c r="BM521" t="s">
        <v>74</v>
      </c>
      <c r="BN521" t="s">
        <v>74</v>
      </c>
      <c r="BO521" t="s">
        <v>74</v>
      </c>
      <c r="BP521" t="s">
        <v>74</v>
      </c>
      <c r="BQ521" t="s">
        <v>74</v>
      </c>
      <c r="BR521" t="s">
        <v>74</v>
      </c>
      <c r="BS521" t="s">
        <v>4828</v>
      </c>
      <c r="BT521" t="str">
        <f>HYPERLINK("https%3A%2F%2Fwww.webofscience.com%2Fwos%2Fwoscc%2Ffull-record%2FWOS:000878821400001","View Full Record in Web of Science")</f>
        <v>View Full Record in Web of Science</v>
      </c>
    </row>
  </sheetData>
  <phoneticPr fontId="1"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jwoo</dc:creator>
  <cp:lastModifiedBy>jwoo</cp:lastModifiedBy>
  <dcterms:created xsi:type="dcterms:W3CDTF">2023-05-17T09:45:21Z</dcterms:created>
  <dcterms:modified xsi:type="dcterms:W3CDTF">2023-05-17T09:45:21Z</dcterms:modified>
</cp:coreProperties>
</file>