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атьяна\Desktop\учёба\Физика\2 сем\лаба 1.03\"/>
    </mc:Choice>
  </mc:AlternateContent>
  <xr:revisionPtr revIDLastSave="0" documentId="13_ncr:1_{248F6B1F-D8AC-4973-B7A7-265A75875A41}" xr6:coauthVersionLast="47" xr6:coauthVersionMax="47" xr10:uidLastSave="{00000000-0000-0000-0000-000000000000}"/>
  <bookViews>
    <workbookView xWindow="-120" yWindow="-120" windowWidth="20730" windowHeight="11760" activeTab="11" xr2:uid="{26467199-3423-46BC-B2F0-8F8B89B43941}"/>
  </bookViews>
  <sheets>
    <sheet name="1.1" sheetId="1" r:id="rId1"/>
    <sheet name="1.2" sheetId="3" r:id="rId2"/>
    <sheet name="2.1" sheetId="4" r:id="rId3"/>
    <sheet name="2.2" sheetId="5" r:id="rId4"/>
    <sheet name="3.1" sheetId="6" r:id="rId5"/>
    <sheet name="3.2" sheetId="7" r:id="rId6"/>
    <sheet name="4.1" sheetId="8" r:id="rId7"/>
    <sheet name="4.2" sheetId="9" r:id="rId8"/>
    <sheet name="5.1" sheetId="10" r:id="rId9"/>
    <sheet name="5.2" sheetId="11" r:id="rId10"/>
    <sheet name="6.1" sheetId="12" r:id="rId11"/>
    <sheet name="6.2" sheetId="13" r:id="rId12"/>
    <sheet name="7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4" l="1"/>
  <c r="C11" i="14"/>
  <c r="C12" i="14"/>
  <c r="C13" i="14"/>
  <c r="C14" i="14"/>
  <c r="C15" i="14"/>
  <c r="C9" i="14"/>
  <c r="D9" i="14"/>
  <c r="D10" i="14"/>
  <c r="D11" i="14"/>
  <c r="D12" i="14"/>
  <c r="D13" i="14"/>
  <c r="D14" i="14"/>
  <c r="D15" i="14"/>
  <c r="C2" i="12"/>
  <c r="C3" i="12"/>
  <c r="C4" i="12"/>
  <c r="C5" i="12"/>
  <c r="C6" i="12"/>
  <c r="C7" i="12"/>
  <c r="C8" i="12"/>
  <c r="D4" i="12"/>
  <c r="D8" i="12"/>
  <c r="C8" i="14"/>
  <c r="D8" i="14" s="1"/>
  <c r="F8" i="14" s="1"/>
  <c r="C7" i="14"/>
  <c r="D7" i="14" s="1"/>
  <c r="F7" i="14" s="1"/>
  <c r="C6" i="14"/>
  <c r="D6" i="14" s="1"/>
  <c r="F6" i="14" s="1"/>
  <c r="C5" i="14"/>
  <c r="D5" i="14" s="1"/>
  <c r="F5" i="14" s="1"/>
  <c r="C4" i="14"/>
  <c r="D4" i="14" s="1"/>
  <c r="F4" i="14" s="1"/>
  <c r="C3" i="14"/>
  <c r="D3" i="14" s="1"/>
  <c r="F3" i="14" s="1"/>
  <c r="C2" i="14"/>
  <c r="D2" i="14" s="1"/>
  <c r="F2" i="14" s="1"/>
  <c r="R7" i="9"/>
  <c r="Q7" i="9"/>
  <c r="O7" i="9"/>
  <c r="N7" i="9"/>
  <c r="R7" i="8"/>
  <c r="Q7" i="8"/>
  <c r="O7" i="8"/>
  <c r="N7" i="8"/>
  <c r="C3" i="13"/>
  <c r="C4" i="13"/>
  <c r="C5" i="13"/>
  <c r="C6" i="13"/>
  <c r="D6" i="13" s="1"/>
  <c r="C7" i="13"/>
  <c r="C8" i="13"/>
  <c r="C2" i="13"/>
  <c r="D8" i="13"/>
  <c r="D7" i="13"/>
  <c r="D5" i="13"/>
  <c r="D4" i="13"/>
  <c r="D3" i="13"/>
  <c r="D6" i="12"/>
  <c r="D3" i="12"/>
  <c r="D5" i="12"/>
  <c r="D7" i="12"/>
  <c r="F3" i="11"/>
  <c r="F4" i="11"/>
  <c r="F5" i="11"/>
  <c r="F6" i="11"/>
  <c r="F2" i="11"/>
  <c r="E3" i="11"/>
  <c r="E4" i="11"/>
  <c r="E5" i="11"/>
  <c r="E6" i="11"/>
  <c r="K2" i="11" s="1"/>
  <c r="N2" i="11" s="1" a="1"/>
  <c r="N2" i="11" s="1"/>
  <c r="J6" i="11" s="1"/>
  <c r="E2" i="11"/>
  <c r="C3" i="11"/>
  <c r="C4" i="11"/>
  <c r="C5" i="11"/>
  <c r="C6" i="11"/>
  <c r="D6" i="11" s="1"/>
  <c r="C2" i="11"/>
  <c r="D2" i="11" s="1"/>
  <c r="B3" i="11"/>
  <c r="D3" i="11"/>
  <c r="B4" i="11"/>
  <c r="D4" i="11"/>
  <c r="B5" i="11"/>
  <c r="D5" i="11"/>
  <c r="B6" i="11"/>
  <c r="B2" i="11"/>
  <c r="N2" i="10" a="1"/>
  <c r="N2" i="10" s="1"/>
  <c r="J6" i="10" s="1"/>
  <c r="M2" i="10" a="1"/>
  <c r="M2" i="10" s="1"/>
  <c r="J5" i="10" s="1"/>
  <c r="K2" i="10"/>
  <c r="J2" i="10"/>
  <c r="E3" i="10"/>
  <c r="E4" i="10"/>
  <c r="E5" i="10"/>
  <c r="E6" i="10"/>
  <c r="E2" i="10"/>
  <c r="F3" i="10"/>
  <c r="F4" i="10"/>
  <c r="F5" i="10"/>
  <c r="F6" i="10"/>
  <c r="F2" i="10"/>
  <c r="C2" i="10"/>
  <c r="D2" i="10" s="1"/>
  <c r="D3" i="10"/>
  <c r="D4" i="10"/>
  <c r="D5" i="10"/>
  <c r="D6" i="10"/>
  <c r="C3" i="10"/>
  <c r="C4" i="10"/>
  <c r="C5" i="10"/>
  <c r="C6" i="10"/>
  <c r="B3" i="10"/>
  <c r="B4" i="10"/>
  <c r="B5" i="10"/>
  <c r="B6" i="10"/>
  <c r="B2" i="10"/>
  <c r="F2" i="8"/>
  <c r="I7" i="8"/>
  <c r="L7" i="8" s="1" a="1"/>
  <c r="L7" i="8" s="1"/>
  <c r="C3" i="9"/>
  <c r="D3" i="9"/>
  <c r="E3" i="9"/>
  <c r="F3" i="9"/>
  <c r="C4" i="9"/>
  <c r="D4" i="9"/>
  <c r="E4" i="9"/>
  <c r="F4" i="9"/>
  <c r="C5" i="9"/>
  <c r="D5" i="9"/>
  <c r="E5" i="9"/>
  <c r="F5" i="9"/>
  <c r="C6" i="9"/>
  <c r="D6" i="9"/>
  <c r="E6" i="9" s="1"/>
  <c r="F6" i="9"/>
  <c r="F2" i="9"/>
  <c r="D2" i="9"/>
  <c r="B3" i="9"/>
  <c r="B4" i="9"/>
  <c r="B5" i="9"/>
  <c r="B6" i="9"/>
  <c r="C2" i="9"/>
  <c r="B2" i="9"/>
  <c r="K7" i="8" a="1"/>
  <c r="K7" i="8" s="1"/>
  <c r="H7" i="8"/>
  <c r="F3" i="8"/>
  <c r="F4" i="8"/>
  <c r="F5" i="8"/>
  <c r="F6" i="8"/>
  <c r="E3" i="8"/>
  <c r="E4" i="8"/>
  <c r="E5" i="8"/>
  <c r="E6" i="8"/>
  <c r="E2" i="8"/>
  <c r="D3" i="8"/>
  <c r="D4" i="8"/>
  <c r="D5" i="8"/>
  <c r="D6" i="8"/>
  <c r="D2" i="8"/>
  <c r="C2" i="8"/>
  <c r="C3" i="8"/>
  <c r="C4" i="8"/>
  <c r="C5" i="8"/>
  <c r="C6" i="8"/>
  <c r="B3" i="8"/>
  <c r="B4" i="8"/>
  <c r="B5" i="8"/>
  <c r="B6" i="8"/>
  <c r="B2" i="8"/>
  <c r="C11" i="12" l="1"/>
  <c r="D2" i="12"/>
  <c r="D11" i="12" s="1"/>
  <c r="I6" i="11"/>
  <c r="I6" i="10"/>
  <c r="I5" i="10"/>
  <c r="C11" i="13"/>
  <c r="D2" i="13"/>
  <c r="J2" i="11"/>
  <c r="M2" i="11" s="1" a="1"/>
  <c r="M2" i="11" s="1"/>
  <c r="E2" i="9"/>
  <c r="I7" i="9"/>
  <c r="H7" i="9"/>
  <c r="K7" i="9" s="1" a="1"/>
  <c r="K7" i="9" s="1"/>
  <c r="L7" i="9" a="1"/>
  <c r="L7" i="9" s="1"/>
  <c r="C12" i="12" l="1" a="1"/>
  <c r="C12" i="12" s="1"/>
  <c r="C13" i="12" s="1" a="1"/>
  <c r="C13" i="12" s="1"/>
  <c r="C14" i="12" s="1"/>
  <c r="J5" i="11"/>
  <c r="I5" i="11"/>
  <c r="C12" i="13" a="1"/>
  <c r="C12" i="13" s="1"/>
  <c r="D11" i="13"/>
  <c r="E3" i="12" l="1"/>
  <c r="E6" i="12"/>
  <c r="E5" i="12"/>
  <c r="E7" i="12"/>
  <c r="E8" i="12"/>
  <c r="E4" i="12"/>
  <c r="E2" i="12"/>
  <c r="C16" i="12"/>
  <c r="C13" i="13" a="1"/>
  <c r="C13" i="13" s="1"/>
  <c r="C14" i="13" s="1"/>
  <c r="C15" i="12" l="1"/>
  <c r="F4" i="12" s="1"/>
  <c r="F8" i="12"/>
  <c r="F5" i="12"/>
  <c r="F2" i="12"/>
  <c r="F6" i="12"/>
  <c r="E5" i="13"/>
  <c r="E8" i="13"/>
  <c r="E6" i="13"/>
  <c r="E4" i="13"/>
  <c r="E3" i="13"/>
  <c r="E7" i="13"/>
  <c r="E2" i="13"/>
  <c r="F7" i="12" l="1"/>
  <c r="F3" i="12"/>
  <c r="C15" i="13"/>
  <c r="C16" i="13"/>
  <c r="F8" i="13" l="1"/>
  <c r="F7" i="13"/>
  <c r="F6" i="13"/>
  <c r="F5" i="13"/>
  <c r="F4" i="13"/>
  <c r="F3" i="13"/>
  <c r="F2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<sst xmlns="http://schemas.openxmlformats.org/spreadsheetml/2006/main" count="142" uniqueCount="51">
  <si>
    <t>№ опыта</t>
  </si>
  <si>
    <t>m1, г</t>
  </si>
  <si>
    <t>m2, г</t>
  </si>
  <si>
    <t>v10x, м/с</t>
  </si>
  <si>
    <t>v2x, м/с</t>
  </si>
  <si>
    <t>v1x, м/с</t>
  </si>
  <si>
    <t>v10, м/с</t>
  </si>
  <si>
    <t>v, м/с</t>
  </si>
  <si>
    <t>Состав гирьки</t>
  </si>
  <si>
    <t>m, г</t>
  </si>
  <si>
    <t>v1, м/с</t>
  </si>
  <si>
    <t>v2, м/с</t>
  </si>
  <si>
    <t>подвеска</t>
  </si>
  <si>
    <t>подвеска с 1 шайбой</t>
  </si>
  <si>
    <t>подвеска с 2 шайбами</t>
  </si>
  <si>
    <t>подвеска с 3 шайбами</t>
  </si>
  <si>
    <t>подвеска с 4 шайбами</t>
  </si>
  <si>
    <t>подвеска с 5 шайбами</t>
  </si>
  <si>
    <t>подвеска с 6 шайбами</t>
  </si>
  <si>
    <t>p10x, м/с</t>
  </si>
  <si>
    <t>p1x, м/с</t>
  </si>
  <si>
    <t>p2x, м/с</t>
  </si>
  <si>
    <t>δp</t>
  </si>
  <si>
    <t>δw</t>
  </si>
  <si>
    <t>коэф. Ст.</t>
  </si>
  <si>
    <t>(𝛿𝑝) ̅</t>
  </si>
  <si>
    <t>(𝛿w) ̅</t>
  </si>
  <si>
    <t>∆(𝛿𝑝) ̅</t>
  </si>
  <si>
    <t>∆(𝛿w) ̅</t>
  </si>
  <si>
    <t>p10x, H*c</t>
  </si>
  <si>
    <t>p1x, H*c</t>
  </si>
  <si>
    <t>p2x, H*c</t>
  </si>
  <si>
    <t>p10, H*c</t>
  </si>
  <si>
    <t>p, H*c</t>
  </si>
  <si>
    <t>δw(э)</t>
  </si>
  <si>
    <t>δw(т)</t>
  </si>
  <si>
    <t>от</t>
  </si>
  <si>
    <t>до</t>
  </si>
  <si>
    <t>𝛿𝑝</t>
  </si>
  <si>
    <t>𝛿w</t>
  </si>
  <si>
    <t>a, м/с^2</t>
  </si>
  <si>
    <t>T, H</t>
  </si>
  <si>
    <t>middle</t>
  </si>
  <si>
    <t>d[i]</t>
  </si>
  <si>
    <t>D</t>
  </si>
  <si>
    <t>M</t>
  </si>
  <si>
    <t>Fтр</t>
  </si>
  <si>
    <t>∆Mi</t>
  </si>
  <si>
    <t>S_{Fтр}</t>
  </si>
  <si>
    <t>S_{M}</t>
  </si>
  <si>
    <t>∆M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</si>
</sst>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</a:t>
            </a:r>
            <a:r>
              <a:rPr lang="ru-RU"/>
              <a:t>(</a:t>
            </a:r>
            <a:r>
              <a:rPr lang="en-US"/>
              <a:t>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6.1025371828521434E-2"/>
          <c:y val="0.19209499854184894"/>
          <c:w val="0.8870787401574803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'6.1'!$D$10</c:f>
              <c:strCache>
                <c:ptCount val="1"/>
                <c:pt idx="0">
                  <c:v>T, 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'6.1'!$C$2:$C$8</c:f>
              <c:numCache>
                <c:formatCode>General</c:formatCode>
                <c:ptCount val="7"/>
                <c:pt idx="0">
                  <c:v>0.24615384615384611</c:v>
                </c:pt>
                <c:pt idx="1">
                  <c:v>0.33969230769230763</c:v>
                </c:pt>
                <c:pt idx="2">
                  <c:v>0.50423076923076915</c:v>
                </c:pt>
                <c:pt idx="3">
                  <c:v>0.58153846153846156</c:v>
                </c:pt>
                <c:pt idx="4">
                  <c:v>0.69046153846153846</c:v>
                </c:pt>
                <c:pt idx="5">
                  <c:v>0.83669230769230774</c:v>
                </c:pt>
                <c:pt idx="6">
                  <c:v>1.0092307692307692</c:v>
                </c:pt>
              </c:numCache>
            </c:numRef>
          </c:xVal>
          <c:yVal>
            <c:numRef>
              <c:f>'6.1'!$D$2:$D$8</c:f>
              <c:numCache>
                <c:formatCode>General</c:formatCode>
                <c:ptCount val="7"/>
                <c:pt idx="0">
                  <c:v>16.275538461538464</c:v>
                </c:pt>
                <c:pt idx="1">
                  <c:v>24.648800000000001</c:v>
                </c:pt>
                <c:pt idx="2">
                  <c:v>32.605192307692306</c:v>
                </c:pt>
                <c:pt idx="3">
                  <c:v>40.649230769230776</c:v>
                </c:pt>
                <c:pt idx="4">
                  <c:v>48.386553846153852</c:v>
                </c:pt>
                <c:pt idx="5">
                  <c:v>55.696507692307691</c:v>
                </c:pt>
                <c:pt idx="6">
                  <c:v>62.556461538461541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8-42C3-B0B1-F2D238BE3B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688079"/>
        <c:axId val="587283391"/>
      </c:scatterChart>
      <c:valAx>
        <c:axId val="589688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7283391"/>
        <c:crosses val="autoZero"/>
        <c:crossBetween val="midCat"/>
      </c:valAx>
      <c:valAx>
        <c:axId val="58728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9688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'6.2'!$D$1</c:f>
              <c:strCache>
                <c:ptCount val="1"/>
                <c:pt idx="0">
                  <c:v>T, 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'6.2'!$C$2:$C$8</c:f>
              <c:numCache>
                <c:formatCode>General</c:formatCode>
                <c:ptCount val="7"/>
                <c:pt idx="0">
                  <c:v>0.1406923076923077</c:v>
                </c:pt>
                <c:pt idx="1">
                  <c:v>0.2020769230769231</c:v>
                </c:pt>
                <c:pt idx="2">
                  <c:v>0.23999999999999994</c:v>
                </c:pt>
                <c:pt idx="3">
                  <c:v>0.34707692307692306</c:v>
                </c:pt>
                <c:pt idx="4">
                  <c:v>0.39623076923076922</c:v>
                </c:pt>
                <c:pt idx="5">
                  <c:v>0.48669230769230765</c:v>
                </c:pt>
                <c:pt idx="6">
                  <c:v>0.55838461538461548</c:v>
                </c:pt>
              </c:numCache>
            </c:numRef>
          </c:xVal>
          <c:yVal>
            <c:numRef>
              <c:f>'6.2'!$D$2:$D$8</c:f>
              <c:numCache>
                <c:formatCode>General</c:formatCode>
                <c:ptCount val="7"/>
                <c:pt idx="0">
                  <c:v>16.454823076923077</c:v>
                </c:pt>
                <c:pt idx="1">
                  <c:v>25.006600000000002</c:v>
                </c:pt>
                <c:pt idx="2">
                  <c:v>33.53</c:v>
                </c:pt>
                <c:pt idx="3">
                  <c:v>41.680861538461542</c:v>
                </c:pt>
                <c:pt idx="4">
                  <c:v>49.945976923076927</c:v>
                </c:pt>
                <c:pt idx="5">
                  <c:v>57.8665076923077</c:v>
                </c:pt>
                <c:pt idx="6">
                  <c:v>65.757469230769232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E5-4931-BCE0-0FB5DACEA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732607"/>
        <c:axId val="1922733439"/>
      </c:scatterChart>
      <c:valAx>
        <c:axId val="192273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2733439"/>
        <c:crosses val="autoZero"/>
        <c:crossBetween val="midCat"/>
      </c:valAx>
      <c:valAx>
        <c:axId val="192273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273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'7'!$D$1</c:f>
              <c:strCache>
                <c:ptCount val="1"/>
                <c:pt idx="0">
                  <c:v>T, 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'7'!$C$2:$C$15</c:f>
              <c:numCache>
                <c:formatCode>General</c:formatCode>
                <c:ptCount val="14"/>
                <c:pt idx="0">
                  <c:v>0.24615384615384611</c:v>
                </c:pt>
                <c:pt idx="1">
                  <c:v>0.33969230769230763</c:v>
                </c:pt>
                <c:pt idx="2">
                  <c:v>0.50423076923076915</c:v>
                </c:pt>
                <c:pt idx="3">
                  <c:v>0.58153846153846156</c:v>
                </c:pt>
                <c:pt idx="4">
                  <c:v>0.69046153846153846</c:v>
                </c:pt>
                <c:pt idx="5">
                  <c:v>0.83669230769230774</c:v>
                </c:pt>
                <c:pt idx="6">
                  <c:v>1.0092307692307692</c:v>
                </c:pt>
                <c:pt idx="7">
                  <c:v>0.1406923076923077</c:v>
                </c:pt>
                <c:pt idx="8">
                  <c:v>0.2020769230769231</c:v>
                </c:pt>
                <c:pt idx="9">
                  <c:v>0.23999999999999994</c:v>
                </c:pt>
                <c:pt idx="10">
                  <c:v>0.34707692307692306</c:v>
                </c:pt>
                <c:pt idx="11">
                  <c:v>0.39623076923076922</c:v>
                </c:pt>
                <c:pt idx="12">
                  <c:v>0.48669230769230765</c:v>
                </c:pt>
                <c:pt idx="13">
                  <c:v>0.55838461538461548</c:v>
                </c:pt>
              </c:numCache>
            </c:numRef>
          </c:xVal>
          <c:yVal>
            <c:numRef>
              <c:f>'7'!$D$2:$D$15</c:f>
              <c:numCache>
                <c:formatCode>General</c:formatCode>
                <c:ptCount val="14"/>
                <c:pt idx="0">
                  <c:v>16.275538461538464</c:v>
                </c:pt>
                <c:pt idx="1">
                  <c:v>24.648800000000001</c:v>
                </c:pt>
                <c:pt idx="2">
                  <c:v>32.605192307692306</c:v>
                </c:pt>
                <c:pt idx="3">
                  <c:v>40.649230769230776</c:v>
                </c:pt>
                <c:pt idx="4">
                  <c:v>48.386553846153852</c:v>
                </c:pt>
                <c:pt idx="5">
                  <c:v>55.696507692307691</c:v>
                </c:pt>
                <c:pt idx="6">
                  <c:v>62.556461538461541</c:v>
                </c:pt>
                <c:pt idx="7">
                  <c:v>16.454823076923077</c:v>
                </c:pt>
                <c:pt idx="8">
                  <c:v>25.006600000000002</c:v>
                </c:pt>
                <c:pt idx="9">
                  <c:v>33.53</c:v>
                </c:pt>
                <c:pt idx="10">
                  <c:v>41.680861538461542</c:v>
                </c:pt>
                <c:pt idx="11">
                  <c:v>49.945976923076927</c:v>
                </c:pt>
                <c:pt idx="12">
                  <c:v>57.8665076923077</c:v>
                </c:pt>
                <c:pt idx="13">
                  <c:v>65.757469230769232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6E-4F3E-AF51-6F747503A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564079"/>
        <c:axId val="2128564911"/>
      </c:scatterChart>
      <c:valAx>
        <c:axId val="2128564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564911"/>
        <c:crosses val="autoZero"/>
        <c:crossBetween val="midCat"/>
      </c:valAx>
      <c:valAx>
        <c:axId val="212856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564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333375</xdr:colOff>
      <xdr:row>9</xdr:row>
      <xdr:rowOff>161925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E048FD9-DB31-46AB-B825-261E5C4D6153}"/>
            </a:ext>
          </a:extLst>
        </xdr:cNvPr>
        <xdr:cNvSpPr txBox="1"/>
      </xdr:nvSpPr>
      <xdr:spPr>
        <a:xfrm>
          <a:off x="7772400" y="1876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12</xdr:col>
      <xdr:colOff>333375</xdr:colOff>
      <xdr:row>9</xdr:row>
      <xdr:rowOff>161925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A2B7340-55B6-4025-814B-E80F143E0B40}"/>
            </a:ext>
          </a:extLst>
        </xdr:cNvPr>
        <xdr:cNvSpPr txBox="1"/>
      </xdr:nvSpPr>
      <xdr:spPr>
        <a:xfrm>
          <a:off x="7772400" y="1876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314325</xdr:colOff>
      <xdr:row>1</xdr:row>
      <xdr:rowOff>38100</xdr:rowOff>
    </xdr:from>
    <xdr:to>
      <xdr:col>14</xdr:col>
      <xdr:colOff>9525</xdr:colOff>
      <xdr:row>15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916F24-E5F7-45CB-8E38-8D45E4383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214312</xdr:colOff>
      <xdr:row>5</xdr:row>
      <xdr:rowOff>38100</xdr:rowOff>
    </xdr:from>
    <xdr:to>
      <xdr:col>14</xdr:col>
      <xdr:colOff>519112</xdr:colOff>
      <xdr:row>19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0063B62-1A7E-408C-9C2D-3135E9242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5</xdr:row>
      <xdr:rowOff>9525</xdr:rowOff>
    </xdr:from>
    <xdr:to>
      <xdr:col>14</xdr:col>
      <xdr:colOff>28575</xdr:colOff>
      <xdr:row>19</xdr:row>
      <xdr:rowOff>85725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30D5BB1-AFE6-41CF-B99B-6DC7CA3F37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37E3-B712-4199-9CEB-CE4F56A7B5F4}">
  <dimension ref="A1:F6"/>
  <sheetViews>
    <sheetView workbookViewId="0">
      <selection activeCell="F2" sqref="F2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1">
        <v>1</v>
      </c>
      <c r="B2" s="6">
        <v>51.2</v>
      </c>
      <c r="C2" s="6">
        <v>48.8</v>
      </c>
      <c r="D2" s="1">
        <v>0.45</v>
      </c>
      <c r="E2" s="1">
        <v>0.05</v>
      </c>
      <c r="F2" s="1">
        <v>0.4</v>
      </c>
    </row>
    <row r="3" spans="1:6" x14ac:dyDescent="0.25">
      <c r="A3" s="1">
        <v>2</v>
      </c>
      <c r="B3" s="6"/>
      <c r="C3" s="6"/>
      <c r="D3" s="1">
        <v>0.47</v>
      </c>
      <c r="E3" s="1">
        <v>0.06</v>
      </c>
      <c r="F3" s="1">
        <v>0.42</v>
      </c>
    </row>
    <row r="4" spans="1:6" x14ac:dyDescent="0.25">
      <c r="A4" s="1">
        <v>3</v>
      </c>
      <c r="B4" s="6"/>
      <c r="C4" s="6"/>
      <c r="D4" s="1">
        <v>0.48</v>
      </c>
      <c r="E4" s="1">
        <v>0.05</v>
      </c>
      <c r="F4" s="1">
        <v>0.42</v>
      </c>
    </row>
    <row r="5" spans="1:6" x14ac:dyDescent="0.25">
      <c r="A5" s="1">
        <v>4</v>
      </c>
      <c r="B5" s="6"/>
      <c r="C5" s="6"/>
      <c r="D5" s="1">
        <v>0.47</v>
      </c>
      <c r="E5" s="1">
        <v>0.05</v>
      </c>
      <c r="F5" s="1">
        <v>0.42</v>
      </c>
    </row>
    <row r="6" spans="1:6" x14ac:dyDescent="0.25">
      <c r="A6" s="1">
        <v>5</v>
      </c>
      <c r="B6" s="6"/>
      <c r="C6" s="6"/>
      <c r="D6" s="1">
        <v>0.46</v>
      </c>
      <c r="E6" s="1">
        <v>0.05</v>
      </c>
      <c r="F6" s="1">
        <v>0.41</v>
      </c>
    </row>
  </sheetData>
  <mergeCells count="2">
    <mergeCell ref="B2:B6"/>
    <mergeCell ref="C2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58C7-5F87-447B-A493-774E32BC2C94}">
  <dimension ref="A1:F6"/>
  <sheetViews>
    <sheetView workbookViewId="0">
      <selection activeCell="F7" sqref="F7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s="1">
        <v>1</v>
      </c>
      <c r="B2" s="6">
        <v>51.2</v>
      </c>
      <c r="C2" s="6">
        <v>97.7</v>
      </c>
      <c r="D2" s="1">
        <v>0.46</v>
      </c>
      <c r="E2" s="1">
        <v>-7.0000000000000007E-2</v>
      </c>
      <c r="F2" s="1">
        <v>0.27</v>
      </c>
    </row>
    <row r="3" spans="1:6" x14ac:dyDescent="0.25">
      <c r="A3" s="1">
        <v>2</v>
      </c>
      <c r="B3" s="6"/>
      <c r="C3" s="6"/>
      <c r="D3" s="1">
        <v>0.45</v>
      </c>
      <c r="E3" s="1">
        <v>-7.0000000000000007E-2</v>
      </c>
      <c r="F3" s="1">
        <v>0.26</v>
      </c>
    </row>
    <row r="4" spans="1:6" x14ac:dyDescent="0.25">
      <c r="A4" s="1">
        <v>3</v>
      </c>
      <c r="B4" s="6"/>
      <c r="C4" s="6"/>
      <c r="D4" s="1">
        <v>0.47</v>
      </c>
      <c r="E4" s="1">
        <v>-0.08</v>
      </c>
      <c r="F4" s="1">
        <v>0.26</v>
      </c>
    </row>
    <row r="5" spans="1:6" x14ac:dyDescent="0.25">
      <c r="A5" s="1">
        <v>4</v>
      </c>
      <c r="B5" s="6"/>
      <c r="C5" s="6"/>
      <c r="D5" s="1">
        <v>0.47</v>
      </c>
      <c r="E5" s="1">
        <v>-0.06</v>
      </c>
      <c r="F5" s="1">
        <v>0.26</v>
      </c>
    </row>
    <row r="6" spans="1:6" x14ac:dyDescent="0.25">
      <c r="A6" s="1">
        <v>5</v>
      </c>
      <c r="B6" s="6"/>
      <c r="C6" s="6"/>
      <c r="D6" s="1">
        <v>0.44</v>
      </c>
      <c r="E6" s="1">
        <v>-0.06</v>
      </c>
      <c r="F6" s="1">
        <v>0.25</v>
      </c>
    </row>
  </sheetData>
  <mergeCells count="2">
    <mergeCell ref="B2:B6"/>
    <mergeCell ref="C2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6D72-0AFF-47A9-8125-F94DCB92B677}">
  <dimension ref="A1:E6"/>
  <sheetViews>
    <sheetView workbookViewId="0">
      <selection sqref="A1:E6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>
        <v>1</v>
      </c>
      <c r="B2" s="6">
        <v>53.5</v>
      </c>
      <c r="C2" s="6">
        <v>52</v>
      </c>
      <c r="D2" s="1">
        <v>0.45</v>
      </c>
      <c r="E2" s="1">
        <v>0.22</v>
      </c>
    </row>
    <row r="3" spans="1:5" x14ac:dyDescent="0.25">
      <c r="A3" s="1">
        <v>2</v>
      </c>
      <c r="B3" s="6"/>
      <c r="C3" s="6"/>
      <c r="D3" s="1">
        <v>0.45</v>
      </c>
      <c r="E3" s="1">
        <v>0.21</v>
      </c>
    </row>
    <row r="4" spans="1:5" x14ac:dyDescent="0.25">
      <c r="A4" s="1">
        <v>3</v>
      </c>
      <c r="B4" s="6"/>
      <c r="C4" s="6"/>
      <c r="D4" s="1">
        <v>0.46</v>
      </c>
      <c r="E4" s="1">
        <v>0.21</v>
      </c>
    </row>
    <row r="5" spans="1:5" x14ac:dyDescent="0.25">
      <c r="A5" s="1">
        <v>4</v>
      </c>
      <c r="B5" s="6"/>
      <c r="C5" s="6"/>
      <c r="D5" s="1">
        <v>0.47</v>
      </c>
      <c r="E5" s="1">
        <v>0.21</v>
      </c>
    </row>
    <row r="6" spans="1:5" x14ac:dyDescent="0.25">
      <c r="A6" s="1">
        <v>5</v>
      </c>
      <c r="B6" s="6"/>
      <c r="C6" s="6"/>
      <c r="D6" s="1">
        <v>0.47</v>
      </c>
      <c r="E6" s="1">
        <v>0.22</v>
      </c>
    </row>
  </sheetData>
  <mergeCells count="2">
    <mergeCell ref="B2:B6"/>
    <mergeCell ref="C2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C1BBC-009D-4A67-A1F3-4892F68C5B62}">
  <dimension ref="A1:E6"/>
  <sheetViews>
    <sheetView workbookViewId="0">
      <selection sqref="A1:E6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>
        <v>1</v>
      </c>
      <c r="B2" s="6">
        <v>53.5</v>
      </c>
      <c r="C2" s="6">
        <v>100.9</v>
      </c>
      <c r="D2" s="1">
        <v>0.47</v>
      </c>
      <c r="E2" s="1">
        <v>0.16</v>
      </c>
    </row>
    <row r="3" spans="1:5" x14ac:dyDescent="0.25">
      <c r="A3" s="1">
        <v>2</v>
      </c>
      <c r="B3" s="6"/>
      <c r="C3" s="6"/>
      <c r="D3" s="1">
        <v>0.46</v>
      </c>
      <c r="E3" s="1">
        <v>0.14000000000000001</v>
      </c>
    </row>
    <row r="4" spans="1:5" x14ac:dyDescent="0.25">
      <c r="A4" s="1">
        <v>3</v>
      </c>
      <c r="B4" s="6"/>
      <c r="C4" s="6"/>
      <c r="D4" s="1">
        <v>0.47</v>
      </c>
      <c r="E4" s="1">
        <v>0.15</v>
      </c>
    </row>
    <row r="5" spans="1:5" x14ac:dyDescent="0.25">
      <c r="A5" s="1">
        <v>4</v>
      </c>
      <c r="B5" s="6"/>
      <c r="C5" s="6"/>
      <c r="D5" s="1">
        <v>0.46</v>
      </c>
      <c r="E5" s="1">
        <v>0.15</v>
      </c>
    </row>
    <row r="6" spans="1:5" x14ac:dyDescent="0.25">
      <c r="A6" s="1">
        <v>5</v>
      </c>
      <c r="B6" s="6"/>
      <c r="C6" s="6"/>
      <c r="D6" s="1">
        <v>0.47</v>
      </c>
      <c r="E6" s="1">
        <v>0.14000000000000001</v>
      </c>
    </row>
  </sheetData>
  <mergeCells count="2">
    <mergeCell ref="B2:B6"/>
    <mergeCell ref="C2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DDC8-6924-42EB-8014-444AF850D2DC}">
  <dimension ref="A1:E8"/>
  <sheetViews>
    <sheetView workbookViewId="0">
      <selection activeCell="D2" sqref="D2"/>
    </sheetView>
  </sheetViews>
  <sheetFormatPr defaultRowHeight="15" x14ac:dyDescent="0.25"/>
  <cols>
    <col min="1" max="1" width="9.140625" style="1"/>
    <col min="2" max="2" width="21.42578125" style="1" customWidth="1"/>
    <col min="3" max="16384" width="9.140625" style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>
        <v>1</v>
      </c>
      <c r="B2" s="1" t="s">
        <v>12</v>
      </c>
      <c r="C2" s="1">
        <v>1.7</v>
      </c>
      <c r="D2" s="1">
        <v>0.2</v>
      </c>
      <c r="E2" s="1">
        <v>0.6</v>
      </c>
    </row>
    <row r="3" spans="1:5" x14ac:dyDescent="0.25">
      <c r="A3" s="1">
        <v>2</v>
      </c>
      <c r="B3" s="1" t="s">
        <v>13</v>
      </c>
      <c r="C3" s="1">
        <v>2.6</v>
      </c>
      <c r="D3" s="1">
        <v>0.22</v>
      </c>
      <c r="E3" s="1">
        <v>0.7</v>
      </c>
    </row>
    <row r="4" spans="1:5" x14ac:dyDescent="0.25">
      <c r="A4" s="1">
        <v>3</v>
      </c>
      <c r="B4" s="1" t="s">
        <v>14</v>
      </c>
      <c r="C4" s="1">
        <v>3.5</v>
      </c>
      <c r="D4" s="1">
        <v>0.28999999999999998</v>
      </c>
      <c r="E4" s="1">
        <v>0.86</v>
      </c>
    </row>
    <row r="5" spans="1:5" x14ac:dyDescent="0.25">
      <c r="A5" s="1">
        <v>4</v>
      </c>
      <c r="B5" s="1" t="s">
        <v>15</v>
      </c>
      <c r="C5" s="1">
        <v>4.4000000000000004</v>
      </c>
      <c r="D5" s="1">
        <v>0.33</v>
      </c>
      <c r="E5" s="1">
        <v>0.93</v>
      </c>
    </row>
    <row r="6" spans="1:5" x14ac:dyDescent="0.25">
      <c r="A6" s="1">
        <v>5</v>
      </c>
      <c r="B6" s="1" t="s">
        <v>16</v>
      </c>
      <c r="C6" s="1">
        <v>5.3</v>
      </c>
      <c r="D6" s="1">
        <v>0.35</v>
      </c>
      <c r="E6" s="1">
        <v>1.01</v>
      </c>
    </row>
    <row r="7" spans="1:5" x14ac:dyDescent="0.25">
      <c r="A7" s="1">
        <v>6</v>
      </c>
      <c r="B7" s="1" t="s">
        <v>17</v>
      </c>
      <c r="C7" s="1">
        <v>6.2</v>
      </c>
      <c r="D7" s="1">
        <v>0.38</v>
      </c>
      <c r="E7" s="1">
        <v>1.1100000000000001</v>
      </c>
    </row>
    <row r="8" spans="1:5" x14ac:dyDescent="0.25">
      <c r="A8" s="1">
        <v>7</v>
      </c>
      <c r="B8" s="1" t="s">
        <v>18</v>
      </c>
      <c r="C8" s="1">
        <v>7.1</v>
      </c>
      <c r="D8" s="1">
        <v>0.39</v>
      </c>
      <c r="E8" s="1">
        <v>1.21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0532-6FAC-41F0-926A-6D4E5605F486}">
  <dimension ref="A1:E8"/>
  <sheetViews>
    <sheetView workbookViewId="0">
      <selection activeCell="E8" sqref="A1:E8"/>
    </sheetView>
  </sheetViews>
  <sheetFormatPr defaultRowHeight="15" x14ac:dyDescent="0.25"/>
  <cols>
    <col min="2" max="2" width="21.42578125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1">
        <v>1</v>
      </c>
      <c r="B2" s="1" t="s">
        <v>12</v>
      </c>
      <c r="C2" s="1">
        <v>1.7</v>
      </c>
      <c r="D2" s="1">
        <v>0.14000000000000001</v>
      </c>
      <c r="E2" s="1">
        <v>0.45</v>
      </c>
    </row>
    <row r="3" spans="1:5" x14ac:dyDescent="0.25">
      <c r="A3" s="1">
        <v>2</v>
      </c>
      <c r="B3" s="1" t="s">
        <v>13</v>
      </c>
      <c r="C3" s="1">
        <v>2.6</v>
      </c>
      <c r="D3" s="1">
        <v>0.17</v>
      </c>
      <c r="E3" s="1">
        <v>0.54</v>
      </c>
    </row>
    <row r="4" spans="1:5" x14ac:dyDescent="0.25">
      <c r="A4" s="1">
        <v>3</v>
      </c>
      <c r="B4" s="1" t="s">
        <v>14</v>
      </c>
      <c r="C4" s="1">
        <v>3.5</v>
      </c>
      <c r="D4" s="1">
        <v>0.19</v>
      </c>
      <c r="E4" s="1">
        <v>0.59</v>
      </c>
    </row>
    <row r="5" spans="1:5" x14ac:dyDescent="0.25">
      <c r="A5" s="1">
        <v>4</v>
      </c>
      <c r="B5" s="1" t="s">
        <v>15</v>
      </c>
      <c r="C5" s="1">
        <v>4.4000000000000004</v>
      </c>
      <c r="D5" s="1">
        <v>0.23</v>
      </c>
      <c r="E5" s="1">
        <v>0.71</v>
      </c>
    </row>
    <row r="6" spans="1:5" x14ac:dyDescent="0.25">
      <c r="A6" s="1">
        <v>5</v>
      </c>
      <c r="B6" s="1" t="s">
        <v>16</v>
      </c>
      <c r="C6" s="1">
        <v>5.3</v>
      </c>
      <c r="D6" s="1">
        <v>0.25</v>
      </c>
      <c r="E6" s="1">
        <v>0.76</v>
      </c>
    </row>
    <row r="7" spans="1:5" x14ac:dyDescent="0.25">
      <c r="A7" s="1">
        <v>6</v>
      </c>
      <c r="B7" s="1" t="s">
        <v>17</v>
      </c>
      <c r="C7" s="1">
        <v>6.2</v>
      </c>
      <c r="D7" s="1">
        <v>0.27</v>
      </c>
      <c r="E7" s="1">
        <v>0.84</v>
      </c>
    </row>
    <row r="8" spans="1:5" x14ac:dyDescent="0.25">
      <c r="A8" s="1">
        <v>7</v>
      </c>
      <c r="B8" s="1" t="s">
        <v>18</v>
      </c>
      <c r="C8" s="1">
        <v>7.1</v>
      </c>
      <c r="D8" s="1">
        <v>0.28999999999999998</v>
      </c>
      <c r="E8" s="1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EF6C-4332-4349-A224-E6387279F04F}">
  <dimension ref="A1:R7"/>
  <sheetViews>
    <sheetView workbookViewId="0">
      <selection activeCell="D20" sqref="D20"/>
    </sheetView>
  </sheetViews>
  <sheetFormatPr defaultRowHeight="15" x14ac:dyDescent="0.25"/>
  <cols>
    <col min="2" max="2" width="11" bestFit="1" customWidth="1"/>
    <col min="8" max="8" width="9.140625" style="3"/>
  </cols>
  <sheetData>
    <row r="1" spans="1:18" x14ac:dyDescent="0.2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H1" s="2" t="s">
        <v>24</v>
      </c>
    </row>
    <row r="2" spans="1:18" x14ac:dyDescent="0.25">
      <c r="A2" s="1">
        <v>1</v>
      </c>
      <c r="B2" s="1">
        <f>'1.1'!D2*51.2</f>
        <v>23.040000000000003</v>
      </c>
      <c r="C2" s="1">
        <f>'1.1'!E2*51.2</f>
        <v>2.5600000000000005</v>
      </c>
      <c r="D2" s="1">
        <f>'1.1'!F2*48.8</f>
        <v>19.52</v>
      </c>
      <c r="E2">
        <f>(C2+D2)/B2-1</f>
        <v>-4.1666666666666852E-2</v>
      </c>
      <c r="F2">
        <f>(51.2*'1.1'!E2*'1.1'!E2+48.8*'1.1'!F2*'1.1'!F2)/(51.2*'1.1'!D2*'1.1'!D2)-1</f>
        <v>-0.23456790123456805</v>
      </c>
      <c r="H2" s="3">
        <v>2.78</v>
      </c>
    </row>
    <row r="3" spans="1:18" x14ac:dyDescent="0.25">
      <c r="A3" s="1">
        <v>2</v>
      </c>
      <c r="B3" s="1">
        <f>'1.1'!D3*51.2</f>
        <v>24.064</v>
      </c>
      <c r="C3" s="1">
        <f>'1.1'!E3*51.2</f>
        <v>3.0720000000000001</v>
      </c>
      <c r="D3" s="1">
        <f>'1.1'!F3*48.8</f>
        <v>20.495999999999999</v>
      </c>
      <c r="E3">
        <f>(C3+D3)/B3-1</f>
        <v>-2.0611702127659615E-2</v>
      </c>
      <c r="F3">
        <f>(51.2*'1.1'!E3*'1.1'!E3+48.8*'1.1'!F3*'1.1'!F3)/(51.2*'1.1'!D3*'1.1'!D3)-1</f>
        <v>-0.22258374830239935</v>
      </c>
    </row>
    <row r="4" spans="1:18" x14ac:dyDescent="0.25">
      <c r="A4" s="1">
        <v>3</v>
      </c>
      <c r="B4" s="1">
        <f>'1.1'!D4*51.2</f>
        <v>24.576000000000001</v>
      </c>
      <c r="C4" s="1">
        <f>'1.1'!E4*51.2</f>
        <v>2.5600000000000005</v>
      </c>
      <c r="D4" s="1">
        <f>'1.1'!F4*48.8</f>
        <v>20.495999999999999</v>
      </c>
      <c r="E4">
        <f>(C4+D4)/B4-1</f>
        <v>-6.1848958333333481E-2</v>
      </c>
      <c r="F4">
        <f>(51.2*'1.1'!E4*'1.1'!E4+48.8*'1.1'!F4*'1.1'!F4)/(51.2*'1.1'!D4*'1.1'!D4)-1</f>
        <v>-0.25941297743055558</v>
      </c>
    </row>
    <row r="5" spans="1:18" x14ac:dyDescent="0.25">
      <c r="A5" s="1">
        <v>4</v>
      </c>
      <c r="B5" s="1">
        <f>'1.1'!D5*51.2</f>
        <v>24.064</v>
      </c>
      <c r="C5" s="1">
        <f>'1.1'!E5*51.2</f>
        <v>2.5600000000000005</v>
      </c>
      <c r="D5" s="1">
        <f>'1.1'!F5*48.8</f>
        <v>20.495999999999999</v>
      </c>
      <c r="E5">
        <f>(C5+D5)/B5-1</f>
        <v>-4.1888297872340496E-2</v>
      </c>
      <c r="F5">
        <f>(51.2*'1.1'!E5*'1.1'!E5+48.8*'1.1'!F5*'1.1'!F5)/(51.2*'1.1'!D5*'1.1'!D5)-1</f>
        <v>-0.22756337709370755</v>
      </c>
      <c r="N5" s="7" t="s">
        <v>22</v>
      </c>
      <c r="O5" s="7"/>
      <c r="Q5" s="7" t="s">
        <v>23</v>
      </c>
      <c r="R5" s="7"/>
    </row>
    <row r="6" spans="1:18" x14ac:dyDescent="0.25">
      <c r="A6" s="1">
        <v>5</v>
      </c>
      <c r="B6" s="1">
        <f>'1.1'!D6*51.2</f>
        <v>23.552000000000003</v>
      </c>
      <c r="C6" s="1">
        <f>'1.1'!E6*51.2</f>
        <v>2.5600000000000005</v>
      </c>
      <c r="D6" s="1">
        <f>'1.1'!F6*48.8</f>
        <v>20.007999999999999</v>
      </c>
      <c r="E6">
        <f>(C6+D6)/B6-1</f>
        <v>-4.1779891304348005E-2</v>
      </c>
      <c r="F6">
        <f>(51.2*'1.1'!E6*'1.1'!E6+48.8*'1.1'!F6*'1.1'!F6)/(51.2*'1.1'!D6*'1.1'!D6)-1</f>
        <v>-0.23100041351606826</v>
      </c>
      <c r="H6" s="2" t="s">
        <v>25</v>
      </c>
      <c r="I6" s="1" t="s">
        <v>26</v>
      </c>
      <c r="K6" s="1" t="s">
        <v>27</v>
      </c>
      <c r="L6" s="1" t="s">
        <v>28</v>
      </c>
      <c r="N6" s="1" t="s">
        <v>36</v>
      </c>
      <c r="O6" s="1" t="s">
        <v>37</v>
      </c>
      <c r="Q6" s="4" t="s">
        <v>36</v>
      </c>
      <c r="R6" s="4" t="s">
        <v>37</v>
      </c>
    </row>
    <row r="7" spans="1:18" x14ac:dyDescent="0.25">
      <c r="H7" s="3">
        <f>AVERAGE(E2:E6)</f>
        <v>-4.1559103260869687E-2</v>
      </c>
      <c r="I7">
        <f>AVERAGE(F2:F6)</f>
        <v>-0.23502568351545977</v>
      </c>
      <c r="K7" cm="1">
        <f t="array" ref="K7">$H2*SQRT(AVERAGE((E2:E6-H7)^2)/($A6-1))</f>
        <v>1.8130209858696948E-2</v>
      </c>
      <c r="L7" cm="1">
        <f t="array" ref="L7">$H2*SQRT(AVERAGE((F2:F6-I7)^2)/($A6-1))</f>
        <v>1.7818479740194897E-2</v>
      </c>
      <c r="N7">
        <f>H7-H2*K7</f>
        <v>-9.1961086668047198E-2</v>
      </c>
      <c r="O7">
        <f>H7+H2*K7</f>
        <v>8.8428801463078244E-3</v>
      </c>
      <c r="Q7">
        <f>I7-H2*L7</f>
        <v>-0.28456105719320157</v>
      </c>
      <c r="R7">
        <f>I7+H2*L7</f>
        <v>-0.18549030983771797</v>
      </c>
    </row>
  </sheetData>
  <mergeCells count="2">
    <mergeCell ref="N5:O5"/>
    <mergeCell ref="Q5:R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C17C-AE23-483E-9E45-991CA846B136}">
  <dimension ref="A1:R7"/>
  <sheetViews>
    <sheetView workbookViewId="0">
      <selection activeCell="H1" sqref="H1:R7"/>
    </sheetView>
  </sheetViews>
  <sheetFormatPr defaultRowHeight="15" x14ac:dyDescent="0.25"/>
  <cols>
    <col min="8" max="8" width="9.140625" style="3"/>
  </cols>
  <sheetData>
    <row r="1" spans="1:18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22</v>
      </c>
      <c r="F1" s="1" t="s">
        <v>23</v>
      </c>
      <c r="H1" s="2" t="s">
        <v>24</v>
      </c>
    </row>
    <row r="2" spans="1:18" x14ac:dyDescent="0.25">
      <c r="A2" s="1">
        <v>1</v>
      </c>
      <c r="B2" s="1">
        <f>'1.2'!D2*51.2</f>
        <v>23.552000000000003</v>
      </c>
      <c r="C2" s="1">
        <f>'1.2'!E2*51.2</f>
        <v>-3.5840000000000005</v>
      </c>
      <c r="D2" s="1">
        <f>'1.2'!F2*97.7</f>
        <v>26.379000000000001</v>
      </c>
      <c r="E2">
        <f>(C2+D2)/B2-1</f>
        <v>-3.2141644021739135E-2</v>
      </c>
      <c r="F2">
        <f>(51.2*'1.2'!E2*'1.2'!E2+97.7*'1.2'!F2*'1.2'!F2)/(51.2*'1.2'!D2*'1.2'!D2)-1</f>
        <v>-0.31943285532845</v>
      </c>
      <c r="H2" s="3">
        <v>2.78</v>
      </c>
    </row>
    <row r="3" spans="1:18" x14ac:dyDescent="0.25">
      <c r="A3" s="1">
        <v>2</v>
      </c>
      <c r="B3" s="1">
        <f>'1.2'!D3*51.2</f>
        <v>23.040000000000003</v>
      </c>
      <c r="C3" s="1">
        <f>'1.2'!E3*51.2</f>
        <v>-3.5840000000000005</v>
      </c>
      <c r="D3" s="1">
        <f>'1.2'!F3*97.7</f>
        <v>25.402000000000001</v>
      </c>
      <c r="E3">
        <f>(C3+D3)/B3-1</f>
        <v>-5.3038194444444464E-2</v>
      </c>
      <c r="F3">
        <f>(51.2*'1.2'!E3*'1.2'!E3+97.7*'1.2'!F3*'1.2'!F3)/(51.2*'1.2'!D3*'1.2'!D3)-1</f>
        <v>-0.33879243827160499</v>
      </c>
    </row>
    <row r="4" spans="1:18" x14ac:dyDescent="0.25">
      <c r="A4" s="1">
        <v>3</v>
      </c>
      <c r="B4" s="1">
        <f>'1.2'!D4*51.2</f>
        <v>24.064</v>
      </c>
      <c r="C4" s="1">
        <f>'1.2'!E4*51.2</f>
        <v>-4.0960000000000001</v>
      </c>
      <c r="D4" s="1">
        <f>'1.2'!F4*97.7</f>
        <v>25.402000000000001</v>
      </c>
      <c r="E4">
        <f>(C4+D4)/B4-1</f>
        <v>-0.11461103723404253</v>
      </c>
      <c r="F4">
        <f>(51.2*'1.2'!E4*'1.2'!E4+97.7*'1.2'!F4*'1.2'!F4)/(51.2*'1.2'!D4*'1.2'!D4)-1</f>
        <v>-0.38707772181982791</v>
      </c>
    </row>
    <row r="5" spans="1:18" x14ac:dyDescent="0.25">
      <c r="A5" s="1">
        <v>4</v>
      </c>
      <c r="B5" s="1">
        <f>'1.2'!D5*51.2</f>
        <v>24.064</v>
      </c>
      <c r="C5" s="1">
        <f>'1.2'!E5*51.2</f>
        <v>-3.0720000000000001</v>
      </c>
      <c r="D5" s="1">
        <f>'1.2'!F5*97.7</f>
        <v>25.402000000000001</v>
      </c>
      <c r="E5">
        <f>(C5+D5)/B5-1</f>
        <v>-7.2057845744680771E-2</v>
      </c>
      <c r="F5">
        <f>(51.2*'1.2'!E5*'1.2'!E5+97.7*'1.2'!F5*'1.2'!F5)/(51.2*'1.2'!D5*'1.2'!D5)-1</f>
        <v>-0.39975314056133993</v>
      </c>
      <c r="N5" s="7" t="s">
        <v>22</v>
      </c>
      <c r="O5" s="7"/>
      <c r="Q5" s="7" t="s">
        <v>23</v>
      </c>
      <c r="R5" s="7"/>
    </row>
    <row r="6" spans="1:18" x14ac:dyDescent="0.25">
      <c r="A6" s="1">
        <v>5</v>
      </c>
      <c r="B6" s="1">
        <f>'1.2'!D6*51.2</f>
        <v>22.528000000000002</v>
      </c>
      <c r="C6" s="1">
        <f>'1.2'!E6*51.2</f>
        <v>-3.0720000000000001</v>
      </c>
      <c r="D6" s="1">
        <f>'1.2'!F6*97.7</f>
        <v>24.425000000000001</v>
      </c>
      <c r="E6">
        <f>(C6+D6)/B6-1</f>
        <v>-5.2157315340909172E-2</v>
      </c>
      <c r="F6">
        <f>(51.2*'1.2'!E6*'1.2'!E6+97.7*'1.2'!F6*'1.2'!F6)/(51.2*'1.2'!D6*'1.2'!D6)-1</f>
        <v>-0.36537863991477282</v>
      </c>
      <c r="H6" s="2" t="s">
        <v>25</v>
      </c>
      <c r="I6" s="1" t="s">
        <v>26</v>
      </c>
      <c r="K6" s="1" t="s">
        <v>27</v>
      </c>
      <c r="L6" s="1" t="s">
        <v>28</v>
      </c>
      <c r="N6" s="4" t="s">
        <v>36</v>
      </c>
      <c r="O6" s="4" t="s">
        <v>37</v>
      </c>
      <c r="Q6" s="4" t="s">
        <v>36</v>
      </c>
      <c r="R6" s="4" t="s">
        <v>37</v>
      </c>
    </row>
    <row r="7" spans="1:18" x14ac:dyDescent="0.25">
      <c r="C7" s="1"/>
      <c r="D7" s="1"/>
      <c r="H7" s="3">
        <f>AVERAGE(E2:E6)</f>
        <v>-6.4801207357163215E-2</v>
      </c>
      <c r="I7">
        <f>AVERAGE(F2:F6)</f>
        <v>-0.36208695917919914</v>
      </c>
      <c r="K7" cm="1">
        <f t="array" ref="K7">$H2*SQRT(AVERAGE((E2:E6-H7)^2)/($A6-1))</f>
        <v>3.8813427291102362E-2</v>
      </c>
      <c r="L7" cm="1">
        <f t="array" ref="L7">$H2*SQRT(AVERAGE((F2:F6-I7)^2)/($A6-1))</f>
        <v>4.1309536628587759E-2</v>
      </c>
      <c r="N7">
        <f>H7-H2*K7</f>
        <v>-0.17270253522642776</v>
      </c>
      <c r="O7">
        <f>H7+H2*K7</f>
        <v>4.3100120512101339E-2</v>
      </c>
      <c r="Q7">
        <f>I7-H2*L7</f>
        <v>-0.4769274710066731</v>
      </c>
      <c r="R7">
        <f>I7+H2*L7</f>
        <v>-0.24724644735172518</v>
      </c>
    </row>
  </sheetData>
  <mergeCells count="2">
    <mergeCell ref="N5:O5"/>
    <mergeCell ref="Q5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AD5B-904E-4CEB-9340-E66DAED76F52}">
  <dimension ref="A1:N6"/>
  <sheetViews>
    <sheetView topLeftCell="C1" workbookViewId="0">
      <selection activeCell="H1" sqref="H1:N6"/>
    </sheetView>
  </sheetViews>
  <sheetFormatPr defaultRowHeight="15" x14ac:dyDescent="0.25"/>
  <cols>
    <col min="1" max="16384" width="9.140625" style="4"/>
  </cols>
  <sheetData>
    <row r="1" spans="1:14" x14ac:dyDescent="0.25">
      <c r="A1" s="4" t="s">
        <v>0</v>
      </c>
      <c r="B1" s="4" t="s">
        <v>32</v>
      </c>
      <c r="C1" s="4" t="s">
        <v>33</v>
      </c>
      <c r="D1" s="4" t="s">
        <v>22</v>
      </c>
      <c r="E1" s="4" t="s">
        <v>34</v>
      </c>
      <c r="F1" s="4" t="s">
        <v>35</v>
      </c>
      <c r="H1" s="2" t="s">
        <v>24</v>
      </c>
      <c r="J1" s="2" t="s">
        <v>25</v>
      </c>
      <c r="K1" s="4" t="s">
        <v>26</v>
      </c>
      <c r="M1" s="4" t="s">
        <v>27</v>
      </c>
      <c r="N1" s="4" t="s">
        <v>28</v>
      </c>
    </row>
    <row r="2" spans="1:14" x14ac:dyDescent="0.25">
      <c r="A2" s="4">
        <v>1</v>
      </c>
      <c r="B2" s="4">
        <f>'2.1'!D2*53.5</f>
        <v>24.074999999999999</v>
      </c>
      <c r="C2" s="4">
        <f>'2.1'!E2*(53.5+52)</f>
        <v>23.21</v>
      </c>
      <c r="D2" s="4">
        <f>C2/B2-1</f>
        <v>-3.5929387331256391E-2</v>
      </c>
      <c r="E2" s="4">
        <f>'2.1'!E2*'2.1'!E2*(53.5+52)/(53.5*'2.1'!D2*'2.1'!D2)-1</f>
        <v>-0.52867658936194761</v>
      </c>
      <c r="F2" s="4">
        <f>-52/(53.5+52)</f>
        <v>-0.49289099526066349</v>
      </c>
      <c r="H2" s="2">
        <v>2.78</v>
      </c>
      <c r="J2" s="2">
        <f>AVERAGE(D2:D6)</f>
        <v>-8.2260070336012486E-2</v>
      </c>
      <c r="K2" s="4">
        <f>AVERAGE(E2:E6)</f>
        <v>-0.57250069566048711</v>
      </c>
      <c r="M2" s="4" cm="1">
        <f t="array" ref="M2">$H2*SQRT(AVERAGE((D2:D6-J2)^2)/($A6-1))</f>
        <v>3.8472336921655435E-2</v>
      </c>
      <c r="N2" s="4" cm="1">
        <f t="array" ref="N2">$H2*SQRT(AVERAGE((E2:E6-K2)^2)/($A6-1))</f>
        <v>3.6043154418226968E-2</v>
      </c>
    </row>
    <row r="3" spans="1:14" x14ac:dyDescent="0.25">
      <c r="A3" s="4">
        <v>2</v>
      </c>
      <c r="B3" s="4">
        <f>'2.1'!D3*53.5</f>
        <v>24.074999999999999</v>
      </c>
      <c r="C3" s="4">
        <f>'2.1'!E3*(53.5+52)</f>
        <v>22.154999999999998</v>
      </c>
      <c r="D3" s="4">
        <f>C3/B3-1</f>
        <v>-7.9750778816199408E-2</v>
      </c>
      <c r="E3" s="4">
        <f>'2.1'!E3*'2.1'!E3*(53.5+52)/(53.5*'2.1'!D3*'2.1'!D3)-1</f>
        <v>-0.57055036344755972</v>
      </c>
      <c r="F3" s="4">
        <f>-52/(53.5+52)</f>
        <v>-0.49289099526066349</v>
      </c>
      <c r="H3" s="2"/>
    </row>
    <row r="4" spans="1:14" x14ac:dyDescent="0.25">
      <c r="A4" s="4">
        <v>3</v>
      </c>
      <c r="B4" s="4">
        <f>'2.1'!D4*53.5</f>
        <v>24.61</v>
      </c>
      <c r="C4" s="4">
        <f>'2.1'!E4*(53.5+52)</f>
        <v>22.154999999999998</v>
      </c>
      <c r="D4" s="4">
        <f>C4/B4-1</f>
        <v>-9.9756196668021158E-2</v>
      </c>
      <c r="E4" s="4">
        <f>'2.1'!E4*'2.1'!E4*(53.5+52)/(53.5*'2.1'!D4*'2.1'!D4)-1</f>
        <v>-0.58901913326148803</v>
      </c>
      <c r="F4" s="4">
        <f>-52/(53.5+52)</f>
        <v>-0.49289099526066349</v>
      </c>
      <c r="I4" s="4" t="s">
        <v>36</v>
      </c>
      <c r="J4" s="4" t="s">
        <v>37</v>
      </c>
    </row>
    <row r="5" spans="1:14" x14ac:dyDescent="0.25">
      <c r="A5" s="4">
        <v>4</v>
      </c>
      <c r="B5" s="4">
        <f>'2.1'!D5*53.5</f>
        <v>25.145</v>
      </c>
      <c r="C5" s="4">
        <f>'2.1'!E5*(53.5+52)</f>
        <v>22.154999999999998</v>
      </c>
      <c r="D5" s="4">
        <f>C5/B5-1</f>
        <v>-0.11891032014316971</v>
      </c>
      <c r="E5" s="4">
        <f>'2.1'!E5*'2.1'!E5*(53.5+52)/(53.5*'2.1'!D5*'2.1'!D5)-1</f>
        <v>-0.60632163240439496</v>
      </c>
      <c r="F5" s="4">
        <f>-52/(53.5+52)</f>
        <v>-0.49289099526066349</v>
      </c>
      <c r="H5" s="4" t="s">
        <v>38</v>
      </c>
      <c r="I5" s="2">
        <f>J2-M2</f>
        <v>-0.12073240725766793</v>
      </c>
      <c r="J5" s="2">
        <f>J2+M2</f>
        <v>-4.3787733414357051E-2</v>
      </c>
    </row>
    <row r="6" spans="1:14" x14ac:dyDescent="0.25">
      <c r="A6" s="4">
        <v>5</v>
      </c>
      <c r="B6" s="4">
        <f>'2.1'!D6*53.5</f>
        <v>25.145</v>
      </c>
      <c r="C6" s="4">
        <f>'2.1'!E6*(53.5+52)</f>
        <v>23.21</v>
      </c>
      <c r="D6" s="4">
        <f>C6/B6-1</f>
        <v>-7.6953668721415736E-2</v>
      </c>
      <c r="E6" s="4">
        <f>'2.1'!E6*'2.1'!E6*(53.5+52)/(53.5*'2.1'!D6*'2.1'!D6)-1</f>
        <v>-0.56793575982704569</v>
      </c>
      <c r="F6" s="4">
        <f>-52/(53.5+52)</f>
        <v>-0.49289099526066349</v>
      </c>
      <c r="H6" s="4" t="s">
        <v>39</v>
      </c>
      <c r="I6" s="4">
        <f>K2-N2</f>
        <v>-0.60854385007871403</v>
      </c>
      <c r="J6" s="4">
        <f>K2+N2</f>
        <v>-0.53645754124226019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32F90-34B6-41A7-B708-FF6F2010DD2E}">
  <dimension ref="A1:N6"/>
  <sheetViews>
    <sheetView workbookViewId="0">
      <selection activeCell="H2" sqref="H1:H2"/>
    </sheetView>
  </sheetViews>
  <sheetFormatPr defaultRowHeight="15" x14ac:dyDescent="0.25"/>
  <cols>
    <col min="1" max="16384" width="9.140625" style="4"/>
  </cols>
  <sheetData>
    <row r="1" spans="1:14" x14ac:dyDescent="0.25">
      <c r="A1" s="4" t="s">
        <v>0</v>
      </c>
      <c r="B1" s="4" t="s">
        <v>32</v>
      </c>
      <c r="C1" s="4" t="s">
        <v>33</v>
      </c>
      <c r="D1" s="4" t="s">
        <v>22</v>
      </c>
      <c r="E1" s="4" t="s">
        <v>34</v>
      </c>
      <c r="F1" s="4" t="s">
        <v>35</v>
      </c>
      <c r="H1" s="2" t="s">
        <v>24</v>
      </c>
      <c r="J1" s="2" t="s">
        <v>25</v>
      </c>
      <c r="K1" s="4" t="s">
        <v>26</v>
      </c>
      <c r="M1" s="4" t="s">
        <v>27</v>
      </c>
      <c r="N1" s="4" t="s">
        <v>28</v>
      </c>
    </row>
    <row r="2" spans="1:14" x14ac:dyDescent="0.25">
      <c r="A2" s="4">
        <v>1</v>
      </c>
      <c r="B2" s="4">
        <f>'2.2'!D2*53.5</f>
        <v>25.145</v>
      </c>
      <c r="C2" s="4">
        <f>'2.2'!E2*(53.5+100.9)</f>
        <v>24.704000000000001</v>
      </c>
      <c r="D2" s="4">
        <f>C2/B2-1</f>
        <v>-1.7538277987671491E-2</v>
      </c>
      <c r="E2" s="4">
        <f>'2.2'!E2*'2.2'!E2*(53.5+100.9)/(53.5*'2.2'!D2*'2.2'!D2)-1</f>
        <v>-0.66554494569793077</v>
      </c>
      <c r="F2" s="4">
        <f>-100.9/(53.5+100.9)</f>
        <v>-0.65349740932642486</v>
      </c>
      <c r="H2" s="2">
        <v>2.78</v>
      </c>
      <c r="J2" s="2">
        <f>AVERAGE(D2:D6)</f>
        <v>-8.348068161186846E-2</v>
      </c>
      <c r="K2" s="4">
        <f>AVERAGE(E2:E6)</f>
        <v>-0.70826548863392791</v>
      </c>
      <c r="M2" s="4" cm="1">
        <f t="array" ref="M2">$H2*SQRT(AVERAGE((D2:D6-J2)^2)/($A6-1))</f>
        <v>6.1107628950426408E-2</v>
      </c>
      <c r="N2" s="4" cm="1">
        <f t="array" ref="N2">$H2*SQRT(AVERAGE((E2:E6-K2)^2)/($A6-1))</f>
        <v>3.8956413283825625E-2</v>
      </c>
    </row>
    <row r="3" spans="1:14" x14ac:dyDescent="0.25">
      <c r="A3" s="4">
        <v>2</v>
      </c>
      <c r="B3" s="4">
        <f>'2.2'!D3*53.5</f>
        <v>24.61</v>
      </c>
      <c r="C3" s="4">
        <f>'2.2'!E3*(53.5+100.9)</f>
        <v>21.616000000000003</v>
      </c>
      <c r="D3" s="4">
        <f t="shared" ref="D3:D6" si="0">C3/B3-1</f>
        <v>-0.12165786265745615</v>
      </c>
      <c r="E3" s="4">
        <f>'2.2'!E3*'2.2'!E3*(53.5+100.9)/(53.5*'2.2'!D3*'2.2'!D3)-1</f>
        <v>-0.73267847993922586</v>
      </c>
      <c r="F3" s="4">
        <f t="shared" ref="F3:F6" si="1">-100.9/(53.5+100.9)</f>
        <v>-0.65349740932642486</v>
      </c>
      <c r="H3" s="2"/>
    </row>
    <row r="4" spans="1:14" x14ac:dyDescent="0.25">
      <c r="A4" s="4">
        <v>3</v>
      </c>
      <c r="B4" s="4">
        <f>'2.2'!D4*53.5</f>
        <v>25.145</v>
      </c>
      <c r="C4" s="4">
        <f>'2.2'!E4*(53.5+100.9)</f>
        <v>23.16</v>
      </c>
      <c r="D4" s="4">
        <f t="shared" si="0"/>
        <v>-7.8942135613441988E-2</v>
      </c>
      <c r="E4" s="4">
        <f>'2.2'!E4*'2.2'!E4*(53.5+100.9)/(53.5*'2.2'!D4*'2.2'!D4)-1</f>
        <v>-0.70604536242982197</v>
      </c>
      <c r="F4" s="4">
        <f t="shared" si="1"/>
        <v>-0.65349740932642486</v>
      </c>
      <c r="I4" s="4" t="s">
        <v>36</v>
      </c>
      <c r="J4" s="4" t="s">
        <v>37</v>
      </c>
    </row>
    <row r="5" spans="1:14" x14ac:dyDescent="0.25">
      <c r="A5" s="4">
        <v>4</v>
      </c>
      <c r="B5" s="4">
        <f>'2.2'!D5*53.5</f>
        <v>24.61</v>
      </c>
      <c r="C5" s="4">
        <f>'2.2'!E5*(53.5+100.9)</f>
        <v>23.16</v>
      </c>
      <c r="D5" s="4">
        <f t="shared" si="0"/>
        <v>-5.891913856156028E-2</v>
      </c>
      <c r="E5" s="4">
        <f>'2.2'!E5*'2.2'!E5*(53.5+100.9)/(53.5*'2.2'!D5*'2.2'!D5)-1</f>
        <v>-0.6931258060526827</v>
      </c>
      <c r="F5" s="4">
        <f t="shared" si="1"/>
        <v>-0.65349740932642486</v>
      </c>
      <c r="H5" s="4" t="s">
        <v>38</v>
      </c>
      <c r="I5" s="2">
        <f>J2-M2</f>
        <v>-0.14458831056229487</v>
      </c>
      <c r="J5" s="2">
        <f>J2+M2</f>
        <v>-2.2373052661442051E-2</v>
      </c>
    </row>
    <row r="6" spans="1:14" x14ac:dyDescent="0.25">
      <c r="A6" s="4">
        <v>5</v>
      </c>
      <c r="B6" s="4">
        <f>'2.2'!D6*53.5</f>
        <v>25.145</v>
      </c>
      <c r="C6" s="4">
        <f>'2.2'!E6*(53.5+100.9)</f>
        <v>21.616000000000003</v>
      </c>
      <c r="D6" s="4">
        <f t="shared" si="0"/>
        <v>-0.14034599323921237</v>
      </c>
      <c r="E6" s="4">
        <f>'2.2'!E6*'2.2'!E6*(53.5+100.9)/(53.5*'2.2'!D6*'2.2'!D6)-1</f>
        <v>-0.74393284904997814</v>
      </c>
      <c r="F6" s="4">
        <f t="shared" si="1"/>
        <v>-0.65349740932642486</v>
      </c>
      <c r="H6" s="4" t="s">
        <v>39</v>
      </c>
      <c r="I6" s="4">
        <f>K2-N2</f>
        <v>-0.74722190191775351</v>
      </c>
      <c r="J6" s="4">
        <f>K2+N2</f>
        <v>-0.66930907535010231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2508-E302-4EEF-A226-64A7555F135B}">
  <dimension ref="A1:F16"/>
  <sheetViews>
    <sheetView workbookViewId="0">
      <selection activeCell="C13" sqref="C13"/>
    </sheetView>
  </sheetViews>
  <sheetFormatPr defaultRowHeight="15" x14ac:dyDescent="0.25"/>
  <cols>
    <col min="1" max="2" width="9.140625" style="5"/>
    <col min="3" max="3" width="12" style="5" bestFit="1" customWidth="1"/>
    <col min="4" max="25" width="9.140625" style="5"/>
    <col min="26" max="26" width="33" style="5" customWidth="1"/>
    <col min="27" max="27" width="25.85546875" style="5" customWidth="1"/>
    <col min="28" max="16384" width="9.140625" style="5"/>
  </cols>
  <sheetData>
    <row r="1" spans="1:6" x14ac:dyDescent="0.25">
      <c r="A1" s="4" t="s">
        <v>0</v>
      </c>
      <c r="B1" s="4" t="s">
        <v>9</v>
      </c>
      <c r="C1" s="4" t="s">
        <v>40</v>
      </c>
      <c r="D1" s="4" t="s">
        <v>41</v>
      </c>
      <c r="E1" s="5" t="s">
        <v>43</v>
      </c>
      <c r="F1" s="4" t="s">
        <v>50</v>
      </c>
    </row>
    <row r="2" spans="1:6" x14ac:dyDescent="0.25">
      <c r="A2" s="4">
        <v>1</v>
      </c>
      <c r="B2" s="4">
        <v>1.7</v>
      </c>
      <c r="C2" s="4">
        <f>('3.1'!E2*'3.1'!E2-'3.1'!D2*'3.1'!D2)/1.3</f>
        <v>0.24615384615384611</v>
      </c>
      <c r="D2" s="4">
        <f>B2*(9.82-C2)</f>
        <v>16.275538461538464</v>
      </c>
      <c r="E2" s="5">
        <f t="shared" ref="E2:E8" si="0">D2-(C$14+C2*C$13)</f>
        <v>-1.9353066194388937</v>
      </c>
      <c r="F2" s="5">
        <f>F$12*SQRT(C$16^2+(C$15*C2)^2)</f>
        <v>6.6662239396771241</v>
      </c>
    </row>
    <row r="3" spans="1:6" x14ac:dyDescent="0.25">
      <c r="A3" s="4">
        <v>2</v>
      </c>
      <c r="B3" s="4">
        <v>2.6</v>
      </c>
      <c r="C3" s="4">
        <f>('3.1'!E3*'3.1'!E3-'3.1'!D3*'3.1'!D3)/1.3</f>
        <v>0.33969230769230763</v>
      </c>
      <c r="D3" s="4">
        <f t="shared" ref="D3:D8" si="1">B3*(9.82-C3)</f>
        <v>24.648800000000001</v>
      </c>
      <c r="E3" s="5">
        <f t="shared" si="0"/>
        <v>0.66578055166787564</v>
      </c>
      <c r="F3" s="5">
        <f t="shared" ref="F3:F8" si="2">F$12*SQRT(C$16^2+(C$15*C3)^2)</f>
        <v>7.0334974153354421</v>
      </c>
    </row>
    <row r="4" spans="1:6" x14ac:dyDescent="0.25">
      <c r="A4" s="4">
        <v>3</v>
      </c>
      <c r="B4" s="4">
        <v>3.5</v>
      </c>
      <c r="C4" s="4">
        <f>('3.1'!E4*'3.1'!E4-'3.1'!D4*'3.1'!D4)/1.3</f>
        <v>0.50423076923076915</v>
      </c>
      <c r="D4" s="4">
        <f t="shared" si="1"/>
        <v>32.605192307692306</v>
      </c>
      <c r="E4" s="5">
        <f t="shared" si="0"/>
        <v>-1.5313476766364005</v>
      </c>
      <c r="F4" s="5">
        <f t="shared" si="2"/>
        <v>7.8879478926587288</v>
      </c>
    </row>
    <row r="5" spans="1:6" x14ac:dyDescent="0.25">
      <c r="A5" s="4">
        <v>4</v>
      </c>
      <c r="B5" s="4">
        <v>4.4000000000000004</v>
      </c>
      <c r="C5" s="4">
        <f>('3.1'!E5*'3.1'!E5-'3.1'!D5*'3.1'!D5)/1.3</f>
        <v>0.58153846153846156</v>
      </c>
      <c r="D5" s="4">
        <f t="shared" si="1"/>
        <v>40.649230769230776</v>
      </c>
      <c r="E5" s="5">
        <f t="shared" si="0"/>
        <v>1.7421025947774353</v>
      </c>
      <c r="F5" s="5">
        <f t="shared" si="2"/>
        <v>8.3622224367984455</v>
      </c>
    </row>
    <row r="6" spans="1:6" x14ac:dyDescent="0.25">
      <c r="A6" s="4">
        <v>5</v>
      </c>
      <c r="B6" s="4">
        <v>5.3</v>
      </c>
      <c r="C6" s="4">
        <f>('3.1'!E6*'3.1'!E6-'3.1'!D6*'3.1'!D6)/1.3</f>
        <v>0.69046153846153846</v>
      </c>
      <c r="D6" s="4">
        <f t="shared" si="1"/>
        <v>48.386553846153852</v>
      </c>
      <c r="E6" s="5">
        <f t="shared" si="0"/>
        <v>2.7578805202413434</v>
      </c>
      <c r="F6" s="5">
        <f t="shared" si="2"/>
        <v>9.091102918837235</v>
      </c>
    </row>
    <row r="7" spans="1:6" x14ac:dyDescent="0.25">
      <c r="A7" s="4">
        <v>6</v>
      </c>
      <c r="B7" s="4">
        <v>6.2</v>
      </c>
      <c r="C7" s="4">
        <f>('3.1'!E7*'3.1'!E7-'3.1'!D7*'3.1'!D7)/1.3</f>
        <v>0.83669230769230774</v>
      </c>
      <c r="D7" s="4">
        <f t="shared" si="1"/>
        <v>55.696507692307691</v>
      </c>
      <c r="E7" s="5">
        <f t="shared" si="0"/>
        <v>1.044065063482833</v>
      </c>
      <c r="F7" s="5">
        <f t="shared" si="2"/>
        <v>10.156409103657003</v>
      </c>
    </row>
    <row r="8" spans="1:6" x14ac:dyDescent="0.25">
      <c r="A8" s="4">
        <v>7</v>
      </c>
      <c r="B8" s="4">
        <v>7.1</v>
      </c>
      <c r="C8" s="4">
        <f>('3.1'!E8*'3.1'!E8-'3.1'!D8*'3.1'!D8)/1.3</f>
        <v>1.0092307692307692</v>
      </c>
      <c r="D8" s="4">
        <f t="shared" si="1"/>
        <v>62.556461538461541</v>
      </c>
      <c r="E8" s="5">
        <f t="shared" si="0"/>
        <v>-2.7431744340941933</v>
      </c>
      <c r="F8" s="5">
        <f t="shared" si="2"/>
        <v>11.506345578508986</v>
      </c>
    </row>
    <row r="10" spans="1:6" x14ac:dyDescent="0.25">
      <c r="C10" s="4" t="s">
        <v>40</v>
      </c>
      <c r="D10" s="4" t="s">
        <v>41</v>
      </c>
    </row>
    <row r="11" spans="1:6" x14ac:dyDescent="0.25">
      <c r="B11" s="5" t="s">
        <v>42</v>
      </c>
      <c r="C11" s="5">
        <f>AVERAGE(C2:C8)</f>
        <v>0.60114285714285709</v>
      </c>
      <c r="D11" s="5">
        <f>AVERAGE(D2:D8)</f>
        <v>40.116897802197798</v>
      </c>
      <c r="F11" s="2" t="s">
        <v>24</v>
      </c>
    </row>
    <row r="12" spans="1:6" x14ac:dyDescent="0.25">
      <c r="B12" s="5" t="s">
        <v>44</v>
      </c>
      <c r="C12" s="5" cm="1">
        <f t="array" ref="C12">SUM((C2:C8-C11)*(C2:C8-C11))</f>
        <v>0.43414698732037199</v>
      </c>
      <c r="F12" s="2">
        <v>2.78</v>
      </c>
    </row>
    <row r="13" spans="1:6" x14ac:dyDescent="0.25">
      <c r="B13" s="5" t="s">
        <v>45</v>
      </c>
      <c r="C13" s="5" cm="1">
        <f t="array" ref="C13">SUM((C2:C8-C11)*(D2:D8-D11))/C12</f>
        <v>61.709100966786167</v>
      </c>
    </row>
    <row r="14" spans="1:6" x14ac:dyDescent="0.25">
      <c r="B14" s="5" t="s">
        <v>46</v>
      </c>
      <c r="C14" s="5">
        <f>D11-C13*C11</f>
        <v>3.0209125353069197</v>
      </c>
    </row>
    <row r="15" spans="1:6" x14ac:dyDescent="0.25">
      <c r="B15" s="5" t="s">
        <v>48</v>
      </c>
      <c r="C15" s="5">
        <f>SQRT(SUMSQ(E2:E8)/C12/5)</f>
        <v>3.4468227492156553</v>
      </c>
    </row>
    <row r="16" spans="1:6" x14ac:dyDescent="0.25">
      <c r="B16" s="5" t="s">
        <v>49</v>
      </c>
      <c r="C16" s="5">
        <f>SQRT((1/7+C11^2/C12)*SUMSQ(E2:E8)/5)</f>
        <v>2.2428031804147901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6A275-4D86-4271-A510-7117836C72A5}">
  <dimension ref="A1:F16"/>
  <sheetViews>
    <sheetView tabSelected="1" workbookViewId="0">
      <selection activeCell="C14" sqref="C14"/>
    </sheetView>
  </sheetViews>
  <sheetFormatPr defaultRowHeight="15" x14ac:dyDescent="0.25"/>
  <cols>
    <col min="1" max="2" width="9.140625" style="5"/>
    <col min="3" max="3" width="12" style="5" bestFit="1" customWidth="1"/>
    <col min="4" max="25" width="9.140625" style="5"/>
    <col min="26" max="26" width="33" style="5" customWidth="1"/>
    <col min="27" max="27" width="25.85546875" style="5" customWidth="1"/>
    <col min="28" max="16384" width="9.140625" style="5"/>
  </cols>
  <sheetData>
    <row r="1" spans="1:6" x14ac:dyDescent="0.25">
      <c r="A1" s="4" t="s">
        <v>0</v>
      </c>
      <c r="B1" s="4" t="s">
        <v>9</v>
      </c>
      <c r="C1" s="4" t="s">
        <v>40</v>
      </c>
      <c r="D1" s="4" t="s">
        <v>41</v>
      </c>
      <c r="E1" s="5" t="s">
        <v>43</v>
      </c>
      <c r="F1" s="4" t="s">
        <v>47</v>
      </c>
    </row>
    <row r="2" spans="1:6" x14ac:dyDescent="0.25">
      <c r="A2" s="4">
        <v>1</v>
      </c>
      <c r="B2" s="4">
        <v>1.7</v>
      </c>
      <c r="C2" s="4">
        <f>('3.2'!E2*'3.2'!E2-'3.2'!D2*'3.2'!D2)/1.3</f>
        <v>0.1406923076923077</v>
      </c>
      <c r="D2" s="4">
        <f>B2*(9.82-C2)</f>
        <v>16.454823076923077</v>
      </c>
      <c r="E2" s="5">
        <f t="shared" ref="E2:E8" si="0">D2-(C$14+C2*C$13)</f>
        <v>-2.2268888115768313</v>
      </c>
      <c r="F2" s="5">
        <f>2*SQRT(C$16^2+(C$15*C2)^2)</f>
        <v>4.4512666224434678</v>
      </c>
    </row>
    <row r="3" spans="1:6" x14ac:dyDescent="0.25">
      <c r="A3" s="4">
        <v>2</v>
      </c>
      <c r="B3" s="4">
        <v>2.6</v>
      </c>
      <c r="C3" s="4">
        <f>('3.2'!E3*'3.2'!E3-'3.2'!D3*'3.2'!D3)/1.3</f>
        <v>0.2020769230769231</v>
      </c>
      <c r="D3" s="4">
        <f t="shared" ref="D3:D8" si="1">B3*(9.82-C3)</f>
        <v>25.006600000000002</v>
      </c>
      <c r="E3" s="5">
        <f t="shared" si="0"/>
        <v>-0.7363294938237992</v>
      </c>
      <c r="F3" s="5">
        <f t="shared" ref="F3:F8" si="2">2*SQRT(C$16^2+(C$15*C3)^2)</f>
        <v>4.7443243256540999</v>
      </c>
    </row>
    <row r="4" spans="1:6" x14ac:dyDescent="0.25">
      <c r="A4" s="4">
        <v>3</v>
      </c>
      <c r="B4" s="4">
        <v>3.5</v>
      </c>
      <c r="C4" s="4">
        <f>('3.2'!E4*'3.2'!E4-'3.2'!D4*'3.2'!D4)/1.3</f>
        <v>0.23999999999999994</v>
      </c>
      <c r="D4" s="4">
        <f t="shared" si="1"/>
        <v>33.53</v>
      </c>
      <c r="E4" s="5">
        <f t="shared" si="0"/>
        <v>3.4246892036390157</v>
      </c>
      <c r="F4" s="5">
        <f t="shared" si="2"/>
        <v>4.9654622079868487</v>
      </c>
    </row>
    <row r="5" spans="1:6" x14ac:dyDescent="0.25">
      <c r="A5" s="4">
        <v>4</v>
      </c>
      <c r="B5" s="4">
        <v>4.4000000000000004</v>
      </c>
      <c r="C5" s="4">
        <f>('3.2'!E5*'3.2'!E5-'3.2'!D5*'3.2'!D5)/1.3</f>
        <v>0.34707692307692306</v>
      </c>
      <c r="D5" s="4">
        <f t="shared" si="1"/>
        <v>41.680861538461542</v>
      </c>
      <c r="E5" s="5">
        <f t="shared" si="0"/>
        <v>-0.74176117094563665</v>
      </c>
      <c r="F5" s="5">
        <f t="shared" si="2"/>
        <v>5.7190074614398974</v>
      </c>
    </row>
    <row r="6" spans="1:6" x14ac:dyDescent="0.25">
      <c r="A6" s="4">
        <v>5</v>
      </c>
      <c r="B6" s="4">
        <v>5.3</v>
      </c>
      <c r="C6" s="4">
        <f>('3.2'!E6*'3.2'!E6-'3.2'!D6*'3.2'!D6)/1.3</f>
        <v>0.39623076923076922</v>
      </c>
      <c r="D6" s="4">
        <f t="shared" si="1"/>
        <v>49.945976923076927</v>
      </c>
      <c r="E6" s="5">
        <f t="shared" si="0"/>
        <v>1.8690709432412191</v>
      </c>
      <c r="F6" s="5">
        <f t="shared" si="2"/>
        <v>6.1144522119911704</v>
      </c>
    </row>
    <row r="7" spans="1:6" x14ac:dyDescent="0.25">
      <c r="A7" s="4">
        <v>6</v>
      </c>
      <c r="B7" s="4">
        <v>6.2</v>
      </c>
      <c r="C7" s="4">
        <f>('3.2'!E7*'3.2'!E7-'3.2'!D7*'3.2'!D7)/1.3</f>
        <v>0.48669230769230765</v>
      </c>
      <c r="D7" s="4">
        <f t="shared" si="1"/>
        <v>57.8665076923077</v>
      </c>
      <c r="E7" s="5">
        <f t="shared" si="0"/>
        <v>-0.61640317958426749</v>
      </c>
      <c r="F7" s="5">
        <f t="shared" si="2"/>
        <v>6.9004432090504286</v>
      </c>
    </row>
    <row r="8" spans="1:6" x14ac:dyDescent="0.25">
      <c r="A8" s="4">
        <v>7</v>
      </c>
      <c r="B8" s="4">
        <v>7.1</v>
      </c>
      <c r="C8" s="4">
        <f>('3.2'!E8*'3.2'!E8-'3.2'!D8*'3.2'!D8)/1.3</f>
        <v>0.55838461538461548</v>
      </c>
      <c r="D8" s="4">
        <f t="shared" si="1"/>
        <v>65.757469230769232</v>
      </c>
      <c r="E8" s="5">
        <f t="shared" si="0"/>
        <v>-0.97237749094965409</v>
      </c>
      <c r="F8" s="5">
        <f t="shared" si="2"/>
        <v>7.5638720621497439</v>
      </c>
    </row>
    <row r="11" spans="1:6" x14ac:dyDescent="0.25">
      <c r="B11" s="5" t="s">
        <v>42</v>
      </c>
      <c r="C11" s="5">
        <f>AVERAGE(C2:C8)</f>
        <v>0.33873626373626375</v>
      </c>
      <c r="D11" s="5">
        <f>AVERAGE(D2:D8)</f>
        <v>41.463176923076922</v>
      </c>
    </row>
    <row r="12" spans="1:6" x14ac:dyDescent="0.25">
      <c r="B12" s="5" t="s">
        <v>44</v>
      </c>
      <c r="C12" s="5" cm="1">
        <f t="array" ref="C12">SUM((C2:C8-C11)*(C2:C8-C11))</f>
        <v>0.14115760777683856</v>
      </c>
    </row>
    <row r="13" spans="1:6" x14ac:dyDescent="0.25">
      <c r="B13" s="5" t="s">
        <v>45</v>
      </c>
      <c r="C13" s="5" cm="1">
        <f t="array" ref="C13">SUM((C2:C8-C11)*(D2:D8-D11))/C12</f>
        <v>115.03236700402331</v>
      </c>
    </row>
    <row r="14" spans="1:6" x14ac:dyDescent="0.25">
      <c r="B14" s="5" t="s">
        <v>46</v>
      </c>
      <c r="C14" s="5">
        <f>D11-C13*C11</f>
        <v>2.4975427153953973</v>
      </c>
    </row>
    <row r="15" spans="1:6" x14ac:dyDescent="0.25">
      <c r="B15" s="5" t="s">
        <v>48</v>
      </c>
      <c r="C15" s="5">
        <f>SQRT(SUMSQ(E2:E8)/C12/5)</f>
        <v>5.6585572309290528</v>
      </c>
    </row>
    <row r="16" spans="1:6" x14ac:dyDescent="0.25">
      <c r="B16" s="5" t="s">
        <v>49</v>
      </c>
      <c r="C16" s="5">
        <f>SQRT((1/7+C11^2/C12)*SUMSQ(E2:E8)/5)</f>
        <v>2.0783752756516614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D7AD-B1CC-4AD7-BB78-D7F76D517BDB}">
  <dimension ref="A1:F15"/>
  <sheetViews>
    <sheetView workbookViewId="0">
      <selection activeCell="D15" sqref="C1:D15"/>
    </sheetView>
  </sheetViews>
  <sheetFormatPr defaultRowHeight="15" x14ac:dyDescent="0.25"/>
  <sheetData>
    <row r="1" spans="1:6" x14ac:dyDescent="0.25">
      <c r="A1" s="4" t="s">
        <v>0</v>
      </c>
      <c r="B1" s="4" t="s">
        <v>9</v>
      </c>
      <c r="C1" s="4" t="s">
        <v>40</v>
      </c>
      <c r="D1" s="4" t="s">
        <v>41</v>
      </c>
      <c r="E1" s="4"/>
      <c r="F1" s="4" t="s">
        <v>41</v>
      </c>
    </row>
    <row r="2" spans="1:6" x14ac:dyDescent="0.25">
      <c r="A2" s="4">
        <v>1</v>
      </c>
      <c r="B2" s="4">
        <v>1.7</v>
      </c>
      <c r="C2" s="4">
        <f>('3.1'!E2*'3.1'!E2-'3.1'!D2*'3.1'!D2)/1.3</f>
        <v>0.24615384615384611</v>
      </c>
      <c r="D2" s="4">
        <f t="shared" ref="D2:D8" si="0">B2*(9.82-C2)</f>
        <v>16.275538461538464</v>
      </c>
      <c r="E2" s="4"/>
      <c r="F2" s="4">
        <f>D2*(9.82-E2)</f>
        <v>159.82578769230773</v>
      </c>
    </row>
    <row r="3" spans="1:6" x14ac:dyDescent="0.25">
      <c r="A3" s="4">
        <v>2</v>
      </c>
      <c r="B3" s="4">
        <v>2.6</v>
      </c>
      <c r="C3" s="4">
        <f>('3.1'!E3*'3.1'!E3-'3.1'!D3*'3.1'!D3)/1.3</f>
        <v>0.33969230769230763</v>
      </c>
      <c r="D3" s="4">
        <f t="shared" si="0"/>
        <v>24.648800000000001</v>
      </c>
      <c r="E3" s="4"/>
      <c r="F3" s="4">
        <f t="shared" ref="F3:F8" si="1">D3*(9.82-E3)</f>
        <v>242.05121600000001</v>
      </c>
    </row>
    <row r="4" spans="1:6" x14ac:dyDescent="0.25">
      <c r="A4" s="4">
        <v>3</v>
      </c>
      <c r="B4" s="4">
        <v>3.5</v>
      </c>
      <c r="C4" s="4">
        <f>('3.1'!E4*'3.1'!E4-'3.1'!D4*'3.1'!D4)/1.3</f>
        <v>0.50423076923076915</v>
      </c>
      <c r="D4" s="4">
        <f t="shared" si="0"/>
        <v>32.605192307692306</v>
      </c>
      <c r="E4" s="4"/>
      <c r="F4" s="4">
        <f t="shared" si="1"/>
        <v>320.18298846153846</v>
      </c>
    </row>
    <row r="5" spans="1:6" x14ac:dyDescent="0.25">
      <c r="A5" s="4">
        <v>4</v>
      </c>
      <c r="B5" s="4">
        <v>4.4000000000000004</v>
      </c>
      <c r="C5" s="4">
        <f>('3.1'!E5*'3.1'!E5-'3.1'!D5*'3.1'!D5)/1.3</f>
        <v>0.58153846153846156</v>
      </c>
      <c r="D5" s="4">
        <f t="shared" si="0"/>
        <v>40.649230769230776</v>
      </c>
      <c r="E5" s="4"/>
      <c r="F5" s="4">
        <f t="shared" si="1"/>
        <v>399.17544615384622</v>
      </c>
    </row>
    <row r="6" spans="1:6" x14ac:dyDescent="0.25">
      <c r="A6" s="4">
        <v>5</v>
      </c>
      <c r="B6" s="4">
        <v>5.3</v>
      </c>
      <c r="C6" s="4">
        <f>('3.1'!E6*'3.1'!E6-'3.1'!D6*'3.1'!D6)/1.3</f>
        <v>0.69046153846153846</v>
      </c>
      <c r="D6" s="4">
        <f t="shared" si="0"/>
        <v>48.386553846153852</v>
      </c>
      <c r="E6" s="4"/>
      <c r="F6" s="4">
        <f t="shared" si="1"/>
        <v>475.15595876923084</v>
      </c>
    </row>
    <row r="7" spans="1:6" x14ac:dyDescent="0.25">
      <c r="A7" s="4">
        <v>6</v>
      </c>
      <c r="B7" s="4">
        <v>6.2</v>
      </c>
      <c r="C7" s="4">
        <f>('3.1'!E7*'3.1'!E7-'3.1'!D7*'3.1'!D7)/1.3</f>
        <v>0.83669230769230774</v>
      </c>
      <c r="D7" s="4">
        <f t="shared" si="0"/>
        <v>55.696507692307691</v>
      </c>
      <c r="E7" s="4"/>
      <c r="F7" s="4">
        <f t="shared" si="1"/>
        <v>546.93970553846157</v>
      </c>
    </row>
    <row r="8" spans="1:6" x14ac:dyDescent="0.25">
      <c r="A8" s="4">
        <v>7</v>
      </c>
      <c r="B8" s="4">
        <v>7.1</v>
      </c>
      <c r="C8" s="4">
        <f>('3.1'!E8*'3.1'!E8-'3.1'!D8*'3.1'!D8)/1.3</f>
        <v>1.0092307692307692</v>
      </c>
      <c r="D8" s="4">
        <f t="shared" si="0"/>
        <v>62.556461538461541</v>
      </c>
      <c r="E8" s="4"/>
      <c r="F8" s="4">
        <f t="shared" si="1"/>
        <v>614.30445230769237</v>
      </c>
    </row>
    <row r="9" spans="1:6" x14ac:dyDescent="0.25">
      <c r="A9" s="4">
        <v>8</v>
      </c>
      <c r="B9" s="4">
        <v>1.7</v>
      </c>
      <c r="C9" s="4">
        <f>('3.2'!E2*'3.2'!E2-'3.2'!D2*'3.2'!D2)/1.3</f>
        <v>0.1406923076923077</v>
      </c>
      <c r="D9" s="4">
        <f t="shared" ref="D9:D15" si="2">B9*(9.82-C9)</f>
        <v>16.454823076923077</v>
      </c>
    </row>
    <row r="10" spans="1:6" x14ac:dyDescent="0.25">
      <c r="A10" s="4">
        <v>9</v>
      </c>
      <c r="B10" s="4">
        <v>2.6</v>
      </c>
      <c r="C10" s="4">
        <f>('3.2'!E3*'3.2'!E3-'3.2'!D3*'3.2'!D3)/1.3</f>
        <v>0.2020769230769231</v>
      </c>
      <c r="D10" s="4">
        <f t="shared" si="2"/>
        <v>25.006600000000002</v>
      </c>
    </row>
    <row r="11" spans="1:6" x14ac:dyDescent="0.25">
      <c r="A11" s="4">
        <v>10</v>
      </c>
      <c r="B11" s="4">
        <v>3.5</v>
      </c>
      <c r="C11" s="4">
        <f>('3.2'!E4*'3.2'!E4-'3.2'!D4*'3.2'!D4)/1.3</f>
        <v>0.23999999999999994</v>
      </c>
      <c r="D11" s="4">
        <f t="shared" si="2"/>
        <v>33.53</v>
      </c>
    </row>
    <row r="12" spans="1:6" x14ac:dyDescent="0.25">
      <c r="A12" s="4">
        <v>11</v>
      </c>
      <c r="B12" s="4">
        <v>4.4000000000000004</v>
      </c>
      <c r="C12" s="4">
        <f>('3.2'!E5*'3.2'!E5-'3.2'!D5*'3.2'!D5)/1.3</f>
        <v>0.34707692307692306</v>
      </c>
      <c r="D12" s="4">
        <f t="shared" si="2"/>
        <v>41.680861538461542</v>
      </c>
    </row>
    <row r="13" spans="1:6" x14ac:dyDescent="0.25">
      <c r="A13" s="4">
        <v>12</v>
      </c>
      <c r="B13" s="4">
        <v>5.3</v>
      </c>
      <c r="C13" s="4">
        <f>('3.2'!E6*'3.2'!E6-'3.2'!D6*'3.2'!D6)/1.3</f>
        <v>0.39623076923076922</v>
      </c>
      <c r="D13" s="4">
        <f t="shared" si="2"/>
        <v>49.945976923076927</v>
      </c>
    </row>
    <row r="14" spans="1:6" x14ac:dyDescent="0.25">
      <c r="A14" s="4">
        <v>13</v>
      </c>
      <c r="B14" s="4">
        <v>6.2</v>
      </c>
      <c r="C14" s="4">
        <f>('3.2'!E7*'3.2'!E7-'3.2'!D7*'3.2'!D7)/1.3</f>
        <v>0.48669230769230765</v>
      </c>
      <c r="D14" s="4">
        <f t="shared" si="2"/>
        <v>57.8665076923077</v>
      </c>
    </row>
    <row r="15" spans="1:6" x14ac:dyDescent="0.25">
      <c r="A15" s="4">
        <v>14</v>
      </c>
      <c r="B15" s="4">
        <v>7.1</v>
      </c>
      <c r="C15" s="4">
        <f>('3.2'!E8*'3.2'!E8-'3.2'!D8*'3.2'!D8)/1.3</f>
        <v>0.55838461538461548</v>
      </c>
      <c r="D15" s="4">
        <f t="shared" si="2"/>
        <v>65.757469230769232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1.1</vt:lpstr>
      <vt:lpstr>1.2</vt:lpstr>
      <vt:lpstr>2.1</vt:lpstr>
      <vt:lpstr>2.2</vt:lpstr>
      <vt:lpstr>3.1</vt:lpstr>
      <vt:lpstr>3.2</vt:lpstr>
      <vt:lpstr>4.1</vt:lpstr>
      <vt:lpstr>4.2</vt:lpstr>
      <vt:lpstr>5.1</vt:lpstr>
      <vt:lpstr>5.2</vt:lpstr>
      <vt:lpstr>6.1</vt:lpstr>
      <vt:lpstr>6.2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 Чечулин</dc:creator>
  <cp:lastModifiedBy>Лев Чечулин</cp:lastModifiedBy>
  <dcterms:created xsi:type="dcterms:W3CDTF">2021-04-01T07:49:03Z</dcterms:created>
  <dcterms:modified xsi:type="dcterms:W3CDTF">2021-10-01T16:04:12Z</dcterms:modified>
</cp:coreProperties>
</file>